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drawings/drawing1.xml" ContentType="application/vnd.openxmlformats-officedocument.drawing+xml"/>
  <Override PartName="/xl/worksheets/sheet8.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7.xml" ContentType="application/vnd.openxmlformats-officedocument.spreadsheetml.workshee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LAFONDR\Desktop\16. PEEB Cool FP v12_TC\Annexes\"/>
    </mc:Choice>
  </mc:AlternateContent>
  <bookViews>
    <workbookView xWindow="-120" yWindow="-120" windowWidth="29040" windowHeight="15720" activeTab="2"/>
  </bookViews>
  <sheets>
    <sheet name="Introduction" sheetId="3" r:id="rId1"/>
    <sheet name="Detailed Budget" sheetId="1" r:id="rId2"/>
    <sheet name="Revised top-down" sheetId="6" r:id="rId3"/>
    <sheet name="PMC" sheetId="5" r:id="rId4"/>
    <sheet name="Notes and Assumptions" sheetId="2" r:id="rId5"/>
    <sheet name="Country budget" sheetId="8" r:id="rId6"/>
    <sheet name="M&amp;E Budget" sheetId="10" r:id="rId7"/>
    <sheet name="Disbursement schedule" sheetId="11" r:id="rId8"/>
  </sheets>
  <definedNames>
    <definedName name="_xlnm._FilterDatabase" localSheetId="7" hidden="1">'Disbursement schedule'!$B$1:$L$45</definedName>
    <definedName name="_xlnm._FilterDatabase" localSheetId="3" hidden="1">PMC!$A$3:$Y$22</definedName>
    <definedName name="_ftnref1" localSheetId="6">#REF!</definedName>
    <definedName name="_ftnref1" localSheetId="3">#REF!</definedName>
    <definedName name="_ftnref1">#REF!</definedName>
    <definedName name="_ftnref2" localSheetId="6">#REF!</definedName>
    <definedName name="_ftnref2">#REF!</definedName>
    <definedName name="actualisation" localSheetId="6">#REF!</definedName>
    <definedName name="actualisation">#REF!</definedName>
    <definedName name="AllT" localSheetId="6">#REF!</definedName>
    <definedName name="AllT">#REF!</definedName>
    <definedName name="Amrita" localSheetId="6">#REF!</definedName>
    <definedName name="Amrita">#REF!</definedName>
    <definedName name="BGT" localSheetId="6">#REF!</definedName>
    <definedName name="BGT" localSheetId="3">#REF!</definedName>
    <definedName name="BGT">#REF!</definedName>
    <definedName name="CIT" localSheetId="6">#REF!</definedName>
    <definedName name="CIT">#REF!</definedName>
    <definedName name="COMPANY">#N/A</definedName>
    <definedName name="COMPT" localSheetId="6">#REF!</definedName>
    <definedName name="COMPT">#REF!</definedName>
    <definedName name="ContT" localSheetId="6">#REF!</definedName>
    <definedName name="ContT">#REF!</definedName>
    <definedName name="copy" localSheetId="3">#N/A</definedName>
    <definedName name="copy">#N/A</definedName>
    <definedName name="CT" localSheetId="6">#REF!</definedName>
    <definedName name="CT">#REF!</definedName>
    <definedName name="CUSTOMER">#N/A</definedName>
    <definedName name="Duplicate" localSheetId="6">#REF!</definedName>
    <definedName name="Duplicate" localSheetId="3">#REF!</definedName>
    <definedName name="Duplicate">#REF!</definedName>
    <definedName name="Florence" localSheetId="6">#REF!</definedName>
    <definedName name="Florence" localSheetId="3">#REF!</definedName>
    <definedName name="Florence">#REF!</definedName>
    <definedName name="HireList" localSheetId="6">#REF!</definedName>
    <definedName name="HireList" localSheetId="3">#REF!</definedName>
    <definedName name="HireList">#REF!</definedName>
    <definedName name="HireList1" localSheetId="6">#REF!</definedName>
    <definedName name="HireList1" localSheetId="3">#REF!</definedName>
    <definedName name="HireList1">#REF!</definedName>
    <definedName name="HireList2" localSheetId="6">#REF!</definedName>
    <definedName name="HireList2">#REF!</definedName>
    <definedName name="inflation" localSheetId="6">#REF!</definedName>
    <definedName name="inflation">#REF!</definedName>
    <definedName name="LabourRate">#N/A</definedName>
    <definedName name="MET" localSheetId="6">#REF!</definedName>
    <definedName name="MET">#REF!</definedName>
    <definedName name="NIT" localSheetId="6">#REF!</definedName>
    <definedName name="NIT">#REF!</definedName>
    <definedName name="NT" localSheetId="6">#REF!</definedName>
    <definedName name="NT">#REF!</definedName>
    <definedName name="PMUT" localSheetId="6">#REF!</definedName>
    <definedName name="PMUT">#REF!</definedName>
    <definedName name="Portia" localSheetId="6">#REF!</definedName>
    <definedName name="Portia" localSheetId="3">#REF!</definedName>
    <definedName name="Portia">#REF!</definedName>
    <definedName name="PRINT_AREA_MI" localSheetId="6">#REF!</definedName>
    <definedName name="PRINT_AREA_MI" localSheetId="3">#REF!</definedName>
    <definedName name="PRINT_AREA_MI">#REF!</definedName>
    <definedName name="PROJECT">#N/A</definedName>
    <definedName name="PT" localSheetId="6">#REF!</definedName>
    <definedName name="PT">#REF!</definedName>
    <definedName name="Quoted_By">#N/A</definedName>
    <definedName name="ref" localSheetId="6">#REF!</definedName>
    <definedName name="ref" localSheetId="3">#REF!</definedName>
    <definedName name="ref">#REF!</definedName>
    <definedName name="RT" localSheetId="6">#REF!</definedName>
    <definedName name="RT">#REF!</definedName>
    <definedName name="StockOnHand" localSheetId="6">#REF!</definedName>
    <definedName name="StockOnHand" localSheetId="3">#REF!</definedName>
    <definedName name="StockOnHand">#REF!</definedName>
    <definedName name="StockOnHand1" localSheetId="6">#REF!</definedName>
    <definedName name="StockOnHand1">#REF!</definedName>
    <definedName name="Total">#N/A</definedName>
    <definedName name="TT" localSheetId="6">#REF!</definedName>
    <definedName name="TT">#REF!</definedName>
    <definedName name="vRate" localSheetId="3">#N/A</definedName>
    <definedName name="vRate">#N/A</definedName>
    <definedName name="vRate1" localSheetId="3">#N/A</definedName>
    <definedName name="vRate1">#N/A</definedName>
    <definedName name="_xlnm.Print_Area" localSheetId="6">#REF!</definedName>
    <definedName name="_xlnm.Print_Area" localSheetId="3">#REF!</definedName>
    <definedName name="_xlnm.Print_Are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38" i="11" l="1"/>
  <c r="I34" i="11"/>
  <c r="I30" i="11"/>
  <c r="I26" i="11"/>
  <c r="I22" i="11"/>
  <c r="I18" i="11"/>
  <c r="I14" i="11"/>
  <c r="I10" i="11"/>
  <c r="I6" i="11"/>
  <c r="I2" i="11"/>
  <c r="G40" i="11"/>
  <c r="G39" i="11"/>
  <c r="G38" i="11"/>
  <c r="K38" i="11" s="1"/>
  <c r="G36" i="11"/>
  <c r="G35" i="11"/>
  <c r="G34" i="11"/>
  <c r="G32" i="11"/>
  <c r="G31" i="11"/>
  <c r="G30" i="11"/>
  <c r="K30" i="11" s="1"/>
  <c r="G28" i="11"/>
  <c r="G27" i="11"/>
  <c r="G26" i="11"/>
  <c r="K26" i="11" s="1"/>
  <c r="G24" i="11"/>
  <c r="G23" i="11"/>
  <c r="G22" i="11"/>
  <c r="K22" i="11" s="1"/>
  <c r="G20" i="11"/>
  <c r="G19" i="11"/>
  <c r="G18" i="11"/>
  <c r="K18" i="11" s="1"/>
  <c r="G16" i="11"/>
  <c r="G15" i="11"/>
  <c r="G14" i="11"/>
  <c r="K14" i="11" s="1"/>
  <c r="G12" i="11"/>
  <c r="G11" i="11"/>
  <c r="G10" i="11"/>
  <c r="K10" i="11" s="1"/>
  <c r="G8" i="11"/>
  <c r="G7" i="11"/>
  <c r="G6" i="11"/>
  <c r="K6" i="11" s="1"/>
  <c r="G4" i="11"/>
  <c r="G3" i="11"/>
  <c r="G2" i="11"/>
  <c r="K2" i="11" s="1"/>
  <c r="F39" i="11"/>
  <c r="F38" i="11"/>
  <c r="F36" i="11"/>
  <c r="F35" i="11"/>
  <c r="F34" i="11"/>
  <c r="F32" i="11"/>
  <c r="F31" i="11"/>
  <c r="F30" i="11"/>
  <c r="F28" i="11"/>
  <c r="F27" i="11"/>
  <c r="F26" i="11"/>
  <c r="F24" i="11"/>
  <c r="F23" i="11"/>
  <c r="F22" i="11"/>
  <c r="F20" i="11"/>
  <c r="F19" i="11"/>
  <c r="F18" i="11"/>
  <c r="F16" i="11"/>
  <c r="F15" i="11"/>
  <c r="F14" i="11"/>
  <c r="F12" i="11"/>
  <c r="F11" i="11"/>
  <c r="F10" i="11"/>
  <c r="F8" i="11"/>
  <c r="F7" i="11"/>
  <c r="F6" i="11"/>
  <c r="F3" i="11"/>
  <c r="F2" i="11"/>
  <c r="F40" i="11"/>
  <c r="F4" i="11"/>
  <c r="E40" i="11"/>
  <c r="E41" i="11" s="1"/>
  <c r="I41" i="11" s="1"/>
  <c r="E39" i="11"/>
  <c r="E38" i="11"/>
  <c r="E36" i="11"/>
  <c r="I35" i="11" s="1"/>
  <c r="E35" i="11"/>
  <c r="E34" i="11"/>
  <c r="E32" i="11"/>
  <c r="E33" i="11" s="1"/>
  <c r="I33" i="11" s="1"/>
  <c r="E31" i="11"/>
  <c r="E30" i="11"/>
  <c r="E28" i="11"/>
  <c r="I27" i="11" s="1"/>
  <c r="E27" i="11"/>
  <c r="E26" i="11"/>
  <c r="E24" i="11"/>
  <c r="E25" i="11" s="1"/>
  <c r="I25" i="11" s="1"/>
  <c r="E23" i="11"/>
  <c r="E22" i="11"/>
  <c r="E20" i="11"/>
  <c r="E21" i="11" s="1"/>
  <c r="I21" i="11" s="1"/>
  <c r="E19" i="11"/>
  <c r="E18" i="11"/>
  <c r="E16" i="11"/>
  <c r="I15" i="11" s="1"/>
  <c r="E15" i="11"/>
  <c r="E14" i="11"/>
  <c r="E12" i="11"/>
  <c r="I11" i="11" s="1"/>
  <c r="E11" i="11"/>
  <c r="E10" i="11"/>
  <c r="E8" i="11"/>
  <c r="E9" i="11" s="1"/>
  <c r="I9" i="11" s="1"/>
  <c r="E7" i="11"/>
  <c r="E6" i="11"/>
  <c r="E4" i="11"/>
  <c r="E3" i="11"/>
  <c r="E2" i="11"/>
  <c r="D2" i="11"/>
  <c r="K35" i="11" l="1"/>
  <c r="K39" i="11"/>
  <c r="K27" i="11"/>
  <c r="K11" i="11"/>
  <c r="G37" i="11"/>
  <c r="K37" i="11" s="1"/>
  <c r="K15" i="11"/>
  <c r="K19" i="11"/>
  <c r="K7" i="11"/>
  <c r="K31" i="11"/>
  <c r="K34" i="11"/>
  <c r="K23" i="11"/>
  <c r="K3" i="11"/>
  <c r="O11" i="11" s="1"/>
  <c r="I3" i="11"/>
  <c r="I39" i="11"/>
  <c r="G41" i="11"/>
  <c r="K41" i="11" s="1"/>
  <c r="E37" i="11"/>
  <c r="I37" i="11" s="1"/>
  <c r="I31" i="11"/>
  <c r="G33" i="11"/>
  <c r="K33" i="11" s="1"/>
  <c r="G29" i="11"/>
  <c r="K29" i="11" s="1"/>
  <c r="E29" i="11"/>
  <c r="I29" i="11" s="1"/>
  <c r="I23" i="11"/>
  <c r="G25" i="11"/>
  <c r="K25" i="11" s="1"/>
  <c r="G21" i="11"/>
  <c r="K21" i="11" s="1"/>
  <c r="I19" i="11"/>
  <c r="E17" i="11"/>
  <c r="I17" i="11" s="1"/>
  <c r="E13" i="11"/>
  <c r="I13" i="11" s="1"/>
  <c r="G13" i="11"/>
  <c r="K13" i="11" s="1"/>
  <c r="O5" i="11"/>
  <c r="I7" i="11"/>
  <c r="G9" i="11"/>
  <c r="K9" i="11" s="1"/>
  <c r="E5" i="11"/>
  <c r="I5" i="11" s="1"/>
  <c r="G5" i="11"/>
  <c r="K5" i="11" s="1"/>
  <c r="G17" i="11"/>
  <c r="K17" i="11" s="1"/>
  <c r="P13" i="8"/>
  <c r="P10" i="8"/>
  <c r="P7" i="8"/>
  <c r="P6" i="8"/>
  <c r="N13" i="8"/>
  <c r="N10" i="8"/>
  <c r="L10" i="8" s="1"/>
  <c r="N7" i="8"/>
  <c r="N6" i="8"/>
  <c r="M14" i="8"/>
  <c r="M12" i="8"/>
  <c r="M11" i="8"/>
  <c r="M9" i="8"/>
  <c r="M8" i="8"/>
  <c r="M5" i="8"/>
  <c r="M4" i="8"/>
  <c r="X14" i="8"/>
  <c r="X13" i="8"/>
  <c r="X12" i="8"/>
  <c r="X11" i="8"/>
  <c r="X10" i="8"/>
  <c r="X9" i="8"/>
  <c r="X8" i="8"/>
  <c r="X7" i="8"/>
  <c r="X6" i="8"/>
  <c r="X5" i="8"/>
  <c r="X4" i="8"/>
  <c r="AE14" i="8"/>
  <c r="AE13" i="8"/>
  <c r="AE12" i="8"/>
  <c r="AE11" i="8"/>
  <c r="AE10" i="8"/>
  <c r="AE9" i="8"/>
  <c r="AE8" i="8"/>
  <c r="AE7" i="8"/>
  <c r="AE6" i="8"/>
  <c r="AE5" i="8"/>
  <c r="AE4" i="8"/>
  <c r="AD14" i="8"/>
  <c r="AD13" i="8"/>
  <c r="AD12" i="8"/>
  <c r="AD11" i="8"/>
  <c r="AD10" i="8"/>
  <c r="AD9" i="8"/>
  <c r="AD8" i="8"/>
  <c r="AD7" i="8"/>
  <c r="AD6" i="8"/>
  <c r="AD5" i="8"/>
  <c r="AD4" i="8"/>
  <c r="AC14" i="8"/>
  <c r="AC13" i="8"/>
  <c r="AC12" i="8"/>
  <c r="AC11" i="8"/>
  <c r="AC10" i="8"/>
  <c r="AC9" i="8"/>
  <c r="AC8" i="8"/>
  <c r="AC7" i="8"/>
  <c r="AC6" i="8"/>
  <c r="AC5" i="8"/>
  <c r="AC4" i="8"/>
  <c r="AB14" i="8"/>
  <c r="AB13" i="8"/>
  <c r="AB12" i="8"/>
  <c r="AB11" i="8"/>
  <c r="AB10" i="8"/>
  <c r="AB9" i="8"/>
  <c r="AB8" i="8"/>
  <c r="AB7" i="8"/>
  <c r="AB6" i="8"/>
  <c r="AB5" i="8"/>
  <c r="AB4" i="8"/>
  <c r="AA14" i="8"/>
  <c r="AA13" i="8"/>
  <c r="AA12" i="8"/>
  <c r="AA11" i="8"/>
  <c r="AA10" i="8"/>
  <c r="AA9" i="8"/>
  <c r="AA8" i="8"/>
  <c r="AA7" i="8"/>
  <c r="AA6" i="8"/>
  <c r="AA5" i="8"/>
  <c r="AA4" i="8"/>
  <c r="T4" i="8"/>
  <c r="T5" i="8"/>
  <c r="T6" i="8"/>
  <c r="T7" i="8"/>
  <c r="T8" i="8"/>
  <c r="T9" i="8"/>
  <c r="T10" i="8"/>
  <c r="T11" i="8"/>
  <c r="T12" i="8"/>
  <c r="T13" i="8"/>
  <c r="T14" i="8"/>
  <c r="W14" i="8"/>
  <c r="W13" i="8"/>
  <c r="W12" i="8"/>
  <c r="W11" i="8"/>
  <c r="W10" i="8"/>
  <c r="W9" i="8"/>
  <c r="W8" i="8"/>
  <c r="W7" i="8"/>
  <c r="W6" i="8"/>
  <c r="W5" i="8"/>
  <c r="W4" i="8"/>
  <c r="V14" i="8"/>
  <c r="V13" i="8"/>
  <c r="V12" i="8"/>
  <c r="V11" i="8"/>
  <c r="V10" i="8"/>
  <c r="V9" i="8"/>
  <c r="V8" i="8"/>
  <c r="V7" i="8"/>
  <c r="V6" i="8"/>
  <c r="V5" i="8"/>
  <c r="V4" i="8"/>
  <c r="U14" i="8"/>
  <c r="U13" i="8"/>
  <c r="U12" i="8"/>
  <c r="U11" i="8"/>
  <c r="U10" i="8"/>
  <c r="U9" i="8"/>
  <c r="U8" i="8"/>
  <c r="U7" i="8"/>
  <c r="U6" i="8"/>
  <c r="U5" i="8"/>
  <c r="U4" i="8"/>
  <c r="H4" i="8"/>
  <c r="S4" i="8" s="1"/>
  <c r="N4" i="8" s="1"/>
  <c r="J14" i="8"/>
  <c r="I14" i="8"/>
  <c r="H14" i="8"/>
  <c r="G14" i="8"/>
  <c r="J13" i="8"/>
  <c r="I13" i="8"/>
  <c r="H13" i="8"/>
  <c r="S13" i="8" s="1"/>
  <c r="O13" i="8" s="1"/>
  <c r="G13" i="8"/>
  <c r="J12" i="8"/>
  <c r="I12" i="8"/>
  <c r="H12" i="8"/>
  <c r="G12" i="8"/>
  <c r="J11" i="8"/>
  <c r="I11" i="8"/>
  <c r="H11" i="8"/>
  <c r="S11" i="8" s="1"/>
  <c r="N11" i="8" s="1"/>
  <c r="G11" i="8"/>
  <c r="J10" i="8"/>
  <c r="I10" i="8"/>
  <c r="H10" i="8"/>
  <c r="G10" i="8"/>
  <c r="J9" i="8"/>
  <c r="I9" i="8"/>
  <c r="H9" i="8"/>
  <c r="S9" i="8" s="1"/>
  <c r="N9" i="8" s="1"/>
  <c r="G9" i="8"/>
  <c r="J8" i="8"/>
  <c r="I8" i="8"/>
  <c r="H8" i="8"/>
  <c r="G8" i="8"/>
  <c r="J7" i="8"/>
  <c r="I7" i="8"/>
  <c r="H7" i="8"/>
  <c r="S7" i="8" s="1"/>
  <c r="O7" i="8" s="1"/>
  <c r="G7" i="8"/>
  <c r="J6" i="8"/>
  <c r="I6" i="8"/>
  <c r="H6" i="8"/>
  <c r="G6" i="8"/>
  <c r="S6" i="8" s="1"/>
  <c r="O6" i="8" s="1"/>
  <c r="J5" i="8"/>
  <c r="I5" i="8"/>
  <c r="H5" i="8"/>
  <c r="S5" i="8" s="1"/>
  <c r="N5" i="8" s="1"/>
  <c r="G5" i="8"/>
  <c r="J4" i="8"/>
  <c r="I4" i="8"/>
  <c r="G4" i="8"/>
  <c r="S14" i="8"/>
  <c r="N14" i="8" s="1"/>
  <c r="S12" i="8"/>
  <c r="N12" i="8" s="1"/>
  <c r="S10" i="8"/>
  <c r="O10" i="8" s="1"/>
  <c r="S8" i="8"/>
  <c r="N8" i="8" s="1"/>
  <c r="Y14" i="8"/>
  <c r="Y13" i="8"/>
  <c r="Y12" i="8"/>
  <c r="Y11" i="8"/>
  <c r="Y10" i="8"/>
  <c r="Y9" i="8"/>
  <c r="Y8" i="8"/>
  <c r="Y7" i="8"/>
  <c r="Y6" i="8"/>
  <c r="Y5" i="8"/>
  <c r="Y4" i="8"/>
  <c r="R14" i="8"/>
  <c r="R13" i="8"/>
  <c r="R12" i="8"/>
  <c r="R11" i="8"/>
  <c r="R10" i="8"/>
  <c r="R9" i="8"/>
  <c r="R8" i="8"/>
  <c r="R7" i="8"/>
  <c r="R6" i="8"/>
  <c r="R5" i="8"/>
  <c r="R4" i="8"/>
  <c r="F14" i="8"/>
  <c r="F13" i="8"/>
  <c r="F12" i="8"/>
  <c r="F11" i="8"/>
  <c r="F10" i="8"/>
  <c r="F9" i="8"/>
  <c r="F8" i="8"/>
  <c r="F7" i="8"/>
  <c r="F6" i="8"/>
  <c r="F5" i="8"/>
  <c r="F4" i="8"/>
  <c r="E14" i="8"/>
  <c r="E13" i="8"/>
  <c r="E12" i="8"/>
  <c r="E11" i="8"/>
  <c r="E10" i="8"/>
  <c r="E9" i="8"/>
  <c r="E8" i="8"/>
  <c r="E7" i="8"/>
  <c r="E6" i="8"/>
  <c r="E5" i="8"/>
  <c r="E4" i="8"/>
  <c r="B15" i="8"/>
  <c r="N15" i="8" l="1"/>
  <c r="L13" i="8"/>
  <c r="L7" i="8"/>
  <c r="L6" i="8"/>
  <c r="O15" i="8"/>
  <c r="D6" i="8"/>
  <c r="D14" i="8"/>
  <c r="D12" i="8"/>
  <c r="D11" i="8"/>
  <c r="D9" i="8"/>
  <c r="D7" i="8"/>
  <c r="D13" i="8"/>
  <c r="D8" i="8"/>
  <c r="D5" i="8"/>
  <c r="D10" i="8"/>
  <c r="D4" i="8"/>
  <c r="AB40" i="1" l="1"/>
  <c r="AB39" i="1"/>
  <c r="AB38" i="1"/>
  <c r="AB37" i="1"/>
  <c r="AB36" i="1"/>
  <c r="AB35" i="1"/>
  <c r="AB34" i="1"/>
  <c r="AB33" i="1"/>
  <c r="AB32" i="1"/>
  <c r="AB31" i="1"/>
  <c r="AB30" i="1"/>
  <c r="AB29" i="1"/>
  <c r="AB28" i="1"/>
  <c r="AB27" i="1"/>
  <c r="AB26" i="1"/>
  <c r="AB25" i="1"/>
  <c r="AB24" i="1"/>
  <c r="AB23" i="1"/>
  <c r="AB22" i="1"/>
  <c r="AB10" i="1"/>
  <c r="AB9" i="1"/>
  <c r="AB8" i="1"/>
  <c r="AB7" i="1"/>
  <c r="AB6" i="1"/>
  <c r="AA40" i="1"/>
  <c r="AA39" i="1"/>
  <c r="AA38" i="1"/>
  <c r="AA37" i="1"/>
  <c r="AA36" i="1"/>
  <c r="AA35" i="1"/>
  <c r="AA34" i="1"/>
  <c r="AA33" i="1"/>
  <c r="AA32" i="1"/>
  <c r="AA31" i="1"/>
  <c r="AA30" i="1"/>
  <c r="AA29" i="1"/>
  <c r="AA28" i="1"/>
  <c r="AA27" i="1"/>
  <c r="AA26" i="1"/>
  <c r="AA25" i="1"/>
  <c r="AA24" i="1"/>
  <c r="AA23" i="1"/>
  <c r="AA22" i="1"/>
  <c r="AA10" i="1"/>
  <c r="AA9" i="1"/>
  <c r="AA8" i="1"/>
  <c r="AA7" i="1"/>
  <c r="AA6" i="1"/>
  <c r="AB5" i="1"/>
  <c r="AA5" i="1"/>
  <c r="Z10" i="1"/>
  <c r="Z9" i="1"/>
  <c r="Z8" i="1"/>
  <c r="X10" i="1"/>
  <c r="X9" i="1"/>
  <c r="X8" i="1"/>
  <c r="V10" i="1"/>
  <c r="V9" i="1"/>
  <c r="V8" i="1"/>
  <c r="H10" i="1"/>
  <c r="H9" i="1"/>
  <c r="H8" i="1"/>
  <c r="J10" i="1"/>
  <c r="J9" i="1"/>
  <c r="J8" i="1"/>
  <c r="L10" i="1"/>
  <c r="L9" i="1"/>
  <c r="L8" i="1"/>
  <c r="N10" i="1"/>
  <c r="N9" i="1"/>
  <c r="N8" i="1"/>
  <c r="P10" i="1"/>
  <c r="P9" i="1"/>
  <c r="P8" i="1"/>
  <c r="R10" i="1"/>
  <c r="R9" i="1"/>
  <c r="R8" i="1"/>
  <c r="T10" i="1"/>
  <c r="T9" i="1"/>
  <c r="T8" i="1"/>
  <c r="Z15" i="1"/>
  <c r="Z14" i="1"/>
  <c r="Z13" i="1"/>
  <c r="Z12" i="1"/>
  <c r="Z11" i="1"/>
  <c r="X15" i="1"/>
  <c r="X14" i="1"/>
  <c r="X13" i="1"/>
  <c r="X12" i="1"/>
  <c r="X11" i="1"/>
  <c r="V15" i="1"/>
  <c r="V14" i="1"/>
  <c r="V13" i="1"/>
  <c r="V12" i="1"/>
  <c r="V11" i="1"/>
  <c r="T15" i="1"/>
  <c r="T14" i="1"/>
  <c r="T13" i="1"/>
  <c r="T12" i="1"/>
  <c r="T11" i="1"/>
  <c r="R15" i="1"/>
  <c r="R14" i="1"/>
  <c r="R13" i="1"/>
  <c r="R12" i="1"/>
  <c r="R11" i="1"/>
  <c r="P15" i="1"/>
  <c r="P14" i="1"/>
  <c r="P13" i="1"/>
  <c r="P12" i="1"/>
  <c r="P11" i="1"/>
  <c r="N15" i="1"/>
  <c r="N14" i="1"/>
  <c r="N13" i="1"/>
  <c r="N12" i="1"/>
  <c r="N11" i="1"/>
  <c r="L15" i="1"/>
  <c r="L14" i="1"/>
  <c r="L13" i="1"/>
  <c r="L12" i="1"/>
  <c r="L11" i="1"/>
  <c r="J15" i="1"/>
  <c r="J14" i="1"/>
  <c r="J13" i="1"/>
  <c r="J12" i="1"/>
  <c r="J11" i="1"/>
  <c r="H15" i="1"/>
  <c r="H14" i="1"/>
  <c r="H13" i="1"/>
  <c r="H12" i="1"/>
  <c r="H11" i="1"/>
  <c r="Z7" i="1"/>
  <c r="Z6" i="1"/>
  <c r="Z5" i="1"/>
  <c r="X7" i="1"/>
  <c r="X6" i="1"/>
  <c r="X5" i="1"/>
  <c r="V7" i="1"/>
  <c r="V6" i="1"/>
  <c r="V5" i="1"/>
  <c r="T7" i="1"/>
  <c r="T6" i="1"/>
  <c r="T5" i="1"/>
  <c r="R7" i="1"/>
  <c r="R6" i="1"/>
  <c r="R5" i="1"/>
  <c r="P7" i="1"/>
  <c r="P6" i="1"/>
  <c r="P5" i="1"/>
  <c r="N7" i="1"/>
  <c r="N6" i="1"/>
  <c r="N5" i="1"/>
  <c r="L7" i="1"/>
  <c r="L6" i="1"/>
  <c r="L5" i="1"/>
  <c r="J7" i="1"/>
  <c r="J6" i="1"/>
  <c r="J5" i="1"/>
  <c r="H7" i="1"/>
  <c r="H6" i="1"/>
  <c r="H5" i="1"/>
  <c r="Z20" i="1"/>
  <c r="AB12" i="1" l="1"/>
  <c r="AB14" i="1"/>
  <c r="H18" i="1"/>
  <c r="AB15" i="1"/>
  <c r="N19" i="1"/>
  <c r="T20" i="1"/>
  <c r="AB13" i="1"/>
  <c r="AB11" i="1"/>
  <c r="L16" i="1"/>
  <c r="R17" i="1"/>
  <c r="X18" i="1"/>
  <c r="L17" i="1"/>
  <c r="R18" i="1"/>
  <c r="X20" i="1"/>
  <c r="L18" i="1"/>
  <c r="R19" i="1"/>
  <c r="Z16" i="1"/>
  <c r="L19" i="1"/>
  <c r="R20" i="1"/>
  <c r="H19" i="1"/>
  <c r="N20" i="1"/>
  <c r="V16" i="1"/>
  <c r="H20" i="1"/>
  <c r="P16" i="1"/>
  <c r="V17" i="1"/>
  <c r="J16" i="1"/>
  <c r="P17" i="1"/>
  <c r="V18" i="1"/>
  <c r="X19" i="1"/>
  <c r="J17" i="1"/>
  <c r="P18" i="1"/>
  <c r="V19" i="1"/>
  <c r="N16" i="1"/>
  <c r="P19" i="1"/>
  <c r="V20" i="1"/>
  <c r="H16" i="1"/>
  <c r="J19" i="1"/>
  <c r="N17" i="1"/>
  <c r="P20" i="1"/>
  <c r="T18" i="1"/>
  <c r="X16" i="1"/>
  <c r="Z19" i="1"/>
  <c r="L20" i="1"/>
  <c r="T16" i="1"/>
  <c r="Z17" i="1"/>
  <c r="J18" i="1"/>
  <c r="T17" i="1"/>
  <c r="Z18" i="1"/>
  <c r="H17" i="1"/>
  <c r="J20" i="1"/>
  <c r="N18" i="1"/>
  <c r="R16" i="1"/>
  <c r="T19" i="1"/>
  <c r="X17" i="1"/>
  <c r="AB44" i="1"/>
  <c r="H43" i="1"/>
  <c r="Z44" i="1"/>
  <c r="Z43" i="1"/>
  <c r="X44" i="1"/>
  <c r="X43" i="1"/>
  <c r="V44" i="1"/>
  <c r="V43" i="1"/>
  <c r="T44" i="1"/>
  <c r="T43" i="1"/>
  <c r="R44" i="1"/>
  <c r="R43" i="1"/>
  <c r="P44" i="1"/>
  <c r="P43" i="1"/>
  <c r="N44" i="1"/>
  <c r="N43" i="1"/>
  <c r="L44" i="1"/>
  <c r="L43" i="1"/>
  <c r="J44" i="1"/>
  <c r="J43" i="1"/>
  <c r="H44" i="1"/>
  <c r="B25" i="5"/>
  <c r="D9" i="6"/>
  <c r="D8" i="6"/>
  <c r="D7" i="6"/>
  <c r="D6" i="6"/>
  <c r="D5" i="6"/>
  <c r="D3" i="6"/>
  <c r="D4" i="6"/>
  <c r="L10" i="6"/>
  <c r="I10" i="6"/>
  <c r="F10" i="6"/>
  <c r="D10" i="6" l="1"/>
  <c r="Z13" i="8"/>
  <c r="Q13" i="8" s="1"/>
  <c r="M13" i="8" s="1"/>
  <c r="Z5" i="8"/>
  <c r="P5" i="8" s="1"/>
  <c r="L5" i="8" s="1"/>
  <c r="Z12" i="8"/>
  <c r="P12" i="8" s="1"/>
  <c r="L12" i="8" s="1"/>
  <c r="Z4" i="8"/>
  <c r="P4" i="8" s="1"/>
  <c r="Z11" i="8"/>
  <c r="P11" i="8" s="1"/>
  <c r="L11" i="8" s="1"/>
  <c r="Z10" i="8"/>
  <c r="Q10" i="8" s="1"/>
  <c r="Z8" i="8"/>
  <c r="P8" i="8" s="1"/>
  <c r="L8" i="8" s="1"/>
  <c r="Z9" i="8"/>
  <c r="P9" i="8" s="1"/>
  <c r="L9" i="8" s="1"/>
  <c r="Z7" i="8"/>
  <c r="Q7" i="8" s="1"/>
  <c r="M7" i="8" s="1"/>
  <c r="Z14" i="8"/>
  <c r="P14" i="8" s="1"/>
  <c r="L14" i="8" s="1"/>
  <c r="Z6" i="8"/>
  <c r="Q6" i="8" s="1"/>
  <c r="M6" i="8" s="1"/>
  <c r="R21" i="1"/>
  <c r="R42" i="1" s="1"/>
  <c r="AB43" i="1"/>
  <c r="L21" i="1"/>
  <c r="L42" i="1" s="1"/>
  <c r="AB19" i="1"/>
  <c r="P45" i="1"/>
  <c r="X21" i="1"/>
  <c r="X42" i="1" s="1"/>
  <c r="N45" i="1"/>
  <c r="R45" i="1"/>
  <c r="AB16" i="1"/>
  <c r="T21" i="1"/>
  <c r="T42" i="1" s="1"/>
  <c r="V21" i="1"/>
  <c r="V42" i="1" s="1"/>
  <c r="X45" i="1"/>
  <c r="J45" i="1"/>
  <c r="AB18" i="1"/>
  <c r="L45" i="1"/>
  <c r="H21" i="1"/>
  <c r="H42" i="1" s="1"/>
  <c r="T45" i="1"/>
  <c r="AB20" i="1"/>
  <c r="P21" i="1"/>
  <c r="P42" i="1" s="1"/>
  <c r="Z45" i="1"/>
  <c r="H45" i="1"/>
  <c r="V45" i="1"/>
  <c r="J21" i="1"/>
  <c r="J42" i="1" s="1"/>
  <c r="N21" i="1"/>
  <c r="N42" i="1" s="1"/>
  <c r="AB17" i="1"/>
  <c r="Z21" i="1"/>
  <c r="Y37" i="1"/>
  <c r="W37" i="1"/>
  <c r="U37" i="1"/>
  <c r="S37" i="1"/>
  <c r="Q37" i="1"/>
  <c r="O37" i="1"/>
  <c r="M37" i="1"/>
  <c r="K37" i="1"/>
  <c r="I37" i="1"/>
  <c r="G37" i="1"/>
  <c r="Y33" i="1"/>
  <c r="W33" i="1"/>
  <c r="U33" i="1"/>
  <c r="S33" i="1"/>
  <c r="Q33" i="1"/>
  <c r="O33" i="1"/>
  <c r="M33" i="1"/>
  <c r="K33" i="1"/>
  <c r="I33" i="1"/>
  <c r="G33" i="1"/>
  <c r="Y38" i="1"/>
  <c r="W38" i="1"/>
  <c r="U38" i="1"/>
  <c r="S38" i="1"/>
  <c r="Q38" i="1"/>
  <c r="O38" i="1"/>
  <c r="M38" i="1"/>
  <c r="K38" i="1"/>
  <c r="I38" i="1"/>
  <c r="G38" i="1"/>
  <c r="Y39" i="1"/>
  <c r="W39" i="1"/>
  <c r="U39" i="1"/>
  <c r="S39" i="1"/>
  <c r="Q39" i="1"/>
  <c r="O39" i="1"/>
  <c r="M39" i="1"/>
  <c r="K39" i="1"/>
  <c r="I39" i="1"/>
  <c r="G39" i="1"/>
  <c r="Y34" i="1"/>
  <c r="W34" i="1"/>
  <c r="U34" i="1"/>
  <c r="S34" i="1"/>
  <c r="Q34" i="1"/>
  <c r="O34" i="1"/>
  <c r="M34" i="1"/>
  <c r="K34" i="1"/>
  <c r="I34" i="1"/>
  <c r="G34" i="1"/>
  <c r="Y35" i="1"/>
  <c r="W35" i="1"/>
  <c r="U35" i="1"/>
  <c r="S35" i="1"/>
  <c r="Q35" i="1"/>
  <c r="O35" i="1"/>
  <c r="M35" i="1"/>
  <c r="K35" i="1"/>
  <c r="I35" i="1"/>
  <c r="G35" i="1"/>
  <c r="S11" i="5"/>
  <c r="H7" i="5"/>
  <c r="J34" i="10"/>
  <c r="Q15" i="8" l="1"/>
  <c r="M10" i="8"/>
  <c r="M15" i="8" s="1"/>
  <c r="P15" i="8"/>
  <c r="L4" i="8"/>
  <c r="L15" i="8" s="1"/>
  <c r="AB45" i="1"/>
  <c r="AB21" i="1"/>
  <c r="AB42" i="1" s="1"/>
  <c r="Z42" i="1"/>
  <c r="R16" i="5"/>
  <c r="Q16" i="5"/>
  <c r="P16" i="5"/>
  <c r="O16" i="5"/>
  <c r="N16" i="5"/>
  <c r="M16" i="5"/>
  <c r="L16" i="5"/>
  <c r="K16" i="5"/>
  <c r="J16" i="5"/>
  <c r="I16" i="5"/>
  <c r="R15" i="5"/>
  <c r="Q15" i="5"/>
  <c r="P15" i="5"/>
  <c r="O15" i="5"/>
  <c r="N15" i="5"/>
  <c r="M15" i="5"/>
  <c r="L15" i="5"/>
  <c r="K15" i="5"/>
  <c r="J15" i="5"/>
  <c r="I15" i="5"/>
  <c r="H9" i="5"/>
  <c r="H6" i="5"/>
  <c r="A28" i="11" l="1"/>
  <c r="A24" i="11"/>
  <c r="A20" i="11"/>
  <c r="A16" i="11"/>
  <c r="A12" i="11"/>
  <c r="A29" i="11"/>
  <c r="A33" i="11" s="1"/>
  <c r="A37" i="11" s="1"/>
  <c r="A41" i="11" s="1"/>
  <c r="A27" i="11"/>
  <c r="A31" i="11" s="1"/>
  <c r="A35" i="11" s="1"/>
  <c r="A39" i="11" s="1"/>
  <c r="A26" i="11"/>
  <c r="A30" i="11" s="1"/>
  <c r="A34" i="11" s="1"/>
  <c r="A38" i="11" s="1"/>
  <c r="A40" i="11" l="1"/>
  <c r="A43" i="11"/>
  <c r="A45" i="11"/>
  <c r="A44" i="11"/>
  <c r="A42" i="11"/>
  <c r="A32" i="11"/>
  <c r="A36" i="11"/>
  <c r="C9" i="6" l="1"/>
  <c r="C8" i="6"/>
  <c r="C7" i="6"/>
  <c r="C6" i="6"/>
  <c r="C5" i="6"/>
  <c r="C4" i="6"/>
  <c r="C3" i="6"/>
  <c r="C10" i="6" l="1"/>
  <c r="H8" i="5"/>
  <c r="H5" i="5"/>
  <c r="H4" i="5"/>
  <c r="E40" i="10"/>
  <c r="E34" i="10"/>
  <c r="N8" i="5" l="1"/>
  <c r="L8" i="5"/>
  <c r="O8" i="5"/>
  <c r="M8" i="5"/>
  <c r="K8" i="5"/>
  <c r="R8" i="5"/>
  <c r="J8" i="5"/>
  <c r="I8" i="5"/>
  <c r="P8" i="5"/>
  <c r="Q8" i="5"/>
  <c r="Q4" i="5"/>
  <c r="I4" i="5"/>
  <c r="P4" i="5"/>
  <c r="N4" i="5"/>
  <c r="L4" i="5"/>
  <c r="R4" i="5"/>
  <c r="O4" i="5"/>
  <c r="J4" i="5"/>
  <c r="M4" i="5"/>
  <c r="K4" i="5"/>
  <c r="B24" i="5"/>
  <c r="S10" i="5"/>
  <c r="S5" i="5"/>
  <c r="O6" i="5"/>
  <c r="O9" i="5" l="1"/>
  <c r="Q6" i="5"/>
  <c r="Q9" i="5"/>
  <c r="L6" i="5"/>
  <c r="K9" i="5"/>
  <c r="I6" i="5"/>
  <c r="M6" i="5"/>
  <c r="P6" i="5"/>
  <c r="J6" i="5"/>
  <c r="I9" i="5"/>
  <c r="K6" i="5"/>
  <c r="J9" i="5"/>
  <c r="R9" i="5"/>
  <c r="L9" i="5"/>
  <c r="N6" i="5"/>
  <c r="M9" i="5"/>
  <c r="P9" i="5"/>
  <c r="R6" i="5"/>
  <c r="N9" i="5"/>
  <c r="S9" i="5" l="1"/>
  <c r="S8" i="5"/>
  <c r="S6" i="5"/>
  <c r="D42" i="11" l="1"/>
  <c r="Y30" i="1"/>
  <c r="Y29" i="1"/>
  <c r="Y26" i="1"/>
  <c r="Y20" i="1"/>
  <c r="Y19" i="1"/>
  <c r="Y18" i="1"/>
  <c r="Y17" i="1"/>
  <c r="Y16" i="1"/>
  <c r="Y15" i="1"/>
  <c r="Y14" i="1"/>
  <c r="Y13" i="1"/>
  <c r="Y12" i="1"/>
  <c r="Y11" i="1"/>
  <c r="Y10" i="1"/>
  <c r="Y9" i="1"/>
  <c r="Y8" i="1"/>
  <c r="Y7" i="1"/>
  <c r="Y6" i="1"/>
  <c r="Y5" i="1"/>
  <c r="W30" i="1"/>
  <c r="W29" i="1"/>
  <c r="W26" i="1"/>
  <c r="W20" i="1"/>
  <c r="W19" i="1"/>
  <c r="W18" i="1"/>
  <c r="W17" i="1"/>
  <c r="W16" i="1"/>
  <c r="W15" i="1"/>
  <c r="W14" i="1"/>
  <c r="W13" i="1"/>
  <c r="W12" i="1"/>
  <c r="W11" i="1"/>
  <c r="W10" i="1"/>
  <c r="W9" i="1"/>
  <c r="W8" i="1"/>
  <c r="W7" i="1"/>
  <c r="W6" i="1"/>
  <c r="W5" i="1"/>
  <c r="R7" i="5"/>
  <c r="Q7" i="5"/>
  <c r="P7" i="5"/>
  <c r="O7" i="5"/>
  <c r="N7" i="5"/>
  <c r="M7" i="5"/>
  <c r="L7" i="5"/>
  <c r="K7" i="5"/>
  <c r="J7" i="5"/>
  <c r="I7" i="5"/>
  <c r="S32" i="1"/>
  <c r="M32" i="1"/>
  <c r="K36" i="1"/>
  <c r="G32" i="1"/>
  <c r="W21" i="1" l="1"/>
  <c r="D40" i="11"/>
  <c r="D35" i="11"/>
  <c r="J35" i="11"/>
  <c r="D36" i="11"/>
  <c r="D39" i="11"/>
  <c r="O32" i="1"/>
  <c r="Y36" i="1"/>
  <c r="Q32" i="1"/>
  <c r="U36" i="1"/>
  <c r="I36" i="1"/>
  <c r="K32" i="1"/>
  <c r="I32" i="1"/>
  <c r="W32" i="1"/>
  <c r="Y32" i="1"/>
  <c r="M36" i="1"/>
  <c r="U32" i="1"/>
  <c r="W36" i="1"/>
  <c r="G36" i="1"/>
  <c r="O36" i="1"/>
  <c r="Q36" i="1"/>
  <c r="S36" i="1"/>
  <c r="Y21" i="1"/>
  <c r="S12" i="5"/>
  <c r="S13" i="5"/>
  <c r="J39" i="11" l="1"/>
  <c r="H35" i="11"/>
  <c r="H39" i="11"/>
  <c r="Y40" i="1"/>
  <c r="W40" i="1"/>
  <c r="S7" i="5"/>
  <c r="S16" i="5"/>
  <c r="S4" i="5"/>
  <c r="B21" i="5" l="1"/>
  <c r="E12" i="6"/>
  <c r="I16" i="1"/>
  <c r="K16" i="1"/>
  <c r="M16" i="1"/>
  <c r="O16" i="1"/>
  <c r="Q16" i="1"/>
  <c r="S16" i="1"/>
  <c r="U16" i="1"/>
  <c r="I17" i="1"/>
  <c r="K17" i="1"/>
  <c r="M17" i="1"/>
  <c r="O17" i="1"/>
  <c r="Q17" i="1"/>
  <c r="S17" i="1"/>
  <c r="U17" i="1"/>
  <c r="I18" i="1"/>
  <c r="K18" i="1"/>
  <c r="M18" i="1"/>
  <c r="O18" i="1"/>
  <c r="Q18" i="1"/>
  <c r="S18" i="1"/>
  <c r="U18" i="1"/>
  <c r="I19" i="1"/>
  <c r="K19" i="1"/>
  <c r="M19" i="1"/>
  <c r="O19" i="1"/>
  <c r="Q19" i="1"/>
  <c r="S19" i="1"/>
  <c r="U19" i="1"/>
  <c r="I20" i="1"/>
  <c r="K20" i="1"/>
  <c r="M20" i="1"/>
  <c r="O20" i="1"/>
  <c r="Q20" i="1"/>
  <c r="S20" i="1"/>
  <c r="U20" i="1"/>
  <c r="G20" i="1"/>
  <c r="G19" i="1"/>
  <c r="G18" i="1"/>
  <c r="G17" i="1"/>
  <c r="G16" i="1"/>
  <c r="I8" i="1"/>
  <c r="K8" i="1"/>
  <c r="M8" i="1"/>
  <c r="O8" i="1"/>
  <c r="Q8" i="1"/>
  <c r="S8" i="1"/>
  <c r="U8" i="1"/>
  <c r="I9" i="1"/>
  <c r="K9" i="1"/>
  <c r="M9" i="1"/>
  <c r="O9" i="1"/>
  <c r="Q9" i="1"/>
  <c r="S9" i="1"/>
  <c r="U9" i="1"/>
  <c r="I10" i="1"/>
  <c r="K10" i="1"/>
  <c r="M10" i="1"/>
  <c r="O10" i="1"/>
  <c r="Q10" i="1"/>
  <c r="S10" i="1"/>
  <c r="U10" i="1"/>
  <c r="G10" i="1"/>
  <c r="G9" i="1"/>
  <c r="G8" i="1"/>
  <c r="I5" i="1"/>
  <c r="K5" i="1"/>
  <c r="M5" i="1"/>
  <c r="O5" i="1"/>
  <c r="Q5" i="1"/>
  <c r="S5" i="1"/>
  <c r="U5" i="1"/>
  <c r="I6" i="1"/>
  <c r="K6" i="1"/>
  <c r="M6" i="1"/>
  <c r="O6" i="1"/>
  <c r="Q6" i="1"/>
  <c r="S6" i="1"/>
  <c r="U6" i="1"/>
  <c r="I7" i="1"/>
  <c r="K7" i="1"/>
  <c r="M7" i="1"/>
  <c r="O7" i="1"/>
  <c r="Q7" i="1"/>
  <c r="S7" i="1"/>
  <c r="U7" i="1"/>
  <c r="G5" i="1"/>
  <c r="G6" i="1"/>
  <c r="G7" i="1"/>
  <c r="I15" i="1"/>
  <c r="K15" i="1"/>
  <c r="M15" i="1"/>
  <c r="O15" i="1"/>
  <c r="Q15" i="1"/>
  <c r="S15" i="1"/>
  <c r="U15" i="1"/>
  <c r="G15" i="1"/>
  <c r="I14" i="1"/>
  <c r="K14" i="1"/>
  <c r="M14" i="1"/>
  <c r="O14" i="1"/>
  <c r="Q14" i="1"/>
  <c r="S14" i="1"/>
  <c r="U14" i="1"/>
  <c r="G14" i="1"/>
  <c r="I13" i="1"/>
  <c r="K13" i="1"/>
  <c r="M13" i="1"/>
  <c r="O13" i="1"/>
  <c r="Q13" i="1"/>
  <c r="S13" i="1"/>
  <c r="U13" i="1"/>
  <c r="I12" i="1"/>
  <c r="K12" i="1"/>
  <c r="M12" i="1"/>
  <c r="O12" i="1"/>
  <c r="Q12" i="1"/>
  <c r="S12" i="1"/>
  <c r="U12" i="1"/>
  <c r="AA12" i="1" s="1"/>
  <c r="I11" i="1"/>
  <c r="K11" i="1"/>
  <c r="M11" i="1"/>
  <c r="O11" i="1"/>
  <c r="Q11" i="1"/>
  <c r="S11" i="1"/>
  <c r="U11" i="1"/>
  <c r="G11" i="1"/>
  <c r="G13" i="1"/>
  <c r="G12" i="1"/>
  <c r="G21" i="1" l="1"/>
  <c r="AA17" i="1"/>
  <c r="AA19" i="1"/>
  <c r="AA18" i="1"/>
  <c r="S21" i="1"/>
  <c r="Q21" i="1"/>
  <c r="U21" i="1"/>
  <c r="AA11" i="1"/>
  <c r="AA20" i="1"/>
  <c r="O21" i="1"/>
  <c r="M21" i="1"/>
  <c r="K21" i="1"/>
  <c r="I21" i="1"/>
  <c r="AA13" i="1"/>
  <c r="AA14" i="1"/>
  <c r="AA15" i="1"/>
  <c r="AA16" i="1"/>
  <c r="J15" i="11"/>
  <c r="J19" i="11"/>
  <c r="J7" i="11"/>
  <c r="J23" i="11"/>
  <c r="J11" i="11"/>
  <c r="D3" i="11"/>
  <c r="J3" i="11"/>
  <c r="D28" i="11"/>
  <c r="D24" i="11"/>
  <c r="D16" i="11"/>
  <c r="D20" i="11"/>
  <c r="D23" i="11"/>
  <c r="D4" i="11"/>
  <c r="D15" i="11"/>
  <c r="D27" i="11"/>
  <c r="D12" i="11"/>
  <c r="D8" i="11"/>
  <c r="D7" i="11"/>
  <c r="D32" i="11"/>
  <c r="D31" i="11"/>
  <c r="D19" i="11"/>
  <c r="D11" i="11"/>
  <c r="J27" i="11" l="1"/>
  <c r="AA21" i="1"/>
  <c r="J31" i="11"/>
  <c r="H27" i="11"/>
  <c r="O10" i="11"/>
  <c r="H3" i="11"/>
  <c r="H15" i="11"/>
  <c r="H19" i="11"/>
  <c r="H23" i="11"/>
  <c r="H11" i="11"/>
  <c r="H7" i="11"/>
  <c r="H31" i="11"/>
  <c r="E6" i="6"/>
  <c r="O3" i="11" l="1"/>
  <c r="Y25" i="1"/>
  <c r="Y24" i="1"/>
  <c r="W25" i="1"/>
  <c r="W24" i="1"/>
  <c r="K24" i="1"/>
  <c r="I25" i="1"/>
  <c r="M24" i="1"/>
  <c r="K25" i="1"/>
  <c r="G25" i="1"/>
  <c r="O24" i="1"/>
  <c r="M25" i="1"/>
  <c r="G24" i="1"/>
  <c r="O25" i="1"/>
  <c r="I24" i="1"/>
  <c r="Q24" i="1"/>
  <c r="S24" i="1"/>
  <c r="Q25" i="1"/>
  <c r="U24" i="1"/>
  <c r="S25" i="1"/>
  <c r="U25" i="1"/>
  <c r="K30" i="1"/>
  <c r="M30" i="1"/>
  <c r="O30" i="1"/>
  <c r="Q30" i="1"/>
  <c r="S30" i="1"/>
  <c r="U30" i="1"/>
  <c r="I30" i="1"/>
  <c r="G30" i="1"/>
  <c r="I29" i="1"/>
  <c r="K29" i="1"/>
  <c r="M29" i="1"/>
  <c r="O29" i="1"/>
  <c r="Q29" i="1"/>
  <c r="S29" i="1"/>
  <c r="U29" i="1"/>
  <c r="G29" i="1"/>
  <c r="I26" i="1"/>
  <c r="K26" i="1"/>
  <c r="M26" i="1"/>
  <c r="O26" i="1"/>
  <c r="Q26" i="1"/>
  <c r="S26" i="1"/>
  <c r="U26" i="1"/>
  <c r="G26" i="1"/>
  <c r="E5" i="6"/>
  <c r="E7" i="6"/>
  <c r="K10" i="6"/>
  <c r="H10" i="6"/>
  <c r="AN5" i="1"/>
  <c r="AN8" i="1"/>
  <c r="AN11" i="1"/>
  <c r="AN16" i="1"/>
  <c r="AN22" i="1"/>
  <c r="AN24" i="1"/>
  <c r="AN26" i="1"/>
  <c r="AN27" i="1"/>
  <c r="AN29" i="1"/>
  <c r="AN30" i="1"/>
  <c r="Y28" i="1" l="1"/>
  <c r="Y27" i="1"/>
  <c r="W28" i="1"/>
  <c r="W27" i="1"/>
  <c r="Y22" i="1"/>
  <c r="W23" i="1"/>
  <c r="W22" i="1"/>
  <c r="Y23" i="1"/>
  <c r="Y44" i="1"/>
  <c r="K44" i="1"/>
  <c r="I44" i="1"/>
  <c r="M44" i="1"/>
  <c r="G44" i="1"/>
  <c r="U44" i="1"/>
  <c r="W44" i="1"/>
  <c r="S44" i="1"/>
  <c r="K27" i="1"/>
  <c r="Q28" i="1"/>
  <c r="S28" i="1"/>
  <c r="O27" i="1"/>
  <c r="U28" i="1"/>
  <c r="Q27" i="1"/>
  <c r="M27" i="1"/>
  <c r="S27" i="1"/>
  <c r="I28" i="1"/>
  <c r="U27" i="1"/>
  <c r="K28" i="1"/>
  <c r="G28" i="1"/>
  <c r="M28" i="1"/>
  <c r="I27" i="1"/>
  <c r="O28" i="1"/>
  <c r="G27" i="1"/>
  <c r="Q44" i="1"/>
  <c r="M23" i="1"/>
  <c r="O23" i="1"/>
  <c r="S22" i="1"/>
  <c r="Q23" i="1"/>
  <c r="U22" i="1"/>
  <c r="S23" i="1"/>
  <c r="U23" i="1"/>
  <c r="I22" i="1"/>
  <c r="K22" i="1"/>
  <c r="I23" i="1"/>
  <c r="M22" i="1"/>
  <c r="K23" i="1"/>
  <c r="G23" i="1"/>
  <c r="O22" i="1"/>
  <c r="G22" i="1"/>
  <c r="Q22" i="1"/>
  <c r="E10" i="6"/>
  <c r="O44" i="1"/>
  <c r="J26" i="11" l="1"/>
  <c r="J34" i="11"/>
  <c r="J2" i="11"/>
  <c r="J6" i="11"/>
  <c r="F21" i="11"/>
  <c r="J21" i="11" s="1"/>
  <c r="F41" i="11"/>
  <c r="J41" i="11" s="1"/>
  <c r="D10" i="11"/>
  <c r="D13" i="11" s="1"/>
  <c r="H13" i="11" s="1"/>
  <c r="D30" i="11"/>
  <c r="H30" i="11" s="1"/>
  <c r="D26" i="11"/>
  <c r="H26" i="11" s="1"/>
  <c r="D34" i="11"/>
  <c r="D37" i="11" s="1"/>
  <c r="H37" i="11" s="1"/>
  <c r="D18" i="11"/>
  <c r="H18" i="11" s="1"/>
  <c r="D14" i="11"/>
  <c r="D6" i="11"/>
  <c r="D22" i="11"/>
  <c r="Y31" i="1"/>
  <c r="D38" i="11"/>
  <c r="W31" i="1"/>
  <c r="U31" i="1"/>
  <c r="S31" i="1"/>
  <c r="Q31" i="1"/>
  <c r="O31" i="1"/>
  <c r="M31" i="1"/>
  <c r="K31" i="1"/>
  <c r="I31" i="1"/>
  <c r="G31" i="1"/>
  <c r="J18" i="11" l="1"/>
  <c r="F5" i="11"/>
  <c r="J5" i="11" s="1"/>
  <c r="F29" i="11"/>
  <c r="J29" i="11" s="1"/>
  <c r="F37" i="11"/>
  <c r="J37" i="11" s="1"/>
  <c r="F9" i="11"/>
  <c r="J9" i="11" s="1"/>
  <c r="D33" i="11"/>
  <c r="H33" i="11" s="1"/>
  <c r="J38" i="11"/>
  <c r="H10" i="11"/>
  <c r="J22" i="11"/>
  <c r="F25" i="11"/>
  <c r="J25" i="11" s="1"/>
  <c r="F33" i="11"/>
  <c r="J33" i="11" s="1"/>
  <c r="J30" i="11"/>
  <c r="J14" i="11"/>
  <c r="F17" i="11"/>
  <c r="J17" i="11" s="1"/>
  <c r="J10" i="11"/>
  <c r="O9" i="11" s="1"/>
  <c r="F13" i="11"/>
  <c r="J13" i="11" s="1"/>
  <c r="H34" i="11"/>
  <c r="D29" i="11"/>
  <c r="H29" i="11" s="1"/>
  <c r="D21" i="11"/>
  <c r="H21" i="11" s="1"/>
  <c r="H2" i="11"/>
  <c r="D5" i="11"/>
  <c r="H5" i="11" s="1"/>
  <c r="H38" i="11"/>
  <c r="D41" i="11"/>
  <c r="H41" i="11" s="1"/>
  <c r="D25" i="11"/>
  <c r="H25" i="11" s="1"/>
  <c r="H22" i="11"/>
  <c r="H14" i="11"/>
  <c r="D17" i="11"/>
  <c r="H17" i="11" s="1"/>
  <c r="H6" i="11"/>
  <c r="D9" i="11"/>
  <c r="H9" i="11" s="1"/>
  <c r="AA44" i="1"/>
  <c r="O2" i="11" l="1"/>
  <c r="M2" i="1"/>
  <c r="O2" i="1"/>
  <c r="Q2" i="1"/>
  <c r="S2" i="1"/>
  <c r="U2" i="1"/>
  <c r="K2" i="1"/>
  <c r="W2" i="1"/>
  <c r="I2" i="1"/>
  <c r="Y2" i="1"/>
  <c r="G2" i="1"/>
  <c r="I14" i="5"/>
  <c r="Q14" i="5"/>
  <c r="P14" i="5"/>
  <c r="K14" i="5"/>
  <c r="R14" i="5"/>
  <c r="M14" i="5"/>
  <c r="O14" i="5"/>
  <c r="J14" i="5"/>
  <c r="L14" i="5"/>
  <c r="N14" i="5"/>
  <c r="K45" i="1" l="1"/>
  <c r="S15" i="5"/>
  <c r="S14" i="5"/>
  <c r="Q45" i="1"/>
  <c r="I45" i="1"/>
  <c r="W45" i="1"/>
  <c r="M45" i="1"/>
  <c r="S45" i="1"/>
  <c r="U45" i="1"/>
  <c r="G40" i="1"/>
  <c r="G42" i="1" s="1"/>
  <c r="Q40" i="1"/>
  <c r="Q42" i="1" s="1"/>
  <c r="Q43" i="1"/>
  <c r="U40" i="1"/>
  <c r="U42" i="1" s="1"/>
  <c r="U43" i="1"/>
  <c r="O45" i="1"/>
  <c r="I40" i="1"/>
  <c r="I42" i="1" s="1"/>
  <c r="I43" i="1"/>
  <c r="M40" i="1"/>
  <c r="M42" i="1" s="1"/>
  <c r="M43" i="1"/>
  <c r="O40" i="1"/>
  <c r="O42" i="1" s="1"/>
  <c r="O43" i="1"/>
  <c r="S40" i="1"/>
  <c r="S42" i="1" s="1"/>
  <c r="S43" i="1"/>
  <c r="W42" i="1"/>
  <c r="W43" i="1"/>
  <c r="K40" i="1"/>
  <c r="K42" i="1" s="1"/>
  <c r="K43" i="1"/>
  <c r="Y45" i="1"/>
  <c r="G45" i="1"/>
  <c r="Y42" i="1"/>
  <c r="Y43" i="1"/>
  <c r="G43" i="1"/>
  <c r="B22" i="5"/>
  <c r="B26" i="5" s="1"/>
  <c r="AA45" i="1" l="1"/>
  <c r="AA42" i="1"/>
  <c r="AA43" i="1"/>
  <c r="S16" i="8" l="1"/>
  <c r="S15" i="8"/>
  <c r="R15" i="8"/>
  <c r="W15" i="8"/>
  <c r="U15" i="8"/>
  <c r="V15" i="8"/>
  <c r="X15" i="8"/>
  <c r="T15" i="8"/>
  <c r="Z16" i="8" l="1"/>
  <c r="Z15" i="8"/>
  <c r="AB15" i="8"/>
  <c r="Y15" i="8"/>
  <c r="AE15" i="8"/>
  <c r="AA15" i="8"/>
  <c r="AC15" i="8"/>
  <c r="AD15" i="8"/>
</calcChain>
</file>

<file path=xl/sharedStrings.xml><?xml version="1.0" encoding="utf-8"?>
<sst xmlns="http://schemas.openxmlformats.org/spreadsheetml/2006/main" count="575" uniqueCount="279">
  <si>
    <t>Financing Source</t>
  </si>
  <si>
    <t xml:space="preserve">Budget Account Description </t>
  </si>
  <si>
    <t>GCF</t>
  </si>
  <si>
    <t>Travel</t>
  </si>
  <si>
    <t>Component 2</t>
  </si>
  <si>
    <t>Total Component 1</t>
  </si>
  <si>
    <t>Total Component 2</t>
  </si>
  <si>
    <t>Output 1.2</t>
  </si>
  <si>
    <t>Output</t>
  </si>
  <si>
    <t>Component</t>
  </si>
  <si>
    <t>Total Amount</t>
  </si>
  <si>
    <t>International consultant</t>
  </si>
  <si>
    <t>Total Amount GCF</t>
  </si>
  <si>
    <t>Project Management Component</t>
  </si>
  <si>
    <t xml:space="preserve">Total PM Component </t>
  </si>
  <si>
    <t>A1</t>
  </si>
  <si>
    <t>A2</t>
  </si>
  <si>
    <t>A3</t>
  </si>
  <si>
    <t>A4</t>
  </si>
  <si>
    <t>2A</t>
  </si>
  <si>
    <t>2B</t>
  </si>
  <si>
    <t>2C</t>
  </si>
  <si>
    <t>PM1</t>
  </si>
  <si>
    <t>PM2</t>
  </si>
  <si>
    <t>Detailed Budget Notes</t>
  </si>
  <si>
    <t>Notes and Assumptions*</t>
  </si>
  <si>
    <t xml:space="preserve">*Please provide detailed assumptions, formulae and calculations underlying each budget line item to provide basis of how these costs are arrived in the separate excel file referring to Notes and Assumptions. Please also provide the assumptions regarding the exchange rates used for budgeting, if applicable. </t>
  </si>
  <si>
    <t>Annex 4 Detailed budget plan</t>
  </si>
  <si>
    <t>Output 2.1</t>
  </si>
  <si>
    <t>Output 2.2</t>
  </si>
  <si>
    <t>Output 2.3</t>
  </si>
  <si>
    <t>Output 2.4</t>
  </si>
  <si>
    <t>German Goverment</t>
  </si>
  <si>
    <t>AFD</t>
  </si>
  <si>
    <t>AFD Group</t>
  </si>
  <si>
    <t>Financing agreement</t>
  </si>
  <si>
    <t xml:space="preserve">TA costs will be co-financed by AFD. So the breakdown of costs for A2 is the same as for A1. </t>
  </si>
  <si>
    <t>Total (EUR)</t>
  </si>
  <si>
    <t>Total Amount German Government</t>
  </si>
  <si>
    <t>Total Amount AFD Group</t>
  </si>
  <si>
    <t>Component 1</t>
  </si>
  <si>
    <t>Results</t>
  </si>
  <si>
    <t>Activities</t>
  </si>
  <si>
    <t>Sub - Activities</t>
  </si>
  <si>
    <t>Notes and Assump*</t>
  </si>
  <si>
    <t>Amount Year 1 (EUR)</t>
  </si>
  <si>
    <t>Amount Year 2 (EUR)</t>
  </si>
  <si>
    <t>Amount Year 3 (EUR)</t>
  </si>
  <si>
    <t>Amount Year 4 (EUR)</t>
  </si>
  <si>
    <t>Amount Year 5 (EUR)</t>
  </si>
  <si>
    <t>Amount Year 6 (EUR)</t>
  </si>
  <si>
    <t>Amount Year 7 (EUR)</t>
  </si>
  <si>
    <t>Amount Year 8 (EUR)</t>
  </si>
  <si>
    <t>Amount Year 9 (EUR)</t>
  </si>
  <si>
    <t>Amount Year 10 (EUR)</t>
  </si>
  <si>
    <t>Programme Management Cost</t>
  </si>
  <si>
    <t>Consultants</t>
  </si>
  <si>
    <t>Final audit costs</t>
  </si>
  <si>
    <t>Communication</t>
  </si>
  <si>
    <t>Communication costs (website and miscellaneous communication services)</t>
  </si>
  <si>
    <t>Total Programme Management Cost</t>
  </si>
  <si>
    <t>PMU Budget Category Summary (EUR)</t>
  </si>
  <si>
    <t>Staff</t>
  </si>
  <si>
    <t>International Consultants</t>
  </si>
  <si>
    <t>Local Consultants</t>
  </si>
  <si>
    <t>Professional/Contractual Services</t>
  </si>
  <si>
    <t xml:space="preserve">PMU Total - funding </t>
  </si>
  <si>
    <t>PMU</t>
  </si>
  <si>
    <t>Professional/Contractual services</t>
  </si>
  <si>
    <t>Notes and Assumptions</t>
  </si>
  <si>
    <t>Total Amount AFD</t>
  </si>
  <si>
    <t>Output 1.1</t>
  </si>
  <si>
    <t>German Government</t>
  </si>
  <si>
    <t>TA costs for Output 4 will be co-financed by German Government to GIZ</t>
  </si>
  <si>
    <t>Project/Programme Title: PEEB Cool indicative budget plan</t>
  </si>
  <si>
    <t>Percentage - year 1</t>
  </si>
  <si>
    <t>Percentage - year 2</t>
  </si>
  <si>
    <t>Percentage - year 3</t>
  </si>
  <si>
    <t>Percentage - year 4</t>
  </si>
  <si>
    <t>Percentage - year 5</t>
  </si>
  <si>
    <t>Percentage - year 6</t>
  </si>
  <si>
    <t>Percentage - year 7</t>
  </si>
  <si>
    <t>Percentage - year 8</t>
  </si>
  <si>
    <t>Percentage - year 9</t>
  </si>
  <si>
    <t>Percentage - year 10</t>
  </si>
  <si>
    <t>GCF financing</t>
  </si>
  <si>
    <t>Co-financing - AFD / Proparco</t>
  </si>
  <si>
    <t>Co-financing - German Government</t>
  </si>
  <si>
    <t>Financial Instrument</t>
  </si>
  <si>
    <t>Component 1: Project facility</t>
  </si>
  <si>
    <t>1.1. Project owners are supported in the various phases of their investment</t>
  </si>
  <si>
    <t>Grants</t>
  </si>
  <si>
    <t>N/A</t>
  </si>
  <si>
    <t>1.2. Financing agreements for investments are signed</t>
  </si>
  <si>
    <t>Senior Loan</t>
  </si>
  <si>
    <r>
      <rPr>
        <sz val="10"/>
        <color theme="1"/>
        <rFont val="Arial"/>
      </rPr>
      <t xml:space="preserve">Component 2: Investment and policy framework facility </t>
    </r>
    <r>
      <rPr>
        <sz val="10"/>
        <color theme="1"/>
        <rFont val="Cambria"/>
      </rPr>
      <t> </t>
    </r>
  </si>
  <si>
    <t>2.1. Sectoral investment framework demonstrates potential for green recovery</t>
  </si>
  <si>
    <t>2.2. Policy proposals prepare the ground for building sector transformation</t>
  </si>
  <si>
    <t>2.3. Private and public sector actors are enabled to work towards building sector transformation</t>
  </si>
  <si>
    <t>2.4. Programme experience supports the global building sector transformation</t>
  </si>
  <si>
    <t xml:space="preserve">Grants </t>
  </si>
  <si>
    <t>Programme Management Unit</t>
  </si>
  <si>
    <r>
      <rPr>
        <b/>
        <sz val="10"/>
        <color theme="1"/>
        <rFont val="Arial"/>
      </rPr>
      <t>Indicative total cost</t>
    </r>
    <r>
      <rPr>
        <sz val="10"/>
        <color theme="1"/>
        <rFont val="Arial"/>
      </rPr>
      <t xml:space="preserve"> </t>
    </r>
    <r>
      <rPr>
        <b/>
        <sz val="10"/>
        <color theme="1"/>
        <rFont val="Arial"/>
      </rPr>
      <t>(Million EUR)</t>
    </r>
  </si>
  <si>
    <t>Total</t>
  </si>
  <si>
    <t>Country</t>
  </si>
  <si>
    <t>Albania</t>
  </si>
  <si>
    <t>Argentina</t>
  </si>
  <si>
    <t>Djibouti</t>
  </si>
  <si>
    <t>Indonesia</t>
  </si>
  <si>
    <t>N. Macedonia</t>
  </si>
  <si>
    <t>Mexico</t>
  </si>
  <si>
    <t>Morocco</t>
  </si>
  <si>
    <t>Nigeria</t>
  </si>
  <si>
    <t>Sri Lanka</t>
  </si>
  <si>
    <t>Tunisia</t>
  </si>
  <si>
    <t>Financing instrument</t>
  </si>
  <si>
    <t>Grant</t>
  </si>
  <si>
    <t>Local consultants</t>
  </si>
  <si>
    <t>International consultants</t>
  </si>
  <si>
    <t>Construction cost</t>
  </si>
  <si>
    <t>Credit line</t>
  </si>
  <si>
    <t>Loan</t>
  </si>
  <si>
    <t>Professional/contractual services</t>
  </si>
  <si>
    <t>GCF PMU as % of grant</t>
  </si>
  <si>
    <t>Unit cost</t>
  </si>
  <si>
    <t>Loan approval period</t>
  </si>
  <si>
    <t>Loan disbursement period</t>
  </si>
  <si>
    <t>Indicative cost (MEUR)</t>
  </si>
  <si>
    <t>Amount (MEUR)</t>
  </si>
  <si>
    <t>On a per-country basis, it is estimated that the TA packages will be on average:
- For Output 2.1: Sectoral investment frameworks unlock investment potential for green recovery: 0.5 MEUR per country.
- For Output 2.2: Policy proposals prepare the ground for building sector transformation: 0.7 MEUR per country.
- For Output 2.3: Private and public sector actors are enabled to work towards building sector transformation: 0.4 MEUR per country
For the outputs implemented by GIZ, the gross amounts include: 
• overheads of approximately 14%. This is an average, as the overheads percentage is different for different budget lines. 
• Imputed profit of 1%. 
• The VAT (7%) is subject to the setup of the cooperation with the local political partners in the countries. For the moment it is calculated on the whole budget, but in the countries where there is a political partner, it will be not relevant / calculated. 
GIZ’s direct program costs include directly charged program costs as well as allocated program costs in line with GIZ’s agreed standard procedure for processing BMU commissions. 
Technical assistance (TA) costs will be implemented by GIZ along with another contractor (potentially Expertise France). The following elements relate to GIZ budget.
GIZ will act as an Executing Entity.  The grant will be implemented according to the standards set in the commissioning through BMU. 
The amounts are gross, including overheads, imputed profit and 7% VAT in Germany. 
The VAT is subject to the setup of the cooperation with the local political partners in the countries.
GIZ’s direct program costs include directly charged program costs as well as allocated program costs in line with GIZ’s agreed standard procedure for processing BMU commissions.									
Costs for International and local consultants include the award of contracts for services and contracts for work and labour to companies and institutions (legal entities such as consulting firms, universities, training institutions, management consultancy firms and maintenance companies) and to individuals.									
Acting as an Executing Entity, the grant includes GIZ's applicable mark-up rates and an imputed profit for the settlement of its overhead costs as in its operations for the BMU. 									
The program budget and accounts shall be kept in euros.									
Any conversion into or from currencies other than euros will be undertaken in accordance with GIZ’s agreed standard procedure for processing BMU commissions.									
The expenditure planning for each year is approximate, a more accurate planning can be submitted when the program has started, and we have more detailed information.</t>
  </si>
  <si>
    <t>TA costs for Output 2 will be co-financed by German Government to GIZ. Considering a total budget of 8.8MEUR for this output, the allocation per country (13 countries) is 0,67 MEUR.</t>
  </si>
  <si>
    <t>Estimated GCF funding allocation per country</t>
  </si>
  <si>
    <t>Comp.3</t>
  </si>
  <si>
    <t>Comp.2</t>
  </si>
  <si>
    <t>Comp.1</t>
  </si>
  <si>
    <t>Estimated co-financing allocation per country</t>
  </si>
  <si>
    <t>Supervision missions (2 per year for programm coordinator)</t>
  </si>
  <si>
    <t>Final report - Program coordinator</t>
  </si>
  <si>
    <t>Inception workshop preparation</t>
  </si>
  <si>
    <t>Steering committees</t>
  </si>
  <si>
    <t>Continuous monitoring</t>
  </si>
  <si>
    <t>Annual performance reports</t>
  </si>
  <si>
    <t>Monitoring &amp; Evaluation by PMU</t>
  </si>
  <si>
    <t>According to Monitoring &amp; Evaluation Budget detailed in Annex 11</t>
  </si>
  <si>
    <t>Consultants for final audit (113 kEUR) and communication (website and other communication services complementary to 2.4 output)</t>
  </si>
  <si>
    <t>PM3</t>
  </si>
  <si>
    <t>Data/Source</t>
  </si>
  <si>
    <t>Collection Tool</t>
  </si>
  <si>
    <t>Frequency</t>
  </si>
  <si>
    <t>Indicator</t>
  </si>
  <si>
    <t>Indicative Budget</t>
  </si>
  <si>
    <t>Fund-level outcomes: reduced emissions and increased resilience</t>
  </si>
  <si>
    <t>- Ex ante building (or industry) simulation / energy audits
- Data from energy monitoring system
- Independent ex-ante and ex-post verifications conducted by a 3rd party contractor 
- Independent surveys conducted by a 3rd party contractor</t>
  </si>
  <si>
    <t>Survey / Analysis / Document review</t>
  </si>
  <si>
    <t>Annually and more detailed at mid-term &amp; final evaluation</t>
  </si>
  <si>
    <t>Core 1: GHG emissions reduced, avoided or removed/sequestered</t>
  </si>
  <si>
    <t>Review of energy bills from refurbished and constructed buildings, baseline calculations using EDGE software</t>
  </si>
  <si>
    <t>Document review</t>
  </si>
  <si>
    <t>Annually, and more detailed at mid-term &amp; final evaluations</t>
  </si>
  <si>
    <t>Supplementary 1.1: Annual energy savings</t>
  </si>
  <si>
    <t>- Number of males and females benefiting from improved buildings.
- Document review and key informant interviews to know the utilization rate of the buildings.
- For national housing program, the number of beneficiaries will be known by taking into account the number of dwellings and the average household size in the country</t>
  </si>
  <si>
    <t>Document review &amp; Key informant interviews</t>
  </si>
  <si>
    <t>Core 2: Direct and indirect beneficiaries reached
Supplementary 2.6: Beneficiaries (female/male) living in buildings that have increased resilience against climate hazards</t>
  </si>
  <si>
    <t>Project documentation disaggregated by sector, type of asset and action (construction or refurbishment)</t>
  </si>
  <si>
    <t>Core 3: Value of physical assets made more resilient to the effects of climate change and/or more able to reduce GHG emissions</t>
  </si>
  <si>
    <t>Fund-level outcomes: Enabling environment</t>
  </si>
  <si>
    <t>- World Bank RISE database,
- PEEB Cool score card based on national strategic documents, national evaluation reports, market intelligence, mission reports, stakeholder interviews (at mid-term &amp; final evaluation)</t>
  </si>
  <si>
    <t>Other (please specify)</t>
  </si>
  <si>
    <t>Core Indicator 5: Degree to which GCF investments contribute to strengthening institutional and regulatory frameworks for low emission climate-resilient development pathways in a country-driven manner</t>
  </si>
  <si>
    <t>PEEB Cool score card based on national strategic documents, national evaluation reports, market intelligence, mission reports, stakeholder interviews (at mid-term &amp; final evaluation)</t>
  </si>
  <si>
    <t xml:space="preserve">Annually, and more detailed at mid-term &amp; final evaluations </t>
  </si>
  <si>
    <t>Core indicator 8: Degree to which GCF investments contribute to effective knowledge generation and learning processes, and use of good practices, methodologies and standards</t>
  </si>
  <si>
    <t>Programme specific indicators and deliverables</t>
  </si>
  <si>
    <t>Component 1: Investment facility</t>
  </si>
  <si>
    <t>Outcome 1: Number of projects on which technical assistance was provided, either at identification stage or at a later stage</t>
  </si>
  <si>
    <t>Each year</t>
  </si>
  <si>
    <t>Number of projects that receive support at identification, instruction and/or implementation phase</t>
  </si>
  <si>
    <t>Output 1.2: Number of board approvals for PEEB Cool projects</t>
  </si>
  <si>
    <t>Number of projects for which financing is secured and their total volume</t>
  </si>
  <si>
    <t>Component 2: Enabling facility</t>
  </si>
  <si>
    <t>Output 2.1: 
- Sectoral frameworks (studies, action plans, roadmaps, initiatives, labels, press reporting, publications etc.)</t>
  </si>
  <si>
    <t>Annually</t>
  </si>
  <si>
    <t>Number of sectoral frameworks or initiatives elaborated</t>
  </si>
  <si>
    <t>Output 2.2: 
- Final deliverables of policy proposal documents
- Minutes of meetings with government representatives
- Publications</t>
  </si>
  <si>
    <t>Number of policies elaborated</t>
  </si>
  <si>
    <t>Output 2.3: 
- Participant lists of trainings 
- Evaluation sheets of trainings</t>
  </si>
  <si>
    <t>Survey/questionnaire</t>
  </si>
  <si>
    <t>Number of training events conducted</t>
  </si>
  <si>
    <t>Output 2.4
- Participants lists 
- Social media interactions (likes, clicks, views, …)</t>
  </si>
  <si>
    <t>Number of events at which PEEB Cool experiences are disseminated</t>
  </si>
  <si>
    <t>Programme co-benefit indicators</t>
  </si>
  <si>
    <t>- Number of jobs created in green building construction
- Construction association reports</t>
  </si>
  <si>
    <t>Twice – mid-term and final evaluations</t>
  </si>
  <si>
    <t>Number of jobs created in green building construction sector</t>
  </si>
  <si>
    <t>Evaluation</t>
  </si>
  <si>
    <t>Type</t>
  </si>
  <si>
    <t>Timing</t>
  </si>
  <si>
    <t xml:space="preserve">Independent/Self-evaluation </t>
  </si>
  <si>
    <t>Formative</t>
  </si>
  <si>
    <t>Inception workshop within 3 months of start of program</t>
  </si>
  <si>
    <t>Self-Assessment</t>
  </si>
  <si>
    <t>Process</t>
  </si>
  <si>
    <t>Program steering committee</t>
  </si>
  <si>
    <t>Supervision missions by AFD or PROPARCO</t>
  </si>
  <si>
    <t>Continuous monitoring from PMU</t>
  </si>
  <si>
    <t>Annual performance report from PMU</t>
  </si>
  <si>
    <t>Summative</t>
  </si>
  <si>
    <t>Final report from PMU</t>
  </si>
  <si>
    <t>€ 15,000 - Included in PMU time</t>
  </si>
  <si>
    <t>Impact</t>
  </si>
  <si>
    <t>Independent interim evaluation</t>
  </si>
  <si>
    <t>Independent</t>
  </si>
  <si>
    <t>Independent terminal evaluation at the end of the program</t>
  </si>
  <si>
    <t>Monitoring - Data generation and collection activities</t>
  </si>
  <si>
    <t>Monitoring - other activities</t>
  </si>
  <si>
    <t>TOTAL MONITORING</t>
  </si>
  <si>
    <t>TOTAL EVALUATION (AE FEES)</t>
  </si>
  <si>
    <t>Data generation and collection activities</t>
  </si>
  <si>
    <t>Monitoring - Data collection activities</t>
  </si>
  <si>
    <t>€ 30,000 Included in staff and PMU time</t>
  </si>
  <si>
    <t>Currency</t>
  </si>
  <si>
    <t>EUR or USD equivalent</t>
  </si>
  <si>
    <t>Year 1</t>
  </si>
  <si>
    <t>Year 2</t>
  </si>
  <si>
    <t>Year 3</t>
  </si>
  <si>
    <t>Year 4</t>
  </si>
  <si>
    <t>Year 5</t>
  </si>
  <si>
    <t>Year 6</t>
  </si>
  <si>
    <t>Year 7</t>
  </si>
  <si>
    <t>Year 8</t>
  </si>
  <si>
    <t>Year 9</t>
  </si>
  <si>
    <t>Year 10</t>
  </si>
  <si>
    <t>total grant</t>
  </si>
  <si>
    <t>Costa Rica</t>
  </si>
  <si>
    <t>GCF / AFD</t>
  </si>
  <si>
    <t>Loan approval period duration (yrs)</t>
  </si>
  <si>
    <t>Loan disbursement period duration (yrs)</t>
  </si>
  <si>
    <t>€ 10,000 per year (€ 100,000 total) - Included in staff time and travel</t>
  </si>
  <si>
    <t>€ 20,000 per year (€ 200,000 total) - Included in PMU time</t>
  </si>
  <si>
    <t>€ 15,000 per year (€ 150,000 total) - Included in PMU time</t>
  </si>
  <si>
    <t>Technical assistance (TA) costs at design and implementation stage. TA will be procured at AFD level and will be composed of international consultants who will partner will local consultants. Based on our first assumptions, ~72% of the TA costs will be allocated to international consultants, ~27% to local consultants and 1% to travel costs. Pool of TA consultants will be hired at the beginning of the programme. It is expected that disbursement take place primarily in the 10 first years of the programme, when investments are taking place with a peak in the first 4 years for projects preparation (feasibility studies). 
TA will include gender expertise of at least 5-10% of total TA costs, during preparation and implementation processes.
Given the expectation that at least 15 (and perhaps significantly more) Projects will be a part of the programme, we estimate a total amount of TA per Project to be around EUR 1.8 million – as consistent with AFD experience for investment Projects averaging at least EUR 60 million.</t>
  </si>
  <si>
    <t>PMU staff composed of one program coordinator and one program officer for 10 years. These human ressources will be running monitoring activities (PM1 &amp; PM2).
A detailed breakdown of the estimated costs for PM1 &amp; PM2 is given in the sheet "M&amp;E Budget"
GIZ staff part time allocated to PEEB Cool's PMU are also represented</t>
  </si>
  <si>
    <t>€ 250,000 - Included in AE fees</t>
  </si>
  <si>
    <t>Impact &amp; summative</t>
  </si>
  <si>
    <t>Independent data collection and analysis that will feed into the interim and/or final evaluations</t>
  </si>
  <si>
    <t xml:space="preserve">€ 50,000 per independent evaluation (€ 100,000 total)
Included in M&amp;E costs
</t>
  </si>
  <si>
    <t>Independent data collection and analysis</t>
  </si>
  <si>
    <t>M&amp;E</t>
  </si>
  <si>
    <t>External audit</t>
  </si>
  <si>
    <t>Co-financing of GCF in subprojects. Because of the programmatic approach, it is not possible to know at this stage the exact breakdown of costs. Simulations have been prepared based on identified subprojects in the country forms and PEEB experience. It is expected that ~50% of costs will be allocated to construction; ~45% to financing agreements will financial intermediaires and the remaining will be split between international and local consultants (primarily project management and E&amp;S teams), furniture (renewable energy furniture) and travel. A3 and A4 will be committed on a subproject by subproject basis. It is expected that the funds are committed in the first 5 years of the programme, and disbursements to take place with a peak between years 6 and 9.</t>
  </si>
  <si>
    <t>A4 constitutes the co-financing from AFD Group, either AFD or PROPARCO. If a subproject is co-financed by GCF and AFD/PROPARCO, it is expected to disburse the funds pari passu. It is possible that subprojects be financed by other co-financers along with AFD Group and GCF.</t>
  </si>
  <si>
    <t>Total Disbursement</t>
  </si>
  <si>
    <t>Source of financing?</t>
  </si>
  <si>
    <t>total grant per source of financing</t>
  </si>
  <si>
    <t>Indicative cost (MUSD)</t>
  </si>
  <si>
    <t>Amount (MUSD)</t>
  </si>
  <si>
    <t>EUR</t>
  </si>
  <si>
    <t>USD</t>
  </si>
  <si>
    <t>Total (USD)</t>
  </si>
  <si>
    <t>Estimated GCF funding allocation</t>
  </si>
  <si>
    <t>Estimated co-financing allocation</t>
  </si>
  <si>
    <t>GCF Tranche loan</t>
  </si>
  <si>
    <t>Co-financing allocation loan</t>
  </si>
  <si>
    <t>GCF Tranche TA</t>
  </si>
  <si>
    <t>Co-financing TA</t>
  </si>
  <si>
    <t>Co-financing ratio loan GCF/loan AFD</t>
  </si>
  <si>
    <t>Total programme financing</t>
  </si>
  <si>
    <t>Amount (mEUR)</t>
  </si>
  <si>
    <t>Amount (mUSD)</t>
  </si>
  <si>
    <t>Amount (per source of financing) - mEUR</t>
  </si>
  <si>
    <t>Amount (per source of financing) - mUSD</t>
  </si>
  <si>
    <t>Total Amount (mEUR)</t>
  </si>
  <si>
    <t>Total Amount (mUSD)</t>
  </si>
  <si>
    <t>Total Amount (per source of financing - mEUR)</t>
  </si>
  <si>
    <t>Total Amount (per source of financing - mUSD)</t>
  </si>
  <si>
    <t>total loans mEUR</t>
  </si>
  <si>
    <t>total loans mUSD</t>
  </si>
  <si>
    <t>total loans per source of financing mEUR</t>
  </si>
  <si>
    <t>total loans per source of financing mUSD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</si>
</sst>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44" formatCode="_-* #,##0.00\ &quot;€&quot;_-;\-* #,##0.00\ &quot;€&quot;_-;_-* &quot;-&quot;??\ &quot;€&quot;_-;_-@_-"/>
    <numFmt numFmtId="43" formatCode="_-* #,##0.00_-;\-* #,##0.00_-;_-* &quot;-&quot;??_-;_-@_-"/>
    <numFmt numFmtId="164" formatCode="_-* #,##0.00\ _€_-;\-* #,##0.00\ _€_-;_-* &quot;-&quot;??\ _€_-;_-@_-"/>
    <numFmt numFmtId="165" formatCode="&quot;$&quot;#,##0.00"/>
    <numFmt numFmtId="166" formatCode="_-* #,##0\ _€_-;\-* #,##0\ _€_-;_-* &quot;-&quot;??\ _€_-;_-@_-"/>
    <numFmt numFmtId="167" formatCode="_-* #,##0_-;\-* #,##0_-;_-* &quot;-&quot;??_-;_-@_-"/>
    <numFmt numFmtId="168" formatCode="[$€-413]\ #,##0.0;[$€-413]\ \-#,##0.0"/>
    <numFmt numFmtId="169" formatCode="[$€-413]\ #,##0.00;[$€-413]\ \-#,##0.00"/>
    <numFmt numFmtId="170" formatCode="_-[$€-2]\ * #,##0_-;\-[$€-2]\ * #,##0_-;_-[$€-2]\ * &quot;-&quot;??_-;_-@_-"/>
    <numFmt numFmtId="171" formatCode="_-* #,##0\ &quot;€&quot;_-;\-* #,##0\ &quot;€&quot;_-;_-* &quot;-&quot;??\ &quot;€&quot;_-;_-@_-"/>
    <numFmt numFmtId="172" formatCode="[$€-2]\ #,##0;[Red]\-[$€-2]\ #,##0"/>
    <numFmt numFmtId="173" formatCode="_-* #,##0.0_-;\-* #,##0.0_-;_-* &quot;-&quot;??_-;_-@_-"/>
    <numFmt numFmtId="174" formatCode="0.000000%"/>
    <numFmt numFmtId="175" formatCode="_-[$$-409]* #,##0.00_ ;_-[$$-409]* \-#,##0.00\ ;_-[$$-409]* &quot;-&quot;??_ ;_-@_ "/>
    <numFmt numFmtId="176" formatCode="_-[$$-409]* #,##0.0_ ;_-[$$-409]* \-#,##0.0\ ;_-[$$-409]* &quot;-&quot;??_ ;_-@_ "/>
    <numFmt numFmtId="177" formatCode="_-[$$-409]* #,##0_ ;_-[$$-409]* \-#,##0\ ;_-[$$-409]* &quot;-&quot;??_ ;_-@_ "/>
  </numFmts>
  <fonts count="25" x14ac:knownFonts="1">
    <font>
      <sz val="11"/>
      <color theme="1"/>
      <name val="Calibri"/>
      <family val="2"/>
      <scheme val="minor"/>
    </font>
    <font>
      <b/>
      <sz val="14"/>
      <color theme="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i/>
      <sz val="11"/>
      <color theme="1"/>
      <name val="Calibri"/>
      <family val="2"/>
      <scheme val="minor"/>
    </font>
    <font>
      <b/>
      <i/>
      <sz val="11"/>
      <color theme="1"/>
      <name val="Calibri"/>
      <family val="2"/>
      <scheme val="minor"/>
    </font>
    <font>
      <i/>
      <sz val="11"/>
      <name val="Calibri"/>
      <family val="2"/>
      <scheme val="minor"/>
    </font>
    <font>
      <sz val="10"/>
      <color theme="1"/>
      <name val="Calibri"/>
      <family val="2"/>
      <scheme val="minor"/>
    </font>
    <font>
      <sz val="11"/>
      <color rgb="FF1F497D"/>
      <name val="Calibri"/>
      <family val="2"/>
    </font>
    <font>
      <sz val="8"/>
      <name val="Calibri"/>
      <family val="2"/>
      <scheme val="minor"/>
    </font>
    <font>
      <b/>
      <sz val="10"/>
      <color rgb="FF24634F"/>
      <name val="Arial"/>
    </font>
    <font>
      <sz val="11"/>
      <name val="Arial"/>
    </font>
    <font>
      <sz val="10"/>
      <color theme="1"/>
      <name val="Arial"/>
    </font>
    <font>
      <sz val="10"/>
      <color theme="1"/>
      <name val="Cambria"/>
    </font>
    <font>
      <b/>
      <sz val="10"/>
      <color theme="1"/>
      <name val="Arial"/>
    </font>
    <font>
      <sz val="10"/>
      <color theme="1"/>
      <name val="Calibri"/>
    </font>
    <font>
      <sz val="10"/>
      <color theme="1"/>
      <name val="Arial"/>
      <family val="2"/>
    </font>
    <font>
      <b/>
      <sz val="10"/>
      <color rgb="FF000000"/>
      <name val="Arial"/>
      <family val="2"/>
    </font>
    <font>
      <sz val="10"/>
      <color rgb="FF000000"/>
      <name val="Arial"/>
      <family val="2"/>
    </font>
    <font>
      <i/>
      <sz val="10"/>
      <color rgb="FF808080"/>
      <name val="Arial"/>
      <family val="2"/>
    </font>
    <font>
      <i/>
      <sz val="10"/>
      <color theme="1"/>
      <name val="Arial"/>
      <family val="2"/>
    </font>
    <font>
      <i/>
      <u/>
      <sz val="10"/>
      <color theme="1"/>
      <name val="Arial"/>
      <family val="2"/>
    </font>
    <font>
      <i/>
      <sz val="10"/>
      <color rgb="FF000000"/>
      <name val="Arial"/>
      <family val="2"/>
    </font>
  </fonts>
  <fills count="10">
    <fill>
      <patternFill patternType="none"/>
    </fill>
    <fill>
      <patternFill patternType="gray125"/>
    </fill>
    <fill>
      <patternFill patternType="solid">
        <fgColor theme="4" tint="0.39997558519241921"/>
        <bgColor indexed="64"/>
      </patternFill>
    </fill>
    <fill>
      <patternFill patternType="solid">
        <fgColor theme="8" tint="0.79998168889431442"/>
        <bgColor indexed="64"/>
      </patternFill>
    </fill>
    <fill>
      <patternFill patternType="solid">
        <fgColor rgb="FFFFFF00"/>
        <bgColor indexed="64"/>
      </patternFill>
    </fill>
    <fill>
      <patternFill patternType="solid">
        <fgColor theme="0"/>
        <bgColor indexed="64"/>
      </patternFill>
    </fill>
    <fill>
      <patternFill patternType="solid">
        <fgColor rgb="FFD9D9D9"/>
        <bgColor rgb="FFD9D9D9"/>
      </patternFill>
    </fill>
    <fill>
      <patternFill patternType="solid">
        <fgColor rgb="FFF2F2F2"/>
        <bgColor indexed="64"/>
      </patternFill>
    </fill>
    <fill>
      <patternFill patternType="solid">
        <fgColor rgb="FFD9E2F3"/>
        <bgColor indexed="64"/>
      </patternFill>
    </fill>
    <fill>
      <patternFill patternType="solid">
        <fgColor theme="2" tint="-9.9978637043366805E-2"/>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top style="thin">
        <color rgb="FF000000"/>
      </top>
      <bottom style="thin">
        <color rgb="FF000000"/>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9"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cellStyleXfs>
  <cellXfs count="283">
    <xf numFmtId="0" fontId="0" fillId="0" borderId="0" xfId="0"/>
    <xf numFmtId="0" fontId="0" fillId="2" borderId="1" xfId="0" applyFill="1" applyBorder="1"/>
    <xf numFmtId="0" fontId="0" fillId="4" borderId="1" xfId="0" applyFill="1" applyBorder="1" applyAlignment="1">
      <alignment wrapText="1"/>
    </xf>
    <xf numFmtId="0" fontId="1" fillId="0" borderId="0" xfId="0" applyFont="1"/>
    <xf numFmtId="0" fontId="0" fillId="2" borderId="0" xfId="0" applyFill="1" applyBorder="1" applyAlignment="1">
      <alignment horizontal="center" vertical="center" wrapText="1"/>
    </xf>
    <xf numFmtId="3" fontId="0" fillId="0" borderId="1" xfId="0" applyNumberFormat="1" applyBorder="1" applyAlignment="1">
      <alignment wrapText="1"/>
    </xf>
    <xf numFmtId="3" fontId="0" fillId="2" borderId="1" xfId="0" applyNumberFormat="1" applyFill="1" applyBorder="1"/>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6" xfId="0" applyFont="1" applyFill="1" applyBorder="1" applyAlignment="1">
      <alignment horizontal="left" vertical="center" wrapText="1"/>
    </xf>
    <xf numFmtId="0" fontId="3" fillId="2" borderId="7" xfId="0" applyFont="1" applyFill="1" applyBorder="1" applyAlignment="1">
      <alignment horizontal="center" vertical="center" wrapText="1"/>
    </xf>
    <xf numFmtId="0" fontId="0" fillId="0" borderId="0"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horizontal="center" vertical="center" wrapText="1"/>
    </xf>
    <xf numFmtId="0" fontId="0" fillId="0" borderId="1" xfId="0" applyFill="1" applyBorder="1" applyAlignment="1">
      <alignment vertical="center" wrapText="1"/>
    </xf>
    <xf numFmtId="3" fontId="0" fillId="5" borderId="1" xfId="0" applyNumberFormat="1" applyFill="1" applyBorder="1" applyAlignment="1">
      <alignment horizontal="center" vertical="center" wrapText="1"/>
    </xf>
    <xf numFmtId="3" fontId="0" fillId="5" borderId="9" xfId="0" applyNumberFormat="1" applyFill="1" applyBorder="1" applyAlignment="1">
      <alignment horizontal="center" vertical="center" wrapText="1"/>
    </xf>
    <xf numFmtId="0" fontId="0" fillId="5" borderId="0" xfId="0" applyFill="1" applyBorder="1" applyAlignment="1">
      <alignment horizontal="center" vertical="center"/>
    </xf>
    <xf numFmtId="164" fontId="0" fillId="5" borderId="0" xfId="2" applyFont="1" applyFill="1" applyBorder="1" applyAlignment="1">
      <alignment horizontal="center" vertical="center"/>
    </xf>
    <xf numFmtId="165" fontId="0" fillId="5" borderId="0" xfId="0" applyNumberFormat="1" applyFill="1" applyBorder="1" applyAlignment="1">
      <alignment horizontal="center" vertical="center"/>
    </xf>
    <xf numFmtId="0" fontId="0" fillId="0" borderId="1" xfId="0" applyBorder="1" applyAlignment="1">
      <alignment vertical="center" wrapText="1"/>
    </xf>
    <xf numFmtId="3" fontId="0" fillId="5" borderId="11" xfId="0" applyNumberFormat="1" applyFill="1" applyBorder="1" applyAlignment="1">
      <alignment horizontal="center" vertical="center" wrapText="1"/>
    </xf>
    <xf numFmtId="0" fontId="0" fillId="3" borderId="2" xfId="0" applyFill="1" applyBorder="1" applyAlignment="1">
      <alignment horizontal="center" vertical="center" wrapText="1"/>
    </xf>
    <xf numFmtId="3" fontId="0" fillId="3" borderId="1" xfId="0" applyNumberFormat="1" applyFill="1" applyBorder="1" applyAlignment="1">
      <alignment horizontal="center" vertical="center" wrapText="1"/>
    </xf>
    <xf numFmtId="9" fontId="2" fillId="5" borderId="0" xfId="1" applyNumberFormat="1" applyFont="1" applyFill="1" applyBorder="1" applyAlignment="1">
      <alignment horizontal="center" vertical="center"/>
    </xf>
    <xf numFmtId="0" fontId="0" fillId="5" borderId="12" xfId="0" applyFill="1" applyBorder="1" applyAlignment="1">
      <alignment wrapText="1"/>
    </xf>
    <xf numFmtId="0" fontId="0" fillId="5" borderId="1" xfId="0" applyFill="1" applyBorder="1" applyAlignment="1">
      <alignment wrapText="1"/>
    </xf>
    <xf numFmtId="3" fontId="0" fillId="5" borderId="1" xfId="0" applyNumberFormat="1" applyFill="1" applyBorder="1" applyAlignment="1">
      <alignment horizontal="center" wrapText="1"/>
    </xf>
    <xf numFmtId="0" fontId="0" fillId="4" borderId="13" xfId="0" applyFill="1" applyBorder="1" applyAlignment="1">
      <alignment wrapText="1"/>
    </xf>
    <xf numFmtId="0" fontId="0" fillId="4" borderId="14" xfId="0" applyFill="1" applyBorder="1" applyAlignment="1">
      <alignment wrapText="1"/>
    </xf>
    <xf numFmtId="3" fontId="0" fillId="4" borderId="14" xfId="0" applyNumberFormat="1" applyFill="1" applyBorder="1" applyAlignment="1">
      <alignment horizontal="center" wrapText="1"/>
    </xf>
    <xf numFmtId="0" fontId="0" fillId="0" borderId="0" xfId="0" applyFill="1" applyBorder="1" applyAlignment="1">
      <alignment vertical="center" wrapText="1"/>
    </xf>
    <xf numFmtId="0" fontId="0" fillId="0" borderId="0" xfId="0" applyFill="1" applyBorder="1" applyAlignment="1">
      <alignment horizontal="center" vertical="center"/>
    </xf>
    <xf numFmtId="0" fontId="0" fillId="0" borderId="0" xfId="0" applyFill="1" applyBorder="1" applyAlignment="1">
      <alignment horizontal="center" vertical="center" wrapText="1"/>
    </xf>
    <xf numFmtId="165" fontId="0" fillId="0" borderId="0" xfId="0" applyNumberFormat="1" applyFill="1" applyBorder="1" applyAlignment="1">
      <alignment horizontal="right"/>
    </xf>
    <xf numFmtId="4" fontId="0" fillId="0" borderId="0" xfId="0" applyNumberFormat="1" applyFill="1" applyBorder="1" applyAlignment="1">
      <alignment horizontal="center" vertical="center"/>
    </xf>
    <xf numFmtId="9" fontId="2" fillId="0" borderId="0" xfId="1" applyFont="1" applyBorder="1" applyAlignment="1">
      <alignment horizontal="center" vertical="center"/>
    </xf>
    <xf numFmtId="0" fontId="6" fillId="0" borderId="0" xfId="0" applyFont="1" applyFill="1" applyBorder="1" applyAlignment="1">
      <alignment vertical="center" wrapText="1"/>
    </xf>
    <xf numFmtId="165" fontId="6" fillId="0" borderId="0" xfId="0" applyNumberFormat="1" applyFont="1" applyFill="1" applyBorder="1" applyAlignment="1">
      <alignment horizontal="right"/>
    </xf>
    <xf numFmtId="4" fontId="0" fillId="0" borderId="0" xfId="0" applyNumberFormat="1" applyBorder="1" applyAlignment="1">
      <alignment horizontal="center" vertical="center"/>
    </xf>
    <xf numFmtId="0" fontId="5" fillId="0" borderId="12" xfId="0" applyFont="1" applyBorder="1" applyAlignment="1">
      <alignment horizontal="left" vertical="center" wrapText="1"/>
    </xf>
    <xf numFmtId="0" fontId="7" fillId="0" borderId="0" xfId="0" applyFont="1" applyFill="1" applyBorder="1" applyAlignment="1">
      <alignment vertical="center" wrapText="1"/>
    </xf>
    <xf numFmtId="0" fontId="6" fillId="5" borderId="12" xfId="0" applyFont="1" applyFill="1" applyBorder="1" applyAlignment="1">
      <alignment horizontal="left" vertical="center" wrapText="1" indent="1"/>
    </xf>
    <xf numFmtId="3" fontId="6" fillId="5" borderId="9" xfId="0" applyNumberFormat="1" applyFont="1" applyFill="1" applyBorder="1" applyAlignment="1">
      <alignment horizontal="center" vertical="center" wrapText="1"/>
    </xf>
    <xf numFmtId="0" fontId="8" fillId="0" borderId="12" xfId="0" applyFont="1" applyBorder="1" applyAlignment="1">
      <alignment horizontal="left" vertical="center" wrapText="1" indent="1"/>
    </xf>
    <xf numFmtId="166" fontId="0" fillId="0" borderId="0" xfId="2" applyNumberFormat="1" applyFont="1" applyBorder="1" applyAlignment="1">
      <alignment horizontal="center" vertical="center"/>
    </xf>
    <xf numFmtId="0" fontId="0" fillId="5" borderId="12" xfId="0" applyFill="1" applyBorder="1" applyAlignment="1">
      <alignment horizontal="left" vertical="center" wrapText="1"/>
    </xf>
    <xf numFmtId="164" fontId="0" fillId="0" borderId="0" xfId="0" applyNumberFormat="1" applyBorder="1" applyAlignment="1">
      <alignment horizontal="center" vertical="center"/>
    </xf>
    <xf numFmtId="0" fontId="3" fillId="2" borderId="13" xfId="0" applyFont="1" applyFill="1" applyBorder="1" applyAlignment="1">
      <alignment horizontal="left" vertical="center"/>
    </xf>
    <xf numFmtId="3" fontId="4" fillId="2" borderId="16"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165" fontId="0" fillId="0" borderId="0" xfId="0" applyNumberFormat="1" applyFill="1" applyBorder="1"/>
    <xf numFmtId="165" fontId="7" fillId="0" borderId="0" xfId="0" applyNumberFormat="1" applyFont="1" applyFill="1" applyBorder="1" applyAlignment="1">
      <alignment horizontal="right"/>
    </xf>
    <xf numFmtId="0" fontId="3" fillId="0" borderId="0" xfId="0" applyFont="1" applyFill="1" applyBorder="1" applyAlignment="1">
      <alignment horizontal="center" wrapText="1"/>
    </xf>
    <xf numFmtId="165" fontId="0" fillId="0" borderId="0" xfId="0" applyNumberFormat="1" applyFill="1" applyBorder="1" applyAlignment="1">
      <alignment vertical="center"/>
    </xf>
    <xf numFmtId="0" fontId="0" fillId="0" borderId="0" xfId="0" applyBorder="1" applyAlignment="1">
      <alignment horizontal="center" vertical="center" wrapText="1"/>
    </xf>
    <xf numFmtId="167" fontId="0" fillId="0" borderId="1" xfId="3" applyNumberFormat="1" applyFont="1" applyBorder="1" applyAlignment="1">
      <alignment wrapText="1"/>
    </xf>
    <xf numFmtId="167" fontId="0" fillId="0" borderId="1" xfId="3" applyNumberFormat="1" applyFont="1" applyBorder="1"/>
    <xf numFmtId="167" fontId="0" fillId="2" borderId="1" xfId="0" applyNumberFormat="1" applyFill="1" applyBorder="1"/>
    <xf numFmtId="0" fontId="9" fillId="0" borderId="1" xfId="0" applyFont="1" applyBorder="1"/>
    <xf numFmtId="0" fontId="9" fillId="0" borderId="0" xfId="0" applyFont="1"/>
    <xf numFmtId="0" fontId="9" fillId="0" borderId="4" xfId="0" applyFont="1" applyBorder="1" applyAlignment="1">
      <alignment horizontal="center" wrapText="1"/>
    </xf>
    <xf numFmtId="0" fontId="9" fillId="0" borderId="0" xfId="0" applyFont="1" applyAlignment="1">
      <alignment wrapText="1"/>
    </xf>
    <xf numFmtId="0" fontId="9" fillId="0" borderId="1" xfId="0" applyFont="1" applyBorder="1" applyAlignment="1">
      <alignment horizontal="center" wrapText="1"/>
    </xf>
    <xf numFmtId="0" fontId="10" fillId="0" borderId="0" xfId="0" applyFont="1" applyAlignment="1">
      <alignment vertical="center" wrapText="1"/>
    </xf>
    <xf numFmtId="9" fontId="0" fillId="0" borderId="0" xfId="1" applyFont="1"/>
    <xf numFmtId="9" fontId="0" fillId="0" borderId="0" xfId="0" applyNumberFormat="1"/>
    <xf numFmtId="0" fontId="12" fillId="6" borderId="21" xfId="0" applyFont="1" applyFill="1" applyBorder="1" applyAlignment="1">
      <alignment horizontal="center" vertical="center" wrapText="1"/>
    </xf>
    <xf numFmtId="0" fontId="14" fillId="0" borderId="21" xfId="0" applyFont="1" applyBorder="1" applyAlignment="1">
      <alignment vertical="center" wrapText="1"/>
    </xf>
    <xf numFmtId="168" fontId="14" fillId="0" borderId="21" xfId="0" applyNumberFormat="1" applyFont="1" applyBorder="1" applyAlignment="1">
      <alignment vertical="center" wrapText="1"/>
    </xf>
    <xf numFmtId="169" fontId="14" fillId="0" borderId="21" xfId="0" applyNumberFormat="1" applyFont="1" applyBorder="1" applyAlignment="1">
      <alignment vertical="center" wrapText="1"/>
    </xf>
    <xf numFmtId="0" fontId="17" fillId="0" borderId="21" xfId="0" applyFont="1" applyBorder="1"/>
    <xf numFmtId="168" fontId="0" fillId="0" borderId="0" xfId="0" applyNumberFormat="1"/>
    <xf numFmtId="167" fontId="0" fillId="0" borderId="0" xfId="3" applyNumberFormat="1" applyFont="1"/>
    <xf numFmtId="3" fontId="0" fillId="0" borderId="0" xfId="0" applyNumberFormat="1"/>
    <xf numFmtId="0" fontId="0" fillId="0" borderId="6" xfId="0" applyBorder="1" applyAlignment="1">
      <alignment horizontal="center" vertical="center" wrapText="1"/>
    </xf>
    <xf numFmtId="0" fontId="0" fillId="4" borderId="6" xfId="0" applyFill="1" applyBorder="1" applyAlignment="1">
      <alignment wrapText="1"/>
    </xf>
    <xf numFmtId="3" fontId="0" fillId="0" borderId="6" xfId="0" applyNumberFormat="1" applyBorder="1" applyAlignment="1">
      <alignment wrapText="1"/>
    </xf>
    <xf numFmtId="3" fontId="0" fillId="0" borderId="7" xfId="0" applyNumberFormat="1" applyBorder="1" applyAlignment="1">
      <alignment wrapText="1"/>
    </xf>
    <xf numFmtId="3" fontId="0" fillId="0" borderId="9" xfId="0" applyNumberFormat="1" applyBorder="1" applyAlignment="1">
      <alignment wrapText="1"/>
    </xf>
    <xf numFmtId="0" fontId="0" fillId="3" borderId="4" xfId="0" applyFill="1" applyBorder="1" applyAlignment="1">
      <alignment horizontal="center" vertical="center" wrapText="1"/>
    </xf>
    <xf numFmtId="0" fontId="0" fillId="3" borderId="4" xfId="0" applyFill="1" applyBorder="1" applyAlignment="1">
      <alignment wrapText="1"/>
    </xf>
    <xf numFmtId="0" fontId="0" fillId="2" borderId="5" xfId="0" applyFill="1" applyBorder="1" applyAlignment="1">
      <alignment horizontal="center" vertical="center" wrapText="1"/>
    </xf>
    <xf numFmtId="0" fontId="0" fillId="2" borderId="6" xfId="0" applyFill="1" applyBorder="1" applyAlignment="1">
      <alignment horizontal="center" vertical="center" wrapText="1"/>
    </xf>
    <xf numFmtId="0" fontId="0" fillId="2" borderId="7" xfId="0" applyFill="1" applyBorder="1" applyAlignment="1">
      <alignment horizontal="center" vertical="center" wrapText="1"/>
    </xf>
    <xf numFmtId="0" fontId="0" fillId="2" borderId="12" xfId="0" applyFill="1" applyBorder="1"/>
    <xf numFmtId="3" fontId="0" fillId="2" borderId="9" xfId="0" applyNumberFormat="1" applyFill="1" applyBorder="1"/>
    <xf numFmtId="167" fontId="0" fillId="2" borderId="9" xfId="0" applyNumberFormat="1" applyFill="1" applyBorder="1"/>
    <xf numFmtId="0" fontId="0" fillId="2" borderId="13" xfId="0" applyFill="1" applyBorder="1"/>
    <xf numFmtId="0" fontId="0" fillId="2" borderId="14" xfId="0" applyFill="1" applyBorder="1"/>
    <xf numFmtId="3" fontId="0" fillId="2" borderId="14" xfId="0" applyNumberFormat="1" applyFill="1" applyBorder="1"/>
    <xf numFmtId="3" fontId="0" fillId="2" borderId="16" xfId="0" applyNumberFormat="1" applyFill="1" applyBorder="1"/>
    <xf numFmtId="10" fontId="0" fillId="0" borderId="0" xfId="1" applyNumberFormat="1" applyFont="1"/>
    <xf numFmtId="0" fontId="18" fillId="0" borderId="0" xfId="0" applyFont="1" applyFill="1" applyBorder="1" applyAlignment="1">
      <alignment vertical="center" wrapText="1"/>
    </xf>
    <xf numFmtId="0" fontId="0" fillId="3" borderId="2" xfId="0" applyFill="1" applyBorder="1" applyAlignment="1">
      <alignment horizontal="center" vertical="center" wrapText="1"/>
    </xf>
    <xf numFmtId="167" fontId="0" fillId="0" borderId="1" xfId="3" applyNumberFormat="1" applyFont="1" applyFill="1" applyBorder="1" applyAlignment="1">
      <alignment vertical="center" wrapText="1"/>
    </xf>
    <xf numFmtId="167" fontId="0" fillId="0" borderId="1" xfId="3" applyNumberFormat="1" applyFont="1" applyBorder="1" applyAlignment="1">
      <alignment vertical="center" wrapText="1"/>
    </xf>
    <xf numFmtId="0" fontId="3" fillId="0" borderId="1" xfId="0" applyFont="1" applyFill="1" applyBorder="1" applyAlignment="1">
      <alignment wrapText="1"/>
    </xf>
    <xf numFmtId="170" fontId="3" fillId="0" borderId="33" xfId="0" applyNumberFormat="1" applyFont="1" applyBorder="1"/>
    <xf numFmtId="170" fontId="0" fillId="0" borderId="34" xfId="0" applyNumberFormat="1" applyBorder="1"/>
    <xf numFmtId="0" fontId="3" fillId="0" borderId="9" xfId="0" applyFont="1" applyBorder="1"/>
    <xf numFmtId="0" fontId="3" fillId="0" borderId="12" xfId="0" applyFont="1" applyFill="1" applyBorder="1" applyAlignment="1">
      <alignment wrapText="1"/>
    </xf>
    <xf numFmtId="0" fontId="0" fillId="0" borderId="9" xfId="0" applyBorder="1"/>
    <xf numFmtId="171" fontId="0" fillId="0" borderId="12" xfId="4" applyNumberFormat="1" applyFont="1" applyBorder="1"/>
    <xf numFmtId="171" fontId="0" fillId="0" borderId="1" xfId="4" applyNumberFormat="1" applyFont="1" applyBorder="1"/>
    <xf numFmtId="171" fontId="0" fillId="0" borderId="9" xfId="4" applyNumberFormat="1" applyFont="1" applyBorder="1"/>
    <xf numFmtId="171" fontId="3" fillId="0" borderId="13" xfId="4" applyNumberFormat="1" applyFont="1" applyBorder="1"/>
    <xf numFmtId="171" fontId="3" fillId="0" borderId="14" xfId="4" applyNumberFormat="1" applyFont="1" applyBorder="1"/>
    <xf numFmtId="171" fontId="3" fillId="0" borderId="16" xfId="4" applyNumberFormat="1" applyFont="1" applyBorder="1"/>
    <xf numFmtId="9" fontId="0" fillId="0" borderId="0" xfId="1" applyNumberFormat="1" applyFont="1"/>
    <xf numFmtId="0" fontId="20" fillId="7" borderId="39" xfId="0" applyFont="1" applyFill="1" applyBorder="1" applyAlignment="1">
      <alignment vertical="center" wrapText="1"/>
    </xf>
    <xf numFmtId="0" fontId="20" fillId="7" borderId="40" xfId="0" applyFont="1" applyFill="1" applyBorder="1" applyAlignment="1">
      <alignment vertical="center" wrapText="1"/>
    </xf>
    <xf numFmtId="0" fontId="20" fillId="8" borderId="41" xfId="0" applyFont="1" applyFill="1" applyBorder="1" applyAlignment="1">
      <alignment vertical="center" wrapText="1"/>
    </xf>
    <xf numFmtId="0" fontId="20" fillId="8" borderId="42" xfId="0" applyFont="1" applyFill="1" applyBorder="1" applyAlignment="1">
      <alignment vertical="center" wrapText="1"/>
    </xf>
    <xf numFmtId="0" fontId="20" fillId="8" borderId="43" xfId="0" applyFont="1" applyFill="1" applyBorder="1" applyAlignment="1">
      <alignment vertical="center" wrapText="1"/>
    </xf>
    <xf numFmtId="167" fontId="0" fillId="0" borderId="0" xfId="0" applyNumberFormat="1"/>
    <xf numFmtId="0" fontId="21" fillId="0" borderId="1" xfId="0" quotePrefix="1" applyFont="1" applyBorder="1" applyAlignment="1">
      <alignment vertical="center" wrapText="1"/>
    </xf>
    <xf numFmtId="0" fontId="22" fillId="0" borderId="1" xfId="0" applyFont="1" applyBorder="1" applyAlignment="1">
      <alignment vertical="center" wrapText="1"/>
    </xf>
    <xf numFmtId="0" fontId="21" fillId="0" borderId="1" xfId="0" applyFont="1" applyBorder="1" applyAlignment="1">
      <alignment vertical="center" wrapText="1"/>
    </xf>
    <xf numFmtId="0" fontId="23" fillId="0" borderId="1" xfId="0" applyFont="1" applyBorder="1" applyAlignment="1">
      <alignment vertical="center" wrapText="1"/>
    </xf>
    <xf numFmtId="167" fontId="21" fillId="0" borderId="1" xfId="0" applyNumberFormat="1" applyFont="1" applyBorder="1" applyAlignment="1">
      <alignment vertical="center" wrapText="1"/>
    </xf>
    <xf numFmtId="0" fontId="20" fillId="8" borderId="44" xfId="0" applyFont="1" applyFill="1" applyBorder="1" applyAlignment="1">
      <alignment vertical="center" wrapText="1"/>
    </xf>
    <xf numFmtId="0" fontId="20" fillId="8" borderId="0" xfId="0" applyFont="1" applyFill="1" applyBorder="1" applyAlignment="1">
      <alignment vertical="center" wrapText="1"/>
    </xf>
    <xf numFmtId="0" fontId="20" fillId="8" borderId="45" xfId="0" applyFont="1" applyFill="1" applyBorder="1" applyAlignment="1">
      <alignment vertical="center" wrapText="1"/>
    </xf>
    <xf numFmtId="167" fontId="21" fillId="0" borderId="1" xfId="3" applyNumberFormat="1" applyFont="1" applyBorder="1" applyAlignment="1">
      <alignment vertical="center" wrapText="1"/>
    </xf>
    <xf numFmtId="0" fontId="20" fillId="8" borderId="46" xfId="0" applyFont="1" applyFill="1" applyBorder="1" applyAlignment="1">
      <alignment vertical="center" wrapText="1"/>
    </xf>
    <xf numFmtId="0" fontId="20" fillId="8" borderId="47" xfId="0" applyFont="1" applyFill="1" applyBorder="1" applyAlignment="1">
      <alignment vertical="center" wrapText="1"/>
    </xf>
    <xf numFmtId="0" fontId="20" fillId="8" borderId="40" xfId="0" applyFont="1" applyFill="1" applyBorder="1" applyAlignment="1">
      <alignment vertical="center" wrapText="1"/>
    </xf>
    <xf numFmtId="0" fontId="18" fillId="0" borderId="41" xfId="0" applyFont="1" applyBorder="1" applyAlignment="1">
      <alignment vertical="center" wrapText="1"/>
    </xf>
    <xf numFmtId="0" fontId="18" fillId="0" borderId="42" xfId="0" applyFont="1" applyBorder="1" applyAlignment="1">
      <alignment vertical="center" wrapText="1"/>
    </xf>
    <xf numFmtId="0" fontId="18" fillId="0" borderId="43" xfId="0" applyFont="1" applyBorder="1" applyAlignment="1">
      <alignment vertical="center" wrapText="1"/>
    </xf>
    <xf numFmtId="0" fontId="18" fillId="0" borderId="1" xfId="0" applyFont="1" applyBorder="1" applyAlignment="1">
      <alignment vertical="center" wrapText="1"/>
    </xf>
    <xf numFmtId="0" fontId="18" fillId="0" borderId="44" xfId="0" applyFont="1" applyBorder="1" applyAlignment="1">
      <alignment vertical="center" wrapText="1"/>
    </xf>
    <xf numFmtId="0" fontId="18" fillId="0" borderId="0" xfId="0" applyFont="1" applyBorder="1" applyAlignment="1">
      <alignment vertical="center" wrapText="1"/>
    </xf>
    <xf numFmtId="0" fontId="18" fillId="0" borderId="45" xfId="0" applyFont="1" applyBorder="1" applyAlignment="1">
      <alignment vertical="center" wrapText="1"/>
    </xf>
    <xf numFmtId="0" fontId="20" fillId="7" borderId="1" xfId="0" applyFont="1" applyFill="1" applyBorder="1" applyAlignment="1">
      <alignment vertical="center" wrapText="1"/>
    </xf>
    <xf numFmtId="0" fontId="24" fillId="0" borderId="1" xfId="0" applyFont="1" applyBorder="1" applyAlignment="1">
      <alignment vertical="center" wrapText="1"/>
    </xf>
    <xf numFmtId="172" fontId="18" fillId="0" borderId="1" xfId="0" applyNumberFormat="1" applyFont="1" applyBorder="1" applyAlignment="1">
      <alignment vertical="center" wrapText="1"/>
    </xf>
    <xf numFmtId="171" fontId="0" fillId="0" borderId="0" xfId="4" applyNumberFormat="1" applyFont="1"/>
    <xf numFmtId="173" fontId="0" fillId="0" borderId="0" xfId="3" applyNumberFormat="1" applyFont="1"/>
    <xf numFmtId="0" fontId="0" fillId="0" borderId="0" xfId="0" applyBorder="1" applyAlignment="1">
      <alignment vertical="center"/>
    </xf>
    <xf numFmtId="0" fontId="0" fillId="4" borderId="14" xfId="0" applyFill="1" applyBorder="1" applyAlignment="1">
      <alignment horizontal="center" wrapText="1"/>
    </xf>
    <xf numFmtId="0" fontId="3" fillId="2" borderId="13" xfId="0" applyFont="1" applyFill="1" applyBorder="1" applyAlignment="1">
      <alignment horizontal="left" vertical="center" wrapText="1"/>
    </xf>
    <xf numFmtId="10" fontId="0" fillId="0" borderId="0" xfId="0" applyNumberFormat="1"/>
    <xf numFmtId="0" fontId="0" fillId="9" borderId="0" xfId="0" applyFill="1"/>
    <xf numFmtId="0" fontId="0" fillId="0" borderId="30"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vertical="center" wrapText="1"/>
    </xf>
    <xf numFmtId="3" fontId="0" fillId="0" borderId="49" xfId="0" applyNumberFormat="1" applyBorder="1" applyAlignment="1">
      <alignment wrapText="1"/>
    </xf>
    <xf numFmtId="3" fontId="0" fillId="0" borderId="11" xfId="0" applyNumberFormat="1" applyBorder="1" applyAlignment="1">
      <alignment wrapText="1"/>
    </xf>
    <xf numFmtId="174" fontId="0" fillId="0" borderId="0" xfId="1" applyNumberFormat="1" applyFont="1"/>
    <xf numFmtId="0" fontId="0" fillId="2" borderId="13" xfId="0" applyFill="1" applyBorder="1" applyAlignment="1">
      <alignment horizontal="center" vertical="center" wrapText="1"/>
    </xf>
    <xf numFmtId="0" fontId="0" fillId="2" borderId="14" xfId="0" applyFill="1" applyBorder="1" applyAlignment="1">
      <alignment horizontal="center" vertical="center" wrapText="1"/>
    </xf>
    <xf numFmtId="0" fontId="0" fillId="2" borderId="52" xfId="0" applyFill="1" applyBorder="1" applyAlignment="1">
      <alignment horizontal="center" vertical="center" wrapText="1"/>
    </xf>
    <xf numFmtId="3" fontId="0" fillId="2" borderId="16" xfId="0" applyNumberFormat="1" applyFill="1" applyBorder="1" applyAlignment="1">
      <alignment horizontal="center" vertical="center" wrapText="1"/>
    </xf>
    <xf numFmtId="0" fontId="0" fillId="2" borderId="54" xfId="0" applyFill="1" applyBorder="1" applyAlignment="1">
      <alignment horizontal="center" vertical="center" wrapText="1"/>
    </xf>
    <xf numFmtId="167" fontId="0" fillId="0" borderId="11" xfId="3" applyNumberFormat="1" applyFont="1" applyBorder="1" applyAlignment="1">
      <alignment wrapText="1"/>
    </xf>
    <xf numFmtId="167" fontId="0" fillId="0" borderId="11" xfId="3" applyNumberFormat="1" applyFont="1" applyBorder="1"/>
    <xf numFmtId="167" fontId="0" fillId="2" borderId="11" xfId="0" applyNumberFormat="1" applyFill="1" applyBorder="1"/>
    <xf numFmtId="3" fontId="0" fillId="2" borderId="13" xfId="0" applyNumberFormat="1" applyFill="1" applyBorder="1" applyAlignment="1">
      <alignment horizontal="center" vertical="center" wrapText="1"/>
    </xf>
    <xf numFmtId="3" fontId="0" fillId="0" borderId="12" xfId="0" applyNumberFormat="1" applyBorder="1" applyAlignment="1">
      <alignment wrapText="1"/>
    </xf>
    <xf numFmtId="3" fontId="0" fillId="0" borderId="5" xfId="0" applyNumberFormat="1" applyBorder="1" applyAlignment="1">
      <alignment wrapText="1"/>
    </xf>
    <xf numFmtId="167" fontId="0" fillId="0" borderId="12" xfId="3" applyNumberFormat="1" applyFont="1" applyBorder="1" applyAlignment="1">
      <alignment wrapText="1"/>
    </xf>
    <xf numFmtId="167" fontId="0" fillId="0" borderId="9" xfId="3" applyNumberFormat="1" applyFont="1" applyBorder="1" applyAlignment="1">
      <alignment wrapText="1"/>
    </xf>
    <xf numFmtId="167" fontId="0" fillId="0" borderId="12" xfId="3" applyNumberFormat="1" applyFont="1" applyBorder="1"/>
    <xf numFmtId="167" fontId="0" fillId="0" borderId="9" xfId="3" applyNumberFormat="1" applyFont="1" applyBorder="1"/>
    <xf numFmtId="3" fontId="0" fillId="2" borderId="12" xfId="0" applyNumberFormat="1" applyFill="1" applyBorder="1"/>
    <xf numFmtId="167" fontId="0" fillId="2" borderId="12" xfId="0" applyNumberFormat="1" applyFill="1" applyBorder="1"/>
    <xf numFmtId="3" fontId="0" fillId="2" borderId="13" xfId="0" applyNumberFormat="1" applyFill="1" applyBorder="1"/>
    <xf numFmtId="167" fontId="0" fillId="2" borderId="14" xfId="0" applyNumberFormat="1" applyFill="1" applyBorder="1"/>
    <xf numFmtId="167" fontId="0" fillId="2" borderId="54" xfId="0" applyNumberFormat="1" applyFill="1" applyBorder="1"/>
    <xf numFmtId="167" fontId="0" fillId="0" borderId="7" xfId="3" applyNumberFormat="1" applyFont="1" applyBorder="1" applyAlignment="1">
      <alignment wrapText="1"/>
    </xf>
    <xf numFmtId="0" fontId="0" fillId="3" borderId="55" xfId="0" applyFill="1" applyBorder="1" applyAlignment="1">
      <alignment horizontal="center" vertical="center" wrapText="1"/>
    </xf>
    <xf numFmtId="0" fontId="0" fillId="3" borderId="56" xfId="0" applyFill="1" applyBorder="1" applyAlignment="1">
      <alignment horizontal="center" vertical="center" wrapText="1"/>
    </xf>
    <xf numFmtId="0" fontId="0" fillId="3" borderId="14" xfId="0" applyFill="1" applyBorder="1" applyAlignment="1">
      <alignment horizontal="center" vertical="center" wrapText="1"/>
    </xf>
    <xf numFmtId="0" fontId="0" fillId="3" borderId="56" xfId="0" applyFill="1" applyBorder="1" applyAlignment="1">
      <alignment wrapText="1"/>
    </xf>
    <xf numFmtId="3" fontId="0" fillId="3" borderId="56" xfId="0" applyNumberFormat="1" applyFill="1" applyBorder="1" applyAlignment="1">
      <alignment wrapText="1"/>
    </xf>
    <xf numFmtId="3" fontId="0" fillId="3" borderId="57" xfId="0" applyNumberFormat="1" applyFill="1" applyBorder="1" applyAlignment="1">
      <alignment wrapText="1"/>
    </xf>
    <xf numFmtId="3" fontId="0" fillId="3" borderId="58" xfId="0" applyNumberFormat="1" applyFill="1" applyBorder="1" applyAlignment="1">
      <alignment wrapText="1"/>
    </xf>
    <xf numFmtId="3" fontId="0" fillId="3" borderId="59" xfId="0" applyNumberFormat="1" applyFill="1" applyBorder="1" applyAlignment="1">
      <alignment wrapText="1"/>
    </xf>
    <xf numFmtId="167" fontId="0" fillId="0" borderId="6" xfId="3" applyNumberFormat="1" applyFont="1" applyBorder="1" applyAlignment="1">
      <alignment wrapText="1"/>
    </xf>
    <xf numFmtId="167" fontId="0" fillId="0" borderId="49" xfId="3" applyNumberFormat="1" applyFont="1" applyBorder="1" applyAlignment="1">
      <alignment wrapText="1"/>
    </xf>
    <xf numFmtId="167" fontId="0" fillId="0" borderId="5" xfId="3" applyNumberFormat="1" applyFont="1" applyBorder="1" applyAlignment="1">
      <alignment wrapText="1"/>
    </xf>
    <xf numFmtId="0" fontId="0" fillId="3" borderId="14" xfId="0" applyFill="1" applyBorder="1" applyAlignment="1">
      <alignment wrapText="1"/>
    </xf>
    <xf numFmtId="167" fontId="0" fillId="3" borderId="14" xfId="0" applyNumberFormat="1" applyFill="1" applyBorder="1" applyAlignment="1">
      <alignment wrapText="1"/>
    </xf>
    <xf numFmtId="167" fontId="0" fillId="3" borderId="54" xfId="0" applyNumberFormat="1" applyFill="1" applyBorder="1" applyAlignment="1">
      <alignment wrapText="1"/>
    </xf>
    <xf numFmtId="167" fontId="0" fillId="3" borderId="13" xfId="0" applyNumberFormat="1" applyFill="1" applyBorder="1" applyAlignment="1">
      <alignment wrapText="1"/>
    </xf>
    <xf numFmtId="167" fontId="0" fillId="3" borderId="16" xfId="0" applyNumberFormat="1" applyFill="1" applyBorder="1" applyAlignment="1">
      <alignment wrapText="1"/>
    </xf>
    <xf numFmtId="0" fontId="0" fillId="3" borderId="50" xfId="0" applyFill="1" applyBorder="1" applyAlignment="1">
      <alignment wrapText="1"/>
    </xf>
    <xf numFmtId="0" fontId="0" fillId="3" borderId="30" xfId="0" applyFill="1" applyBorder="1" applyAlignment="1">
      <alignment wrapText="1"/>
    </xf>
    <xf numFmtId="0" fontId="0" fillId="3" borderId="29" xfId="0" applyFill="1" applyBorder="1" applyAlignment="1">
      <alignment wrapText="1"/>
    </xf>
    <xf numFmtId="167" fontId="0" fillId="0" borderId="7" xfId="3" applyNumberFormat="1" applyFont="1" applyBorder="1"/>
    <xf numFmtId="3" fontId="0" fillId="3" borderId="14" xfId="0" applyNumberFormat="1" applyFill="1" applyBorder="1" applyAlignment="1">
      <alignment wrapText="1"/>
    </xf>
    <xf numFmtId="3" fontId="0" fillId="3" borderId="54" xfId="0" applyNumberFormat="1" applyFill="1" applyBorder="1" applyAlignment="1">
      <alignment wrapText="1"/>
    </xf>
    <xf numFmtId="3" fontId="0" fillId="3" borderId="13" xfId="0" applyNumberFormat="1" applyFill="1" applyBorder="1" applyAlignment="1">
      <alignment wrapText="1"/>
    </xf>
    <xf numFmtId="3" fontId="0" fillId="3" borderId="16" xfId="0" applyNumberFormat="1" applyFill="1" applyBorder="1" applyAlignment="1">
      <alignment wrapText="1"/>
    </xf>
    <xf numFmtId="175" fontId="0" fillId="0" borderId="34" xfId="0" applyNumberFormat="1" applyBorder="1"/>
    <xf numFmtId="0" fontId="3" fillId="0" borderId="61" xfId="0" applyFont="1" applyFill="1" applyBorder="1" applyAlignment="1">
      <alignment wrapText="1"/>
    </xf>
    <xf numFmtId="0" fontId="3" fillId="0" borderId="13" xfId="0" applyFont="1" applyBorder="1" applyAlignment="1">
      <alignment horizontal="center" wrapText="1"/>
    </xf>
    <xf numFmtId="0" fontId="3" fillId="0" borderId="16" xfId="0" applyFont="1" applyBorder="1" applyAlignment="1">
      <alignment horizontal="center" wrapText="1"/>
    </xf>
    <xf numFmtId="0" fontId="0" fillId="0" borderId="0" xfId="0" applyAlignment="1">
      <alignment wrapText="1"/>
    </xf>
    <xf numFmtId="175" fontId="14" fillId="0" borderId="21" xfId="0" applyNumberFormat="1" applyFont="1" applyBorder="1" applyAlignment="1">
      <alignment vertical="center" wrapText="1"/>
    </xf>
    <xf numFmtId="167" fontId="3" fillId="0" borderId="0" xfId="0" applyNumberFormat="1" applyFont="1"/>
    <xf numFmtId="10" fontId="0" fillId="0" borderId="63" xfId="0" applyNumberFormat="1" applyBorder="1"/>
    <xf numFmtId="10" fontId="0" fillId="0" borderId="62" xfId="0" applyNumberFormat="1" applyBorder="1"/>
    <xf numFmtId="10" fontId="0" fillId="0" borderId="64" xfId="0" applyNumberFormat="1" applyBorder="1"/>
    <xf numFmtId="10" fontId="0" fillId="0" borderId="65" xfId="0" applyNumberFormat="1" applyBorder="1"/>
    <xf numFmtId="0" fontId="0" fillId="0" borderId="64" xfId="0" applyBorder="1"/>
    <xf numFmtId="0" fontId="0" fillId="0" borderId="65" xfId="0" applyBorder="1" applyAlignment="1">
      <alignment wrapText="1"/>
    </xf>
    <xf numFmtId="0" fontId="0" fillId="0" borderId="65" xfId="0" applyBorder="1"/>
    <xf numFmtId="170" fontId="3" fillId="0" borderId="0" xfId="0" applyNumberFormat="1" applyFont="1" applyBorder="1"/>
    <xf numFmtId="10" fontId="0" fillId="0" borderId="25" xfId="0" applyNumberFormat="1" applyBorder="1"/>
    <xf numFmtId="10" fontId="0" fillId="0" borderId="24" xfId="0" applyNumberFormat="1" applyBorder="1"/>
    <xf numFmtId="170" fontId="0" fillId="0" borderId="1" xfId="0" applyNumberFormat="1" applyBorder="1"/>
    <xf numFmtId="0" fontId="0" fillId="0" borderId="60" xfId="0" applyBorder="1"/>
    <xf numFmtId="0" fontId="0" fillId="0" borderId="34" xfId="0" applyBorder="1"/>
    <xf numFmtId="0" fontId="3" fillId="0" borderId="35" xfId="0" applyFont="1" applyBorder="1"/>
    <xf numFmtId="177" fontId="0" fillId="0" borderId="1" xfId="4" applyNumberFormat="1" applyFont="1" applyBorder="1"/>
    <xf numFmtId="0" fontId="3" fillId="0" borderId="31" xfId="0" applyFont="1" applyBorder="1"/>
    <xf numFmtId="171" fontId="0" fillId="0" borderId="61" xfId="4" applyNumberFormat="1" applyFont="1" applyBorder="1"/>
    <xf numFmtId="171" fontId="3" fillId="0" borderId="66" xfId="4" applyNumberFormat="1" applyFont="1" applyBorder="1"/>
    <xf numFmtId="171" fontId="0" fillId="0" borderId="12" xfId="0" applyNumberFormat="1" applyBorder="1"/>
    <xf numFmtId="177" fontId="0" fillId="0" borderId="9" xfId="0" applyNumberFormat="1" applyBorder="1"/>
    <xf numFmtId="171" fontId="0" fillId="0" borderId="30" xfId="0" applyNumberFormat="1" applyBorder="1"/>
    <xf numFmtId="177" fontId="0" fillId="0" borderId="29" xfId="0" applyNumberFormat="1" applyBorder="1"/>
    <xf numFmtId="177" fontId="3" fillId="0" borderId="16" xfId="0" applyNumberFormat="1" applyFont="1" applyBorder="1"/>
    <xf numFmtId="171" fontId="0" fillId="0" borderId="30" xfId="4" applyNumberFormat="1" applyFont="1" applyBorder="1"/>
    <xf numFmtId="176" fontId="14" fillId="0" borderId="21" xfId="0" applyNumberFormat="1" applyFont="1" applyBorder="1" applyAlignment="1">
      <alignment vertical="center" wrapText="1"/>
    </xf>
    <xf numFmtId="171" fontId="3" fillId="0" borderId="13" xfId="0" applyNumberFormat="1" applyFont="1" applyBorder="1"/>
    <xf numFmtId="177" fontId="3" fillId="0" borderId="51" xfId="0" applyNumberFormat="1" applyFont="1" applyBorder="1"/>
    <xf numFmtId="0" fontId="3" fillId="0" borderId="0" xfId="0" applyFont="1" applyAlignment="1">
      <alignment wrapText="1"/>
    </xf>
    <xf numFmtId="171" fontId="0" fillId="0" borderId="0" xfId="4" applyNumberFormat="1" applyFont="1" applyAlignment="1">
      <alignment wrapText="1"/>
    </xf>
    <xf numFmtId="171" fontId="3" fillId="0" borderId="0" xfId="4" applyNumberFormat="1" applyFont="1" applyAlignment="1">
      <alignment wrapText="1"/>
    </xf>
    <xf numFmtId="0" fontId="0" fillId="2" borderId="49"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0" fillId="2" borderId="53" xfId="0"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0" borderId="27" xfId="0" applyBorder="1" applyAlignment="1">
      <alignment horizontal="center" vertical="center" wrapText="1"/>
    </xf>
    <xf numFmtId="0" fontId="0" fillId="0" borderId="10" xfId="0" applyBorder="1" applyAlignment="1">
      <alignment horizontal="center" vertical="center" wrapText="1"/>
    </xf>
    <xf numFmtId="0" fontId="0" fillId="0" borderId="28" xfId="0"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wrapText="1"/>
    </xf>
    <xf numFmtId="0" fontId="0" fillId="0" borderId="58" xfId="0" applyBorder="1" applyAlignment="1">
      <alignment horizontal="center" vertical="center" wrapText="1"/>
    </xf>
    <xf numFmtId="0" fontId="0" fillId="0" borderId="26" xfId="0" applyBorder="1" applyAlignment="1">
      <alignment horizontal="center" vertical="center" wrapText="1"/>
    </xf>
    <xf numFmtId="0" fontId="0" fillId="0" borderId="25" xfId="0" applyBorder="1" applyAlignment="1">
      <alignment horizontal="center" vertical="center" wrapText="1"/>
    </xf>
    <xf numFmtId="0" fontId="0" fillId="0" borderId="24" xfId="0" applyBorder="1" applyAlignment="1">
      <alignment horizontal="center" vertical="center" wrapText="1"/>
    </xf>
    <xf numFmtId="0" fontId="12" fillId="6" borderId="18" xfId="0" applyFont="1" applyFill="1" applyBorder="1" applyAlignment="1">
      <alignment horizontal="center" vertical="center" wrapText="1"/>
    </xf>
    <xf numFmtId="0" fontId="12" fillId="6" borderId="48" xfId="0" applyFont="1" applyFill="1" applyBorder="1" applyAlignment="1">
      <alignment horizontal="center" vertical="center" wrapText="1"/>
    </xf>
    <xf numFmtId="0" fontId="13" fillId="0" borderId="19" xfId="0" applyFont="1" applyBorder="1"/>
    <xf numFmtId="0" fontId="14" fillId="0" borderId="17" xfId="0" applyFont="1" applyBorder="1" applyAlignment="1">
      <alignment horizontal="center" vertical="center" wrapText="1"/>
    </xf>
    <xf numFmtId="0" fontId="13" fillId="0" borderId="22" xfId="0" applyFont="1" applyBorder="1"/>
    <xf numFmtId="0" fontId="13" fillId="0" borderId="20" xfId="0" applyFont="1" applyBorder="1"/>
    <xf numFmtId="0" fontId="16" fillId="0" borderId="18" xfId="0" applyFont="1" applyBorder="1" applyAlignment="1">
      <alignment vertical="center" wrapText="1"/>
    </xf>
    <xf numFmtId="0" fontId="12" fillId="6" borderId="17" xfId="0" applyFont="1" applyFill="1" applyBorder="1" applyAlignment="1">
      <alignment vertical="center" wrapText="1"/>
    </xf>
    <xf numFmtId="0" fontId="12" fillId="6" borderId="17" xfId="0" applyFont="1" applyFill="1" applyBorder="1" applyAlignment="1">
      <alignment horizontal="center" vertical="center" wrapText="1"/>
    </xf>
    <xf numFmtId="0" fontId="3" fillId="2" borderId="31" xfId="0" applyFont="1" applyFill="1" applyBorder="1" applyAlignment="1">
      <alignment horizontal="center" vertical="center"/>
    </xf>
    <xf numFmtId="0" fontId="3" fillId="2" borderId="3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7" xfId="0" applyFont="1" applyFill="1" applyBorder="1" applyAlignment="1">
      <alignment horizontal="center" vertical="center"/>
    </xf>
    <xf numFmtId="0" fontId="0" fillId="3" borderId="8" xfId="0" applyFill="1" applyBorder="1" applyAlignment="1">
      <alignment horizontal="center" vertical="center" wrapText="1"/>
    </xf>
    <xf numFmtId="0" fontId="0" fillId="3" borderId="2" xfId="0" applyFill="1" applyBorder="1" applyAlignment="1">
      <alignment horizontal="center" vertical="center" wrapText="1"/>
    </xf>
    <xf numFmtId="0" fontId="0" fillId="5" borderId="8" xfId="0" applyFill="1" applyBorder="1" applyAlignment="1">
      <alignment horizontal="center" vertical="center" wrapText="1"/>
    </xf>
    <xf numFmtId="0" fontId="0" fillId="5" borderId="10" xfId="0" applyFill="1" applyBorder="1" applyAlignment="1">
      <alignment horizontal="center" vertical="center" wrapText="1"/>
    </xf>
    <xf numFmtId="0" fontId="0" fillId="5" borderId="30" xfId="0" applyFill="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3" fillId="0" borderId="12" xfId="0" applyFont="1" applyBorder="1" applyAlignment="1">
      <alignment horizontal="center"/>
    </xf>
    <xf numFmtId="0" fontId="3" fillId="0" borderId="1" xfId="0" applyFont="1" applyBorder="1" applyAlignment="1">
      <alignment horizontal="center"/>
    </xf>
    <xf numFmtId="0" fontId="3" fillId="0" borderId="5" xfId="0" applyFont="1" applyBorder="1" applyAlignment="1">
      <alignment horizontal="center" wrapText="1"/>
    </xf>
    <xf numFmtId="0" fontId="3" fillId="0" borderId="7" xfId="0" applyFont="1" applyBorder="1" applyAlignment="1">
      <alignment horizontal="center" wrapText="1"/>
    </xf>
    <xf numFmtId="0" fontId="0" fillId="0" borderId="31" xfId="0" applyBorder="1" applyAlignment="1">
      <alignment horizontal="center" wrapText="1"/>
    </xf>
    <xf numFmtId="0" fontId="0" fillId="0" borderId="23" xfId="0" applyBorder="1" applyAlignment="1">
      <alignment horizontal="center" wrapText="1"/>
    </xf>
    <xf numFmtId="0" fontId="3" fillId="0" borderId="61" xfId="0" applyFont="1" applyBorder="1" applyAlignment="1">
      <alignment horizontal="center"/>
    </xf>
    <xf numFmtId="0" fontId="0" fillId="0" borderId="26" xfId="0" applyBorder="1" applyAlignment="1">
      <alignment horizontal="center" wrapText="1"/>
    </xf>
    <xf numFmtId="0" fontId="0" fillId="0" borderId="24" xfId="0" applyBorder="1" applyAlignment="1">
      <alignment horizontal="center" wrapText="1"/>
    </xf>
    <xf numFmtId="0" fontId="19" fillId="7" borderId="36" xfId="0" applyFont="1" applyFill="1" applyBorder="1" applyAlignment="1">
      <alignment vertical="center" wrapText="1"/>
    </xf>
    <xf numFmtId="0" fontId="19" fillId="7" borderId="37" xfId="0" applyFont="1" applyFill="1" applyBorder="1" applyAlignment="1">
      <alignment vertical="center" wrapText="1"/>
    </xf>
    <xf numFmtId="0" fontId="19" fillId="7" borderId="38" xfId="0" applyFont="1" applyFill="1" applyBorder="1" applyAlignment="1">
      <alignment vertical="center" wrapText="1"/>
    </xf>
    <xf numFmtId="0" fontId="19" fillId="7" borderId="1" xfId="0" applyFont="1" applyFill="1" applyBorder="1" applyAlignment="1">
      <alignment vertical="center" wrapText="1"/>
    </xf>
  </cellXfs>
  <cellStyles count="5">
    <cellStyle name="Milliers" xfId="3" builtinId="3"/>
    <cellStyle name="Milliers 2" xfId="2"/>
    <cellStyle name="Monétaire" xfId="4" builtinId="4"/>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485775</xdr:colOff>
      <xdr:row>2</xdr:row>
      <xdr:rowOff>133351</xdr:rowOff>
    </xdr:from>
    <xdr:to>
      <xdr:col>12</xdr:col>
      <xdr:colOff>657225</xdr:colOff>
      <xdr:row>13</xdr:row>
      <xdr:rowOff>57151</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1247775" y="514351"/>
          <a:ext cx="8553450" cy="2019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00"/>
            <a:t>The project team</a:t>
          </a:r>
          <a:r>
            <a:rPr lang="fr-FR" sz="1100" baseline="0"/>
            <a:t> had a discussion with GCF on October 20th, 2020.</a:t>
          </a:r>
        </a:p>
        <a:p>
          <a:r>
            <a:rPr lang="fr-FR" sz="1100" baseline="0"/>
            <a:t>The projet team explained that the level of details required for the Annex 4 was not adapted to a programmatic approach.</a:t>
          </a:r>
        </a:p>
        <a:p>
          <a:r>
            <a:rPr lang="fr-FR" sz="1100"/>
            <a:t>It</a:t>
          </a:r>
          <a:r>
            <a:rPr lang="fr-FR" sz="1100" baseline="0"/>
            <a:t> was agreed with GCF that the project team would send the PEEB Cool's budget with the information available and indicated when they could provide the level of detail requested by GCF.</a:t>
          </a:r>
        </a:p>
        <a:p>
          <a:endParaRPr lang="fr-FR" sz="1100" baseline="0"/>
        </a:p>
        <a:p>
          <a:r>
            <a:rPr lang="fr-FR" sz="1100" baseline="0"/>
            <a:t>The funds for </a:t>
          </a:r>
          <a:r>
            <a:rPr lang="fr-FR" sz="1100" b="1" baseline="0"/>
            <a:t>component 1 </a:t>
          </a:r>
          <a:r>
            <a:rPr lang="fr-FR" sz="1100" baseline="0"/>
            <a:t>being allocated on a project by project basis, it is proposed that APR would include detailed budget for each PEEB Cool project that would be approved by AFD or PROPARCO board during the period of review.</a:t>
          </a:r>
        </a:p>
        <a:p>
          <a:endParaRPr lang="fr-FR" sz="1100" baseline="0"/>
        </a:p>
        <a:p>
          <a:r>
            <a:rPr lang="fr-FR" sz="1100" baseline="0"/>
            <a:t>The funds for </a:t>
          </a:r>
          <a:r>
            <a:rPr lang="fr-FR" sz="1100" b="1" baseline="0"/>
            <a:t>component 2 </a:t>
          </a:r>
          <a:r>
            <a:rPr lang="fr-FR" sz="1100" baseline="0"/>
            <a:t>being allocated on a country by country basis, it is proposed that APR would include detailed budget for component 2 for each activity plan that would be approved for a country during the period of review. </a:t>
          </a:r>
        </a:p>
        <a:p>
          <a:endParaRPr lang="fr-FR"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topLeftCell="B1" workbookViewId="0">
      <selection activeCell="E18" sqref="E18"/>
    </sheetView>
  </sheetViews>
  <sheetFormatPr baseColWidth="10" defaultColWidth="11.453125" defaultRowHeight="14.5" x14ac:dyDescent="0.3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54"/>
  <sheetViews>
    <sheetView zoomScale="71" zoomScaleNormal="80" workbookViewId="0">
      <pane xSplit="5" topLeftCell="F1" activePane="topRight" state="frozen"/>
      <selection pane="topRight" activeCell="J12" sqref="J12"/>
    </sheetView>
  </sheetViews>
  <sheetFormatPr baseColWidth="10" defaultColWidth="9.1796875" defaultRowHeight="14.5" outlineLevelCol="1" x14ac:dyDescent="0.35"/>
  <cols>
    <col min="1" max="1" width="16.453125" customWidth="1"/>
    <col min="2" max="2" width="20.26953125" customWidth="1"/>
    <col min="3" max="4" width="16.453125" customWidth="1"/>
    <col min="5" max="5" width="29.1796875" customWidth="1"/>
    <col min="6" max="6" width="16.453125" customWidth="1"/>
    <col min="7" max="26" width="13.453125" customWidth="1" outlineLevel="1"/>
    <col min="27" max="28" width="19.54296875" customWidth="1"/>
    <col min="29" max="29" width="10.81640625" bestFit="1" customWidth="1"/>
    <col min="30" max="38" width="9.1796875" hidden="1" customWidth="1"/>
    <col min="39" max="39" width="10.1796875" hidden="1" customWidth="1"/>
    <col min="40" max="40" width="9.1796875" hidden="1" customWidth="1"/>
  </cols>
  <sheetData>
    <row r="1" spans="1:40" ht="18.5" x14ac:dyDescent="0.45">
      <c r="A1" s="3" t="s">
        <v>27</v>
      </c>
      <c r="G1">
        <v>1</v>
      </c>
      <c r="I1">
        <v>2</v>
      </c>
      <c r="K1">
        <v>3</v>
      </c>
      <c r="M1">
        <v>4</v>
      </c>
      <c r="O1">
        <v>5</v>
      </c>
      <c r="Q1">
        <v>6</v>
      </c>
      <c r="S1">
        <v>7</v>
      </c>
      <c r="U1">
        <v>8</v>
      </c>
      <c r="W1">
        <v>9</v>
      </c>
      <c r="Y1">
        <v>10</v>
      </c>
    </row>
    <row r="2" spans="1:40" ht="19" thickBot="1" x14ac:dyDescent="0.5">
      <c r="A2" s="3" t="s">
        <v>74</v>
      </c>
      <c r="G2" s="110">
        <f>G21/$AA21</f>
        <v>2.3527029763109941E-2</v>
      </c>
      <c r="H2" s="110"/>
      <c r="I2" s="110">
        <f>I21/$AA21</f>
        <v>8.2713099817776872E-2</v>
      </c>
      <c r="J2" s="110"/>
      <c r="K2" s="110">
        <f>K21/$AA21</f>
        <v>9.162785989066613E-2</v>
      </c>
      <c r="L2" s="110"/>
      <c r="M2" s="110">
        <f>M21/$AA21</f>
        <v>0.10135654990888844</v>
      </c>
      <c r="N2" s="110"/>
      <c r="O2" s="110">
        <f>O21/$AA21</f>
        <v>0.10054261996355537</v>
      </c>
      <c r="P2" s="110"/>
      <c r="Q2" s="110">
        <f>Q21/$AA21</f>
        <v>0.11891476007288924</v>
      </c>
      <c r="R2" s="110"/>
      <c r="S2" s="110">
        <f>S21/$AA21</f>
        <v>0.13810083012755622</v>
      </c>
      <c r="T2" s="110"/>
      <c r="U2" s="110">
        <f>U21/$AA21</f>
        <v>0.1278295201457785</v>
      </c>
      <c r="V2" s="110"/>
      <c r="W2" s="110">
        <f>W21/$AA21</f>
        <v>0.11755821016400081</v>
      </c>
      <c r="X2" s="110"/>
      <c r="Y2" s="110">
        <f>Y21/$AA21</f>
        <v>9.7829520145778504E-2</v>
      </c>
      <c r="Z2" s="110"/>
    </row>
    <row r="3" spans="1:40" ht="29" x14ac:dyDescent="0.35">
      <c r="A3" s="83" t="s">
        <v>9</v>
      </c>
      <c r="B3" s="84" t="s">
        <v>8</v>
      </c>
      <c r="C3" s="84" t="s">
        <v>0</v>
      </c>
      <c r="D3" s="84" t="s">
        <v>115</v>
      </c>
      <c r="E3" s="84" t="s">
        <v>1</v>
      </c>
      <c r="F3" s="84" t="s">
        <v>25</v>
      </c>
      <c r="G3" s="234" t="s">
        <v>45</v>
      </c>
      <c r="H3" s="235"/>
      <c r="I3" s="234" t="s">
        <v>46</v>
      </c>
      <c r="J3" s="235"/>
      <c r="K3" s="234" t="s">
        <v>47</v>
      </c>
      <c r="L3" s="235"/>
      <c r="M3" s="234" t="s">
        <v>48</v>
      </c>
      <c r="N3" s="235"/>
      <c r="O3" s="234" t="s">
        <v>49</v>
      </c>
      <c r="P3" s="235"/>
      <c r="Q3" s="234" t="s">
        <v>50</v>
      </c>
      <c r="R3" s="235"/>
      <c r="S3" s="234" t="s">
        <v>51</v>
      </c>
      <c r="T3" s="235"/>
      <c r="U3" s="234" t="s">
        <v>52</v>
      </c>
      <c r="V3" s="235"/>
      <c r="W3" s="234" t="s">
        <v>53</v>
      </c>
      <c r="X3" s="235"/>
      <c r="Y3" s="234" t="s">
        <v>54</v>
      </c>
      <c r="Z3" s="236"/>
      <c r="AA3" s="83" t="s">
        <v>37</v>
      </c>
      <c r="AB3" s="85" t="s">
        <v>258</v>
      </c>
      <c r="AD3" s="4" t="s">
        <v>75</v>
      </c>
      <c r="AE3" s="4" t="s">
        <v>76</v>
      </c>
      <c r="AF3" s="4" t="s">
        <v>77</v>
      </c>
      <c r="AG3" s="4" t="s">
        <v>78</v>
      </c>
      <c r="AH3" s="4" t="s">
        <v>79</v>
      </c>
      <c r="AI3" s="4" t="s">
        <v>80</v>
      </c>
      <c r="AJ3" s="4" t="s">
        <v>81</v>
      </c>
      <c r="AK3" s="4" t="s">
        <v>82</v>
      </c>
      <c r="AL3" s="4" t="s">
        <v>83</v>
      </c>
      <c r="AM3" s="4" t="s">
        <v>84</v>
      </c>
    </row>
    <row r="4" spans="1:40" ht="15" thickBot="1" x14ac:dyDescent="0.4">
      <c r="A4" s="152"/>
      <c r="B4" s="153"/>
      <c r="C4" s="153"/>
      <c r="D4" s="154"/>
      <c r="E4" s="154"/>
      <c r="F4" s="153"/>
      <c r="G4" s="153" t="s">
        <v>256</v>
      </c>
      <c r="H4" s="153" t="s">
        <v>257</v>
      </c>
      <c r="I4" s="153" t="s">
        <v>256</v>
      </c>
      <c r="J4" s="153" t="s">
        <v>257</v>
      </c>
      <c r="K4" s="153" t="s">
        <v>256</v>
      </c>
      <c r="L4" s="153" t="s">
        <v>257</v>
      </c>
      <c r="M4" s="153" t="s">
        <v>256</v>
      </c>
      <c r="N4" s="153" t="s">
        <v>257</v>
      </c>
      <c r="O4" s="153" t="s">
        <v>256</v>
      </c>
      <c r="P4" s="153" t="s">
        <v>257</v>
      </c>
      <c r="Q4" s="153" t="s">
        <v>256</v>
      </c>
      <c r="R4" s="153" t="s">
        <v>257</v>
      </c>
      <c r="S4" s="153" t="s">
        <v>256</v>
      </c>
      <c r="T4" s="153" t="s">
        <v>257</v>
      </c>
      <c r="U4" s="153" t="s">
        <v>256</v>
      </c>
      <c r="V4" s="153" t="s">
        <v>257</v>
      </c>
      <c r="W4" s="153" t="s">
        <v>256</v>
      </c>
      <c r="X4" s="153" t="s">
        <v>257</v>
      </c>
      <c r="Y4" s="153" t="s">
        <v>256</v>
      </c>
      <c r="Z4" s="156" t="s">
        <v>257</v>
      </c>
      <c r="AA4" s="160"/>
      <c r="AB4" s="155"/>
    </row>
    <row r="5" spans="1:40" x14ac:dyDescent="0.35">
      <c r="A5" s="245" t="s">
        <v>40</v>
      </c>
      <c r="B5" s="239" t="s">
        <v>71</v>
      </c>
      <c r="C5" s="76" t="s">
        <v>2</v>
      </c>
      <c r="D5" s="76" t="s">
        <v>116</v>
      </c>
      <c r="E5" s="77" t="s">
        <v>117</v>
      </c>
      <c r="F5" s="241" t="s">
        <v>15</v>
      </c>
      <c r="G5" s="78">
        <f>'Revised top-down'!$E$3*'Detailed Budget'!AD$5*1000000*27%</f>
        <v>923400.00000000012</v>
      </c>
      <c r="H5" s="78">
        <f>'Revised top-down'!$F$3*'Detailed Budget'!AD$5*1000000*27%</f>
        <v>0</v>
      </c>
      <c r="I5" s="78">
        <f>'Revised top-down'!$E$3*'Detailed Budget'!AE$5*1000000*27%</f>
        <v>1108080</v>
      </c>
      <c r="J5" s="78">
        <f>'Revised top-down'!$F$3*'Detailed Budget'!AE$5*1000000*27%</f>
        <v>0</v>
      </c>
      <c r="K5" s="78">
        <f>'Revised top-down'!$E$3*'Detailed Budget'!AF$5*1000000*27%</f>
        <v>923400.00000000012</v>
      </c>
      <c r="L5" s="78">
        <f>'Revised top-down'!$F$3*'Detailed Budget'!AF$5*1000000*27%</f>
        <v>0</v>
      </c>
      <c r="M5" s="78">
        <f>'Revised top-down'!$E$3*'Detailed Budget'!AG$5*1000000*27%</f>
        <v>923400.00000000012</v>
      </c>
      <c r="N5" s="78">
        <f>'Revised top-down'!$F$3*'Detailed Budget'!AG$5*1000000*27%</f>
        <v>0</v>
      </c>
      <c r="O5" s="78">
        <f>'Revised top-down'!$E$3*'Detailed Budget'!AH$5*1000000*27%</f>
        <v>738719.99999999988</v>
      </c>
      <c r="P5" s="78">
        <f>'Revised top-down'!$F$3*'Detailed Budget'!AH$5*1000000*27%</f>
        <v>0</v>
      </c>
      <c r="Q5" s="78">
        <f>'Revised top-down'!$E$3*'Detailed Budget'!AI$5*1000000*27%</f>
        <v>492480.00000000006</v>
      </c>
      <c r="R5" s="78">
        <f>'Revised top-down'!$F$3*'Detailed Budget'!AI$5*1000000*27%</f>
        <v>0</v>
      </c>
      <c r="S5" s="78">
        <f>'Revised top-down'!$E$3*'Detailed Budget'!AJ$5*1000000*27%</f>
        <v>430920.00000000012</v>
      </c>
      <c r="T5" s="78">
        <f>'Revised top-down'!$F$3*'Detailed Budget'!AJ$5*1000000*27%</f>
        <v>0</v>
      </c>
      <c r="U5" s="78">
        <f>'Revised top-down'!$E$3*'Detailed Budget'!AK$5*1000000*27%</f>
        <v>307800.00000000006</v>
      </c>
      <c r="V5" s="78">
        <f>'Revised top-down'!$F$3*'Detailed Budget'!AK$5*1000000*27%</f>
        <v>0</v>
      </c>
      <c r="W5" s="78">
        <f>'Revised top-down'!$E$3*'Detailed Budget'!AL$5*1000000*27%</f>
        <v>184679.99999999997</v>
      </c>
      <c r="X5" s="78">
        <f>'Revised top-down'!$F$3*'Detailed Budget'!AL$5*1000000*27%</f>
        <v>0</v>
      </c>
      <c r="Y5" s="78">
        <f>'Revised top-down'!$E$3*'Detailed Budget'!AM$5*1000000*27%</f>
        <v>123120.00000000001</v>
      </c>
      <c r="Z5" s="149">
        <f>'Revised top-down'!$F$3*'Detailed Budget'!AM$5*1000000*27%</f>
        <v>0</v>
      </c>
      <c r="AA5" s="162">
        <f>SUM(Y5,W5,U5,S5,Q5,O5,M5,K5,I5,G5)</f>
        <v>6156000</v>
      </c>
      <c r="AB5" s="172">
        <f>SUM(Z5,X5,V5,T5,R5,P5,N5,L5,J5,H5)</f>
        <v>0</v>
      </c>
      <c r="AD5" s="66">
        <v>0.15</v>
      </c>
      <c r="AE5" s="66">
        <v>0.18</v>
      </c>
      <c r="AF5" s="66">
        <v>0.15</v>
      </c>
      <c r="AG5" s="66">
        <v>0.15</v>
      </c>
      <c r="AH5" s="66">
        <v>0.12</v>
      </c>
      <c r="AI5" s="66">
        <v>0.08</v>
      </c>
      <c r="AJ5" s="66">
        <v>7.0000000000000007E-2</v>
      </c>
      <c r="AK5" s="66">
        <v>0.05</v>
      </c>
      <c r="AL5" s="66">
        <v>0.03</v>
      </c>
      <c r="AM5" s="66">
        <v>0.02</v>
      </c>
      <c r="AN5" s="67">
        <f>SUM(AD5:AM5)</f>
        <v>1</v>
      </c>
    </row>
    <row r="6" spans="1:40" x14ac:dyDescent="0.35">
      <c r="A6" s="246"/>
      <c r="B6" s="240"/>
      <c r="C6" s="148" t="s">
        <v>2</v>
      </c>
      <c r="D6" s="148" t="s">
        <v>116</v>
      </c>
      <c r="E6" s="2" t="s">
        <v>118</v>
      </c>
      <c r="F6" s="242"/>
      <c r="G6" s="5">
        <f>'Revised top-down'!$E$3*'Detailed Budget'!AD$5*1000000*72%</f>
        <v>2462400</v>
      </c>
      <c r="H6" s="5">
        <f>'Revised top-down'!$F$3*'Detailed Budget'!AD$5*1000000*72%</f>
        <v>0</v>
      </c>
      <c r="I6" s="5">
        <f>'Revised top-down'!$E$3*'Detailed Budget'!AE$5*1000000*72%</f>
        <v>2954880</v>
      </c>
      <c r="J6" s="5">
        <f>'Revised top-down'!$F$3*'Detailed Budget'!AE$5*1000000*72%</f>
        <v>0</v>
      </c>
      <c r="K6" s="5">
        <f>'Revised top-down'!$E$3*'Detailed Budget'!AF$5*1000000*72%</f>
        <v>2462400</v>
      </c>
      <c r="L6" s="5">
        <f>'Revised top-down'!$F$3*'Detailed Budget'!AF$5*1000000*72%</f>
        <v>0</v>
      </c>
      <c r="M6" s="5">
        <f>'Revised top-down'!$E$3*'Detailed Budget'!AG$5*1000000*72%</f>
        <v>2462400</v>
      </c>
      <c r="N6" s="5">
        <f>'Revised top-down'!$F$3*'Detailed Budget'!AG$5*1000000*72%</f>
        <v>0</v>
      </c>
      <c r="O6" s="5">
        <f>'Revised top-down'!$E$3*'Detailed Budget'!AH$5*1000000*72%</f>
        <v>1969919.9999999995</v>
      </c>
      <c r="P6" s="5">
        <f>'Revised top-down'!$F$3*'Detailed Budget'!AH$5*1000000*72%</f>
        <v>0</v>
      </c>
      <c r="Q6" s="5">
        <f>'Revised top-down'!$E$3*'Detailed Budget'!AI$5*1000000*72%</f>
        <v>1313280</v>
      </c>
      <c r="R6" s="5">
        <f>'Revised top-down'!$F$3*'Detailed Budget'!AI$5*1000000*72%</f>
        <v>0</v>
      </c>
      <c r="S6" s="5">
        <f>'Revised top-down'!$E$3*'Detailed Budget'!AJ$5*1000000*72%</f>
        <v>1149120.0000000002</v>
      </c>
      <c r="T6" s="5">
        <f>'Revised top-down'!$F$3*'Detailed Budget'!AJ$5*1000000*72%</f>
        <v>0</v>
      </c>
      <c r="U6" s="5">
        <f>'Revised top-down'!$E$3*'Detailed Budget'!AK$5*1000000*72%</f>
        <v>820800.00000000012</v>
      </c>
      <c r="V6" s="5">
        <f>'Revised top-down'!$F$3*'Detailed Budget'!AK$5*1000000*72%</f>
        <v>0</v>
      </c>
      <c r="W6" s="5">
        <f>'Revised top-down'!$E$3*'Detailed Budget'!AL$5*1000000*72%</f>
        <v>492479.99999999988</v>
      </c>
      <c r="X6" s="5">
        <f>'Revised top-down'!$F$3*'Detailed Budget'!AL$5*1000000*72%</f>
        <v>0</v>
      </c>
      <c r="Y6" s="5">
        <f>'Revised top-down'!$E$3*'Detailed Budget'!AM$5*1000000*72%</f>
        <v>328320</v>
      </c>
      <c r="Z6" s="150">
        <f>'Revised top-down'!$F$3*'Detailed Budget'!AM$5*1000000*72%</f>
        <v>0</v>
      </c>
      <c r="AA6" s="161">
        <f>SUM(Y6,W6,U6,S6,Q6,O6,M6,K6,I6,G6)</f>
        <v>16416000</v>
      </c>
      <c r="AB6" s="164">
        <f t="shared" ref="AB6:AB40" si="0">SUM(Z6,X6,V6,T6,R6,P6,N6,L6,J6,H6)</f>
        <v>0</v>
      </c>
      <c r="AD6" s="66"/>
      <c r="AE6" s="66"/>
      <c r="AF6" s="66"/>
      <c r="AG6" s="66"/>
      <c r="AH6" s="66"/>
      <c r="AI6" s="66"/>
      <c r="AJ6" s="66"/>
      <c r="AK6" s="66"/>
      <c r="AL6" s="66"/>
      <c r="AM6" s="66"/>
      <c r="AN6" s="67"/>
    </row>
    <row r="7" spans="1:40" x14ac:dyDescent="0.35">
      <c r="A7" s="246"/>
      <c r="B7" s="240"/>
      <c r="C7" s="148" t="s">
        <v>2</v>
      </c>
      <c r="D7" s="148" t="s">
        <v>116</v>
      </c>
      <c r="E7" s="2" t="s">
        <v>3</v>
      </c>
      <c r="F7" s="238"/>
      <c r="G7" s="5">
        <f>'Revised top-down'!$E$3*'Detailed Budget'!AD$5*1000000*1%</f>
        <v>34200</v>
      </c>
      <c r="H7" s="5">
        <f>'Revised top-down'!$F$3*'Detailed Budget'!AD$5*1000000*1%</f>
        <v>0</v>
      </c>
      <c r="I7" s="5">
        <f>'Revised top-down'!$E$3*'Detailed Budget'!AE$5*1000000*1%</f>
        <v>41040</v>
      </c>
      <c r="J7" s="5">
        <f>'Revised top-down'!$F$3*'Detailed Budget'!AE$5*1000000*1%</f>
        <v>0</v>
      </c>
      <c r="K7" s="5">
        <f>'Revised top-down'!$E$3*'Detailed Budget'!AF$5*1000000*1%</f>
        <v>34200</v>
      </c>
      <c r="L7" s="5">
        <f>'Revised top-down'!$F$3*'Detailed Budget'!AF$5*1000000*1%</f>
        <v>0</v>
      </c>
      <c r="M7" s="5">
        <f>'Revised top-down'!$E$3*'Detailed Budget'!AG$5*1000000*1%</f>
        <v>34200</v>
      </c>
      <c r="N7" s="5">
        <f>'Revised top-down'!$F$3*'Detailed Budget'!AG$5*1000000*1%</f>
        <v>0</v>
      </c>
      <c r="O7" s="5">
        <f>'Revised top-down'!$E$3*'Detailed Budget'!AH$5*1000000*1%</f>
        <v>27359.999999999996</v>
      </c>
      <c r="P7" s="5">
        <f>'Revised top-down'!$F$3*'Detailed Budget'!AH$5*1000000*1%</f>
        <v>0</v>
      </c>
      <c r="Q7" s="5">
        <f>'Revised top-down'!$E$3*'Detailed Budget'!AI$5*1000000*1%</f>
        <v>18240</v>
      </c>
      <c r="R7" s="5">
        <f>'Revised top-down'!$F$3*'Detailed Budget'!AI$5*1000000*1%</f>
        <v>0</v>
      </c>
      <c r="S7" s="5">
        <f>'Revised top-down'!$E$3*'Detailed Budget'!AJ$5*1000000*1%</f>
        <v>15960.000000000002</v>
      </c>
      <c r="T7" s="5">
        <f>'Revised top-down'!$F$3*'Detailed Budget'!AJ$5*1000000*1%</f>
        <v>0</v>
      </c>
      <c r="U7" s="5">
        <f>'Revised top-down'!$E$3*'Detailed Budget'!AK$5*1000000*1%</f>
        <v>11400.000000000002</v>
      </c>
      <c r="V7" s="5">
        <f>'Revised top-down'!$F$3*'Detailed Budget'!AK$5*1000000*1%</f>
        <v>0</v>
      </c>
      <c r="W7" s="5">
        <f>'Revised top-down'!$E$3*'Detailed Budget'!AL$5*1000000*1%</f>
        <v>6839.9999999999991</v>
      </c>
      <c r="X7" s="5">
        <f>'Revised top-down'!$F$3*'Detailed Budget'!AL$5*1000000*1%</f>
        <v>0</v>
      </c>
      <c r="Y7" s="5">
        <f>'Revised top-down'!$E$3*'Detailed Budget'!AM$5*1000000*1%</f>
        <v>4560</v>
      </c>
      <c r="Z7" s="150">
        <f>'Revised top-down'!$F$3*'Detailed Budget'!AM$5*1000000*1%</f>
        <v>0</v>
      </c>
      <c r="AA7" s="161">
        <f t="shared" ref="AA7:AA40" si="1">SUM(Y7,W7,U7,S7,Q7,O7,M7,K7,I7,G7)</f>
        <v>228000</v>
      </c>
      <c r="AB7" s="164">
        <f t="shared" si="0"/>
        <v>0</v>
      </c>
      <c r="AD7" s="66"/>
      <c r="AE7" s="66"/>
      <c r="AF7" s="66"/>
      <c r="AG7" s="66"/>
      <c r="AH7" s="66"/>
      <c r="AI7" s="66"/>
      <c r="AJ7" s="66"/>
      <c r="AK7" s="66"/>
      <c r="AL7" s="66"/>
      <c r="AM7" s="66"/>
      <c r="AN7" s="67"/>
    </row>
    <row r="8" spans="1:40" x14ac:dyDescent="0.35">
      <c r="A8" s="246"/>
      <c r="B8" s="240"/>
      <c r="C8" s="148" t="s">
        <v>34</v>
      </c>
      <c r="D8" s="148" t="s">
        <v>116</v>
      </c>
      <c r="E8" s="2" t="s">
        <v>117</v>
      </c>
      <c r="F8" s="243" t="s">
        <v>16</v>
      </c>
      <c r="G8" s="5">
        <f>'Revised top-down'!$H$3*'Detailed Budget'!AD$8*1000000*27%</f>
        <v>162000</v>
      </c>
      <c r="H8" s="5">
        <f>'Revised top-down'!$I$3*'Detailed Budget'!AD$8*1000000*27%</f>
        <v>0</v>
      </c>
      <c r="I8" s="5">
        <f>'Revised top-down'!$H$3*'Detailed Budget'!AE$8*1000000*27%</f>
        <v>194400</v>
      </c>
      <c r="J8" s="5">
        <f>'Revised top-down'!$I$3*'Detailed Budget'!AE$8*1000000*27%</f>
        <v>0</v>
      </c>
      <c r="K8" s="5">
        <f>'Revised top-down'!$H$3*'Detailed Budget'!AF$8*1000000*27%</f>
        <v>162000</v>
      </c>
      <c r="L8" s="5">
        <f>'Revised top-down'!$I$3*'Detailed Budget'!AF$8*1000000*27%</f>
        <v>0</v>
      </c>
      <c r="M8" s="5">
        <f>'Revised top-down'!$H$3*'Detailed Budget'!AG$8*1000000*27%</f>
        <v>162000</v>
      </c>
      <c r="N8" s="5">
        <f>'Revised top-down'!$I$3*'Detailed Budget'!AG$8*1000000*27%</f>
        <v>0</v>
      </c>
      <c r="O8" s="5">
        <f>'Revised top-down'!$H$3*'Detailed Budget'!AH$8*1000000*27%</f>
        <v>129600.00000000001</v>
      </c>
      <c r="P8" s="5">
        <f>'Revised top-down'!$I$3*'Detailed Budget'!AH$8*1000000*27%</f>
        <v>0</v>
      </c>
      <c r="Q8" s="5">
        <f>'Revised top-down'!$H$3*'Detailed Budget'!AI$8*1000000*27%</f>
        <v>86400</v>
      </c>
      <c r="R8" s="5">
        <f>'Revised top-down'!$I$3*'Detailed Budget'!AI$8*1000000*27%</f>
        <v>0</v>
      </c>
      <c r="S8" s="5">
        <f>'Revised top-down'!$H$3*'Detailed Budget'!AJ$8*1000000*27%</f>
        <v>75600</v>
      </c>
      <c r="T8" s="5">
        <f>'Revised top-down'!$I$3*'Detailed Budget'!AJ$8*1000000*27%</f>
        <v>0</v>
      </c>
      <c r="U8" s="5">
        <f>'Revised top-down'!$H$3*'Detailed Budget'!AK$8*1000000*27%</f>
        <v>54000</v>
      </c>
      <c r="V8" s="5">
        <f>'Revised top-down'!$I$3*'Detailed Budget'!AK$8*1000000*27%</f>
        <v>0</v>
      </c>
      <c r="W8" s="5">
        <f>'Revised top-down'!$H$3*'Detailed Budget'!AL$8*1000000*27%</f>
        <v>32400.000000000004</v>
      </c>
      <c r="X8" s="5">
        <f>'Revised top-down'!$I$3*'Detailed Budget'!AL$8*1000000*27%</f>
        <v>0</v>
      </c>
      <c r="Y8" s="5">
        <f>'Revised top-down'!$H$3*'Detailed Budget'!AM$8*1000000*27%</f>
        <v>21600</v>
      </c>
      <c r="Z8" s="150">
        <f>'Revised top-down'!$I$3*'Detailed Budget'!AM$8*1000000*27%</f>
        <v>0</v>
      </c>
      <c r="AA8" s="161">
        <f t="shared" si="1"/>
        <v>1080000</v>
      </c>
      <c r="AB8" s="164">
        <f t="shared" si="0"/>
        <v>0</v>
      </c>
      <c r="AD8" s="66">
        <v>0.15</v>
      </c>
      <c r="AE8" s="66">
        <v>0.18</v>
      </c>
      <c r="AF8" s="66">
        <v>0.15</v>
      </c>
      <c r="AG8" s="66">
        <v>0.15</v>
      </c>
      <c r="AH8" s="66">
        <v>0.12</v>
      </c>
      <c r="AI8" s="66">
        <v>0.08</v>
      </c>
      <c r="AJ8" s="66">
        <v>7.0000000000000007E-2</v>
      </c>
      <c r="AK8" s="66">
        <v>0.05</v>
      </c>
      <c r="AL8" s="66">
        <v>0.03</v>
      </c>
      <c r="AM8" s="66">
        <v>0.02</v>
      </c>
      <c r="AN8" s="67">
        <f>SUM(AD8:AM8)</f>
        <v>1</v>
      </c>
    </row>
    <row r="9" spans="1:40" x14ac:dyDescent="0.35">
      <c r="A9" s="246"/>
      <c r="B9" s="240"/>
      <c r="C9" s="148" t="s">
        <v>34</v>
      </c>
      <c r="D9" s="148" t="s">
        <v>116</v>
      </c>
      <c r="E9" s="2" t="s">
        <v>118</v>
      </c>
      <c r="F9" s="243"/>
      <c r="G9" s="5">
        <f>'Revised top-down'!$H$3*'Detailed Budget'!AD$8*1000000*72%</f>
        <v>432000</v>
      </c>
      <c r="H9" s="5">
        <f>'Revised top-down'!$I$3*'Detailed Budget'!AD$8*1000000*72%</f>
        <v>0</v>
      </c>
      <c r="I9" s="5">
        <f>'Revised top-down'!$H$3*'Detailed Budget'!AE$8*1000000*72%</f>
        <v>518400</v>
      </c>
      <c r="J9" s="5">
        <f>'Revised top-down'!$I$3*'Detailed Budget'!AE$8*1000000*72%</f>
        <v>0</v>
      </c>
      <c r="K9" s="5">
        <f>'Revised top-down'!$H$3*'Detailed Budget'!AF$8*1000000*72%</f>
        <v>432000</v>
      </c>
      <c r="L9" s="5">
        <f>'Revised top-down'!$I$3*'Detailed Budget'!AF$8*1000000*72%</f>
        <v>0</v>
      </c>
      <c r="M9" s="5">
        <f>'Revised top-down'!$H$3*'Detailed Budget'!AG$8*1000000*72%</f>
        <v>432000</v>
      </c>
      <c r="N9" s="5">
        <f>'Revised top-down'!$I$3*'Detailed Budget'!AG$8*1000000*72%</f>
        <v>0</v>
      </c>
      <c r="O9" s="5">
        <f>'Revised top-down'!$H$3*'Detailed Budget'!AH$8*1000000*72%</f>
        <v>345600</v>
      </c>
      <c r="P9" s="5">
        <f>'Revised top-down'!$I$3*'Detailed Budget'!AH$8*1000000*72%</f>
        <v>0</v>
      </c>
      <c r="Q9" s="5">
        <f>'Revised top-down'!$H$3*'Detailed Budget'!AI$8*1000000*72%</f>
        <v>230400</v>
      </c>
      <c r="R9" s="5">
        <f>'Revised top-down'!$I$3*'Detailed Budget'!AI$8*1000000*72%</f>
        <v>0</v>
      </c>
      <c r="S9" s="5">
        <f>'Revised top-down'!$H$3*'Detailed Budget'!AJ$8*1000000*72%</f>
        <v>201600</v>
      </c>
      <c r="T9" s="5">
        <f>'Revised top-down'!$I$3*'Detailed Budget'!AJ$8*1000000*72%</f>
        <v>0</v>
      </c>
      <c r="U9" s="5">
        <f>'Revised top-down'!$H$3*'Detailed Budget'!AK$8*1000000*72%</f>
        <v>144000</v>
      </c>
      <c r="V9" s="5">
        <f>'Revised top-down'!$I$3*'Detailed Budget'!AK$8*1000000*72%</f>
        <v>0</v>
      </c>
      <c r="W9" s="5">
        <f>'Revised top-down'!$H$3*'Detailed Budget'!AL$8*1000000*72%</f>
        <v>86400</v>
      </c>
      <c r="X9" s="5">
        <f>'Revised top-down'!$I$3*'Detailed Budget'!AL$8*1000000*72%</f>
        <v>0</v>
      </c>
      <c r="Y9" s="5">
        <f>'Revised top-down'!$H$3*'Detailed Budget'!AM$8*1000000*72%</f>
        <v>57600</v>
      </c>
      <c r="Z9" s="150">
        <f>'Revised top-down'!$I$3*'Detailed Budget'!AM$8*1000000*72%</f>
        <v>0</v>
      </c>
      <c r="AA9" s="161">
        <f t="shared" si="1"/>
        <v>2880000</v>
      </c>
      <c r="AB9" s="164">
        <f t="shared" si="0"/>
        <v>0</v>
      </c>
      <c r="AD9" s="66"/>
      <c r="AE9" s="66"/>
      <c r="AF9" s="66"/>
      <c r="AG9" s="66"/>
      <c r="AH9" s="66"/>
      <c r="AI9" s="66"/>
      <c r="AJ9" s="66"/>
      <c r="AK9" s="66"/>
      <c r="AL9" s="66"/>
      <c r="AM9" s="66"/>
      <c r="AN9" s="67"/>
    </row>
    <row r="10" spans="1:40" ht="15" thickBot="1" x14ac:dyDescent="0.4">
      <c r="A10" s="246"/>
      <c r="B10" s="240"/>
      <c r="C10" s="148" t="s">
        <v>34</v>
      </c>
      <c r="D10" s="147" t="s">
        <v>116</v>
      </c>
      <c r="E10" s="2" t="s">
        <v>3</v>
      </c>
      <c r="F10" s="243"/>
      <c r="G10" s="5">
        <f>'Revised top-down'!$H$3*'Detailed Budget'!AD$8*1000000*1%</f>
        <v>6000</v>
      </c>
      <c r="H10" s="5">
        <f>'Revised top-down'!$I$3*'Detailed Budget'!AD$8*1000000*1%</f>
        <v>0</v>
      </c>
      <c r="I10" s="5">
        <f>'Revised top-down'!$H$3*'Detailed Budget'!AE$8*1000000*1%</f>
        <v>7200</v>
      </c>
      <c r="J10" s="5">
        <f>'Revised top-down'!$I$3*'Detailed Budget'!AE$8*1000000*1%</f>
        <v>0</v>
      </c>
      <c r="K10" s="5">
        <f>'Revised top-down'!$H$3*'Detailed Budget'!AF$8*1000000*1%</f>
        <v>6000</v>
      </c>
      <c r="L10" s="5">
        <f>'Revised top-down'!$I$3*'Detailed Budget'!AF$8*1000000*1%</f>
        <v>0</v>
      </c>
      <c r="M10" s="5">
        <f>'Revised top-down'!$H$3*'Detailed Budget'!AG$8*1000000*1%</f>
        <v>6000</v>
      </c>
      <c r="N10" s="5">
        <f>'Revised top-down'!$I$3*'Detailed Budget'!AG$8*1000000*1%</f>
        <v>0</v>
      </c>
      <c r="O10" s="5">
        <f>'Revised top-down'!$H$3*'Detailed Budget'!AH$8*1000000*1%</f>
        <v>4800</v>
      </c>
      <c r="P10" s="5">
        <f>'Revised top-down'!$I$3*'Detailed Budget'!AH$8*1000000*1%</f>
        <v>0</v>
      </c>
      <c r="Q10" s="5">
        <f>'Revised top-down'!$H$3*'Detailed Budget'!AI$8*1000000*1%</f>
        <v>3200</v>
      </c>
      <c r="R10" s="5">
        <f>'Revised top-down'!$I$3*'Detailed Budget'!AI$8*1000000*1%</f>
        <v>0</v>
      </c>
      <c r="S10" s="5">
        <f>'Revised top-down'!$H$3*'Detailed Budget'!AJ$8*1000000*1%</f>
        <v>2800</v>
      </c>
      <c r="T10" s="5">
        <f>'Revised top-down'!$I$3*'Detailed Budget'!AJ$8*1000000*1%</f>
        <v>0</v>
      </c>
      <c r="U10" s="5">
        <f>'Revised top-down'!$H$3*'Detailed Budget'!AK$8*1000000*1%</f>
        <v>2000</v>
      </c>
      <c r="V10" s="5">
        <f>'Revised top-down'!$I$3*'Detailed Budget'!AK$8*1000000*1%</f>
        <v>0</v>
      </c>
      <c r="W10" s="5">
        <f>'Revised top-down'!$H$3*'Detailed Budget'!AL$8*1000000*1%</f>
        <v>1200</v>
      </c>
      <c r="X10" s="5">
        <f>'Revised top-down'!$I$3*'Detailed Budget'!AL$8*1000000*1%</f>
        <v>0</v>
      </c>
      <c r="Y10" s="5">
        <f>'Revised top-down'!$H$3*'Detailed Budget'!AM$8*1000000*1%</f>
        <v>800</v>
      </c>
      <c r="Z10" s="150">
        <f>'Revised top-down'!$I$3*'Detailed Budget'!AM$8*1000000*1%</f>
        <v>0</v>
      </c>
      <c r="AA10" s="161">
        <f t="shared" si="1"/>
        <v>40000</v>
      </c>
      <c r="AB10" s="164">
        <f t="shared" si="0"/>
        <v>0</v>
      </c>
      <c r="AD10" s="66"/>
      <c r="AE10" s="66"/>
      <c r="AF10" s="66"/>
      <c r="AG10" s="66"/>
      <c r="AH10" s="66"/>
      <c r="AI10" s="66"/>
      <c r="AJ10" s="66"/>
      <c r="AK10" s="66"/>
      <c r="AL10" s="66"/>
      <c r="AM10" s="66"/>
      <c r="AN10" s="67"/>
    </row>
    <row r="11" spans="1:40" x14ac:dyDescent="0.35">
      <c r="A11" s="246"/>
      <c r="B11" s="239" t="s">
        <v>7</v>
      </c>
      <c r="C11" s="76" t="s">
        <v>2</v>
      </c>
      <c r="D11" s="76" t="s">
        <v>121</v>
      </c>
      <c r="E11" s="77" t="s">
        <v>117</v>
      </c>
      <c r="F11" s="241" t="s">
        <v>17</v>
      </c>
      <c r="G11" s="78">
        <f>'Revised top-down'!$E$4*'Detailed Budget'!AD$11*1000000*1.5%</f>
        <v>39300</v>
      </c>
      <c r="H11" s="78">
        <f>'Revised top-down'!$F$4*'Detailed Budget'!AD$11*1000000*1.5%</f>
        <v>13500</v>
      </c>
      <c r="I11" s="78">
        <f>'Revised top-down'!$E$4*'Detailed Budget'!AE$11*1000000*1.5%</f>
        <v>157200</v>
      </c>
      <c r="J11" s="78">
        <f>'Revised top-down'!$F$4*'Detailed Budget'!AE$11*1000000*1.5%</f>
        <v>54000</v>
      </c>
      <c r="K11" s="78">
        <f>'Revised top-down'!$E$4*'Detailed Budget'!AF$11*1000000*1.5%</f>
        <v>176850</v>
      </c>
      <c r="L11" s="78">
        <f>'Revised top-down'!$F$4*'Detailed Budget'!AF$11*1000000*1.5%</f>
        <v>60750</v>
      </c>
      <c r="M11" s="78">
        <f>'Revised top-down'!$E$4*'Detailed Budget'!AG$11*1000000*1.5%</f>
        <v>196500.00000000003</v>
      </c>
      <c r="N11" s="78">
        <f>'Revised top-down'!$F$4*'Detailed Budget'!AG$11*1000000*1.5%</f>
        <v>67500</v>
      </c>
      <c r="O11" s="78">
        <f>'Revised top-down'!$E$4*'Detailed Budget'!AH$11*1000000*1.5%</f>
        <v>196500.00000000003</v>
      </c>
      <c r="P11" s="78">
        <f>'Revised top-down'!$F$4*'Detailed Budget'!AH$11*1000000*1.5%</f>
        <v>67500</v>
      </c>
      <c r="Q11" s="78">
        <f>'Revised top-down'!$E$4*'Detailed Budget'!AI$11*1000000*1.5%</f>
        <v>235799.99999999997</v>
      </c>
      <c r="R11" s="78">
        <f>'Revised top-down'!$F$4*'Detailed Budget'!AI$11*1000000*1.5%</f>
        <v>80999.999999999985</v>
      </c>
      <c r="S11" s="78">
        <f>'Revised top-down'!$E$4*'Detailed Budget'!AJ$11*1000000*1.5%</f>
        <v>275100.00000000006</v>
      </c>
      <c r="T11" s="78">
        <f>'Revised top-down'!$F$4*'Detailed Budget'!AJ$11*1000000*1.5%</f>
        <v>94500.000000000015</v>
      </c>
      <c r="U11" s="78">
        <f>'Revised top-down'!$E$4*'Detailed Budget'!AK$11*1000000*1.5%</f>
        <v>255450</v>
      </c>
      <c r="V11" s="78">
        <f>'Revised top-down'!$F$4*'Detailed Budget'!AK$11*1000000*1.5%</f>
        <v>87750.000000000015</v>
      </c>
      <c r="W11" s="78">
        <f>'Revised top-down'!$E$4*'Detailed Budget'!AL$11*1000000*1.5%</f>
        <v>235799.99999999997</v>
      </c>
      <c r="X11" s="78">
        <f>'Revised top-down'!$F$4*'Detailed Budget'!AL$11*1000000*1.5%</f>
        <v>80999.999999999985</v>
      </c>
      <c r="Y11" s="78">
        <f>'Revised top-down'!$E$4*'Detailed Budget'!AM$11*1000000*1.5%</f>
        <v>196500.00000000003</v>
      </c>
      <c r="Z11" s="149">
        <f>'Revised top-down'!$F$4*'Detailed Budget'!AM$11*1000000*1.5%</f>
        <v>67500</v>
      </c>
      <c r="AA11" s="162">
        <f t="shared" si="1"/>
        <v>1965000</v>
      </c>
      <c r="AB11" s="79">
        <f t="shared" si="0"/>
        <v>675000</v>
      </c>
      <c r="AD11" s="66">
        <v>0.02</v>
      </c>
      <c r="AE11" s="66">
        <v>0.08</v>
      </c>
      <c r="AF11" s="66">
        <v>0.09</v>
      </c>
      <c r="AG11" s="66">
        <v>0.1</v>
      </c>
      <c r="AH11" s="66">
        <v>0.1</v>
      </c>
      <c r="AI11" s="66">
        <v>0.12</v>
      </c>
      <c r="AJ11" s="66">
        <v>0.14000000000000001</v>
      </c>
      <c r="AK11" s="66">
        <v>0.13</v>
      </c>
      <c r="AL11" s="66">
        <v>0.12</v>
      </c>
      <c r="AM11" s="66">
        <v>0.1</v>
      </c>
      <c r="AN11" s="67">
        <f>SUM(AD11:AM11)</f>
        <v>1</v>
      </c>
    </row>
    <row r="12" spans="1:40" x14ac:dyDescent="0.35">
      <c r="A12" s="246"/>
      <c r="B12" s="240"/>
      <c r="C12" s="148" t="s">
        <v>2</v>
      </c>
      <c r="D12" s="148" t="s">
        <v>121</v>
      </c>
      <c r="E12" s="2" t="s">
        <v>118</v>
      </c>
      <c r="F12" s="242"/>
      <c r="G12" s="5">
        <f>'Revised top-down'!$E$4*'Detailed Budget'!AD$11*1000000*3%</f>
        <v>78600</v>
      </c>
      <c r="H12" s="5">
        <f>'Revised top-down'!$F$4*'Detailed Budget'!AD$11*1000000*3%</f>
        <v>27000</v>
      </c>
      <c r="I12" s="5">
        <f>'Revised top-down'!$E$4*'Detailed Budget'!AE$11*1000000*3%</f>
        <v>314400</v>
      </c>
      <c r="J12" s="5">
        <f>'Revised top-down'!$F$4*'Detailed Budget'!AE$11*1000000*3%</f>
        <v>108000</v>
      </c>
      <c r="K12" s="5">
        <f>'Revised top-down'!$E$4*'Detailed Budget'!AF$11*1000000*3%</f>
        <v>353700</v>
      </c>
      <c r="L12" s="5">
        <f>'Revised top-down'!$F$4*'Detailed Budget'!AF$11*1000000*3%</f>
        <v>121500</v>
      </c>
      <c r="M12" s="5">
        <f>'Revised top-down'!$E$4*'Detailed Budget'!AG$11*1000000*3%</f>
        <v>393000.00000000006</v>
      </c>
      <c r="N12" s="5">
        <f>'Revised top-down'!$F$4*'Detailed Budget'!AG$11*1000000*3%</f>
        <v>135000</v>
      </c>
      <c r="O12" s="5">
        <f>'Revised top-down'!$E$4*'Detailed Budget'!AH$11*1000000*3%</f>
        <v>393000.00000000006</v>
      </c>
      <c r="P12" s="5">
        <f>'Revised top-down'!$F$4*'Detailed Budget'!AH$11*1000000*3%</f>
        <v>135000</v>
      </c>
      <c r="Q12" s="5">
        <f>'Revised top-down'!$E$4*'Detailed Budget'!AI$11*1000000*3%</f>
        <v>471599.99999999994</v>
      </c>
      <c r="R12" s="5">
        <f>'Revised top-down'!$F$4*'Detailed Budget'!AI$11*1000000*3%</f>
        <v>161999.99999999997</v>
      </c>
      <c r="S12" s="5">
        <f>'Revised top-down'!$E$4*'Detailed Budget'!AJ$11*1000000*3%</f>
        <v>550200.00000000012</v>
      </c>
      <c r="T12" s="5">
        <f>'Revised top-down'!$F$4*'Detailed Budget'!AJ$11*1000000*3%</f>
        <v>189000.00000000003</v>
      </c>
      <c r="U12" s="5">
        <f>'Revised top-down'!$E$4*'Detailed Budget'!AK$11*1000000*3%</f>
        <v>510900</v>
      </c>
      <c r="V12" s="5">
        <f>'Revised top-down'!$F$4*'Detailed Budget'!AK$11*1000000*3%</f>
        <v>175500.00000000003</v>
      </c>
      <c r="W12" s="5">
        <f>'Revised top-down'!$E$4*'Detailed Budget'!AL$11*1000000*3%</f>
        <v>471599.99999999994</v>
      </c>
      <c r="X12" s="5">
        <f>'Revised top-down'!$F$4*'Detailed Budget'!AL$11*1000000*3%</f>
        <v>161999.99999999997</v>
      </c>
      <c r="Y12" s="5">
        <f>'Revised top-down'!$E$4*'Detailed Budget'!AM$11*1000000*3%</f>
        <v>393000.00000000006</v>
      </c>
      <c r="Z12" s="150">
        <f>'Revised top-down'!$F$4*'Detailed Budget'!AM$11*1000000*3%</f>
        <v>135000</v>
      </c>
      <c r="AA12" s="161">
        <f t="shared" si="1"/>
        <v>3930000</v>
      </c>
      <c r="AB12" s="80">
        <f t="shared" si="0"/>
        <v>1350000</v>
      </c>
      <c r="AD12" s="66"/>
      <c r="AE12" s="66"/>
      <c r="AF12" s="66"/>
      <c r="AG12" s="66"/>
      <c r="AH12" s="66"/>
      <c r="AI12" s="66"/>
      <c r="AJ12" s="66"/>
      <c r="AK12" s="66"/>
      <c r="AL12" s="66"/>
      <c r="AM12" s="66"/>
      <c r="AN12" s="67"/>
    </row>
    <row r="13" spans="1:40" x14ac:dyDescent="0.35">
      <c r="A13" s="246"/>
      <c r="B13" s="240"/>
      <c r="C13" s="148" t="s">
        <v>2</v>
      </c>
      <c r="D13" s="148" t="s">
        <v>121</v>
      </c>
      <c r="E13" s="2" t="s">
        <v>3</v>
      </c>
      <c r="F13" s="242"/>
      <c r="G13" s="5">
        <f>'Revised top-down'!$E$4*'Detailed Budget'!AD$11*1000000*0.5%</f>
        <v>13100</v>
      </c>
      <c r="H13" s="5">
        <f>'Revised top-down'!$F$4*'Detailed Budget'!AD$11*1000000*0.5%</f>
        <v>4500</v>
      </c>
      <c r="I13" s="5">
        <f>'Revised top-down'!$E$4*'Detailed Budget'!AE$11*1000000*0.5%</f>
        <v>52400</v>
      </c>
      <c r="J13" s="5">
        <f>'Revised top-down'!$F$4*'Detailed Budget'!AE$11*1000000*0.5%</f>
        <v>18000</v>
      </c>
      <c r="K13" s="5">
        <f>'Revised top-down'!$E$4*'Detailed Budget'!AF$11*1000000*0.5%</f>
        <v>58950</v>
      </c>
      <c r="L13" s="5">
        <f>'Revised top-down'!$F$4*'Detailed Budget'!AF$11*1000000*0.5%</f>
        <v>20250</v>
      </c>
      <c r="M13" s="5">
        <f>'Revised top-down'!$E$4*'Detailed Budget'!AG$11*1000000*0.5%</f>
        <v>65500.000000000007</v>
      </c>
      <c r="N13" s="5">
        <f>'Revised top-down'!$F$4*'Detailed Budget'!AG$11*1000000*0.5%</f>
        <v>22500</v>
      </c>
      <c r="O13" s="5">
        <f>'Revised top-down'!$E$4*'Detailed Budget'!AH$11*1000000*0.5%</f>
        <v>65500.000000000007</v>
      </c>
      <c r="P13" s="5">
        <f>'Revised top-down'!$F$4*'Detailed Budget'!AH$11*1000000*0.5%</f>
        <v>22500</v>
      </c>
      <c r="Q13" s="5">
        <f>'Revised top-down'!$E$4*'Detailed Budget'!AI$11*1000000*0.5%</f>
        <v>78599.999999999985</v>
      </c>
      <c r="R13" s="5">
        <f>'Revised top-down'!$F$4*'Detailed Budget'!AI$11*1000000*0.5%</f>
        <v>26999.999999999996</v>
      </c>
      <c r="S13" s="5">
        <f>'Revised top-down'!$E$4*'Detailed Budget'!AJ$11*1000000*0.5%</f>
        <v>91700.000000000015</v>
      </c>
      <c r="T13" s="5">
        <f>'Revised top-down'!$F$4*'Detailed Budget'!AJ$11*1000000*0.5%</f>
        <v>31500.000000000004</v>
      </c>
      <c r="U13" s="5">
        <f>'Revised top-down'!$E$4*'Detailed Budget'!AK$11*1000000*0.5%</f>
        <v>85150</v>
      </c>
      <c r="V13" s="5">
        <f>'Revised top-down'!$F$4*'Detailed Budget'!AK$11*1000000*0.5%</f>
        <v>29250.000000000004</v>
      </c>
      <c r="W13" s="5">
        <f>'Revised top-down'!$E$4*'Detailed Budget'!AL$11*1000000*0.5%</f>
        <v>78599.999999999985</v>
      </c>
      <c r="X13" s="5">
        <f>'Revised top-down'!$F$4*'Detailed Budget'!AL$11*1000000*0.5%</f>
        <v>26999.999999999996</v>
      </c>
      <c r="Y13" s="5">
        <f>'Revised top-down'!$E$4*'Detailed Budget'!AM$11*1000000*0.5%</f>
        <v>65500.000000000007</v>
      </c>
      <c r="Z13" s="150">
        <f>'Revised top-down'!$F$4*'Detailed Budget'!AM$11*1000000*0.5%</f>
        <v>22500</v>
      </c>
      <c r="AA13" s="161">
        <f t="shared" si="1"/>
        <v>655000</v>
      </c>
      <c r="AB13" s="80">
        <f t="shared" si="0"/>
        <v>225000</v>
      </c>
      <c r="AD13" s="66"/>
      <c r="AE13" s="66"/>
      <c r="AF13" s="66"/>
      <c r="AG13" s="66"/>
      <c r="AH13" s="66"/>
      <c r="AI13" s="66"/>
      <c r="AJ13" s="66"/>
      <c r="AK13" s="66"/>
      <c r="AL13" s="66"/>
      <c r="AM13" s="66"/>
      <c r="AN13" s="67"/>
    </row>
    <row r="14" spans="1:40" x14ac:dyDescent="0.35">
      <c r="A14" s="246"/>
      <c r="B14" s="240"/>
      <c r="C14" s="148" t="s">
        <v>2</v>
      </c>
      <c r="D14" s="148" t="s">
        <v>121</v>
      </c>
      <c r="E14" s="2" t="s">
        <v>119</v>
      </c>
      <c r="F14" s="242"/>
      <c r="G14" s="5">
        <f>'Revised top-down'!$E$4*'Detailed Budget'!AD$11*1000000*50%</f>
        <v>1310000</v>
      </c>
      <c r="H14" s="5">
        <f>'Revised top-down'!$F$4*'Detailed Budget'!AD$11*1000000*50%</f>
        <v>450000</v>
      </c>
      <c r="I14" s="5">
        <f>'Revised top-down'!$E$4*'Detailed Budget'!AE$11*1000000*50%</f>
        <v>5240000</v>
      </c>
      <c r="J14" s="5">
        <f>'Revised top-down'!$F$4*'Detailed Budget'!AE$11*1000000*50%</f>
        <v>1800000</v>
      </c>
      <c r="K14" s="5">
        <f>'Revised top-down'!$E$4*'Detailed Budget'!AF$11*1000000*50%</f>
        <v>5895000</v>
      </c>
      <c r="L14" s="5">
        <f>'Revised top-down'!$F$4*'Detailed Budget'!AF$11*1000000*50%</f>
        <v>2025000</v>
      </c>
      <c r="M14" s="5">
        <f>'Revised top-down'!$E$4*'Detailed Budget'!AG$11*1000000*50%</f>
        <v>6550000.0000000009</v>
      </c>
      <c r="N14" s="5">
        <f>'Revised top-down'!$F$4*'Detailed Budget'!AG$11*1000000*50%</f>
        <v>2250000</v>
      </c>
      <c r="O14" s="5">
        <f>'Revised top-down'!$E$4*'Detailed Budget'!AH$11*1000000*50%</f>
        <v>6550000.0000000009</v>
      </c>
      <c r="P14" s="5">
        <f>'Revised top-down'!$F$4*'Detailed Budget'!AH$11*1000000*50%</f>
        <v>2250000</v>
      </c>
      <c r="Q14" s="5">
        <f>'Revised top-down'!$E$4*'Detailed Budget'!AI$11*1000000*50%</f>
        <v>7859999.9999999991</v>
      </c>
      <c r="R14" s="5">
        <f>'Revised top-down'!$F$4*'Detailed Budget'!AI$11*1000000*50%</f>
        <v>2699999.9999999995</v>
      </c>
      <c r="S14" s="5">
        <f>'Revised top-down'!$E$4*'Detailed Budget'!AJ$11*1000000*50%</f>
        <v>9170000.0000000019</v>
      </c>
      <c r="T14" s="5">
        <f>'Revised top-down'!$F$4*'Detailed Budget'!AJ$11*1000000*50%</f>
        <v>3150000.0000000005</v>
      </c>
      <c r="U14" s="5">
        <f>'Revised top-down'!$E$4*'Detailed Budget'!AK$11*1000000*50%</f>
        <v>8515000</v>
      </c>
      <c r="V14" s="5">
        <f>'Revised top-down'!$F$4*'Detailed Budget'!AK$11*1000000*50%</f>
        <v>2925000.0000000005</v>
      </c>
      <c r="W14" s="5">
        <f>'Revised top-down'!$E$4*'Detailed Budget'!AL$11*1000000*50%</f>
        <v>7859999.9999999991</v>
      </c>
      <c r="X14" s="5">
        <f>'Revised top-down'!$F$4*'Detailed Budget'!AL$11*1000000*50%</f>
        <v>2699999.9999999995</v>
      </c>
      <c r="Y14" s="5">
        <f>'Revised top-down'!$E$4*'Detailed Budget'!AM$11*1000000*50%</f>
        <v>6550000.0000000009</v>
      </c>
      <c r="Z14" s="150">
        <f>'Revised top-down'!$F$4*'Detailed Budget'!AM$11*1000000*50%</f>
        <v>2250000</v>
      </c>
      <c r="AA14" s="161">
        <f t="shared" si="1"/>
        <v>65500000</v>
      </c>
      <c r="AB14" s="80">
        <f t="shared" si="0"/>
        <v>22500000</v>
      </c>
      <c r="AD14" s="66"/>
      <c r="AE14" s="66"/>
      <c r="AF14" s="66"/>
      <c r="AG14" s="66"/>
      <c r="AH14" s="66"/>
      <c r="AI14" s="66"/>
      <c r="AJ14" s="66"/>
      <c r="AK14" s="66"/>
      <c r="AL14" s="66"/>
      <c r="AM14" s="66"/>
      <c r="AN14" s="67"/>
    </row>
    <row r="15" spans="1:40" x14ac:dyDescent="0.35">
      <c r="A15" s="246"/>
      <c r="B15" s="240"/>
      <c r="C15" s="148" t="s">
        <v>2</v>
      </c>
      <c r="D15" s="148" t="s">
        <v>120</v>
      </c>
      <c r="E15" s="2" t="s">
        <v>35</v>
      </c>
      <c r="F15" s="238"/>
      <c r="G15" s="5">
        <f>'Revised top-down'!$E$4*'Detailed Budget'!AD$11*1000000*45%</f>
        <v>1179000</v>
      </c>
      <c r="H15" s="5">
        <f>'Revised top-down'!$F$4*'Detailed Budget'!AD$11*1000000*45%</f>
        <v>405000</v>
      </c>
      <c r="I15" s="5">
        <f>'Revised top-down'!$E$4*'Detailed Budget'!AE$11*1000000*45%</f>
        <v>4716000</v>
      </c>
      <c r="J15" s="5">
        <f>'Revised top-down'!$F$4*'Detailed Budget'!AE$11*1000000*45%</f>
        <v>1620000</v>
      </c>
      <c r="K15" s="5">
        <f>'Revised top-down'!$E$4*'Detailed Budget'!AF$11*1000000*45%</f>
        <v>5305500</v>
      </c>
      <c r="L15" s="5">
        <f>'Revised top-down'!$F$4*'Detailed Budget'!AF$11*1000000*45%</f>
        <v>1822500</v>
      </c>
      <c r="M15" s="5">
        <f>'Revised top-down'!$E$4*'Detailed Budget'!AG$11*1000000*45%</f>
        <v>5895000.0000000009</v>
      </c>
      <c r="N15" s="5">
        <f>'Revised top-down'!$F$4*'Detailed Budget'!AG$11*1000000*45%</f>
        <v>2025000</v>
      </c>
      <c r="O15" s="5">
        <f>'Revised top-down'!$E$4*'Detailed Budget'!AH$11*1000000*45%</f>
        <v>5895000.0000000009</v>
      </c>
      <c r="P15" s="5">
        <f>'Revised top-down'!$F$4*'Detailed Budget'!AH$11*1000000*45%</f>
        <v>2025000</v>
      </c>
      <c r="Q15" s="5">
        <f>'Revised top-down'!$E$4*'Detailed Budget'!AI$11*1000000*45%</f>
        <v>7073999.9999999991</v>
      </c>
      <c r="R15" s="5">
        <f>'Revised top-down'!$F$4*'Detailed Budget'!AI$11*1000000*45%</f>
        <v>2429999.9999999995</v>
      </c>
      <c r="S15" s="5">
        <f>'Revised top-down'!$E$4*'Detailed Budget'!AJ$11*1000000*45%</f>
        <v>8253000.0000000019</v>
      </c>
      <c r="T15" s="5">
        <f>'Revised top-down'!$F$4*'Detailed Budget'!AJ$11*1000000*45%</f>
        <v>2835000.0000000005</v>
      </c>
      <c r="U15" s="5">
        <f>'Revised top-down'!$E$4*'Detailed Budget'!AK$11*1000000*45%</f>
        <v>7663500</v>
      </c>
      <c r="V15" s="5">
        <f>'Revised top-down'!$F$4*'Detailed Budget'!AK$11*1000000*45%</f>
        <v>2632500.0000000005</v>
      </c>
      <c r="W15" s="5">
        <f>'Revised top-down'!$E$4*'Detailed Budget'!AL$11*1000000*45%</f>
        <v>7073999.9999999991</v>
      </c>
      <c r="X15" s="5">
        <f>'Revised top-down'!$F$4*'Detailed Budget'!AL$11*1000000*45%</f>
        <v>2429999.9999999995</v>
      </c>
      <c r="Y15" s="5">
        <f>'Revised top-down'!$E$4*'Detailed Budget'!AM$11*1000000*45%</f>
        <v>5895000.0000000009</v>
      </c>
      <c r="Z15" s="150">
        <f>'Revised top-down'!$F$4*'Detailed Budget'!AM$11*1000000*45%</f>
        <v>2025000</v>
      </c>
      <c r="AA15" s="161">
        <f t="shared" si="1"/>
        <v>58950000</v>
      </c>
      <c r="AB15" s="80">
        <f t="shared" si="0"/>
        <v>20250000</v>
      </c>
      <c r="AD15" s="66"/>
      <c r="AE15" s="66"/>
      <c r="AF15" s="66"/>
      <c r="AG15" s="66"/>
      <c r="AH15" s="66"/>
      <c r="AI15" s="66"/>
      <c r="AJ15" s="66"/>
      <c r="AK15" s="66"/>
      <c r="AL15" s="66"/>
      <c r="AM15" s="66"/>
      <c r="AN15" s="67"/>
    </row>
    <row r="16" spans="1:40" x14ac:dyDescent="0.35">
      <c r="A16" s="246"/>
      <c r="B16" s="240"/>
      <c r="C16" s="148" t="s">
        <v>34</v>
      </c>
      <c r="D16" s="148" t="s">
        <v>121</v>
      </c>
      <c r="E16" s="2" t="s">
        <v>117</v>
      </c>
      <c r="F16" s="148" t="s">
        <v>18</v>
      </c>
      <c r="G16" s="5">
        <f>'Revised top-down'!$H$4*'Detailed Budget'!AD$16*1000000*1.5%</f>
        <v>249000.00000000003</v>
      </c>
      <c r="H16" s="5">
        <f>'Revised top-down'!$I$4*'Detailed Budget'!AD$16*1000000*1.5%</f>
        <v>84300</v>
      </c>
      <c r="I16" s="5">
        <f>'Revised top-down'!$H$4*'Detailed Budget'!AE$16*1000000*1.5%</f>
        <v>996000.00000000012</v>
      </c>
      <c r="J16" s="5">
        <f>'Revised top-down'!$I$4*'Detailed Budget'!AE$16*1000000*1.5%</f>
        <v>337200</v>
      </c>
      <c r="K16" s="5">
        <f>'Revised top-down'!$H$4*'Detailed Budget'!AF$16*1000000*1.5%</f>
        <v>1120500</v>
      </c>
      <c r="L16" s="5">
        <f>'Revised top-down'!$I$4*'Detailed Budget'!AF$16*1000000*1.5%</f>
        <v>379350</v>
      </c>
      <c r="M16" s="5">
        <f>'Revised top-down'!$H$4*'Detailed Budget'!AG$16*1000000*1.5%</f>
        <v>1245000</v>
      </c>
      <c r="N16" s="5">
        <f>'Revised top-down'!$I$4*'Detailed Budget'!AG$16*1000000*1.5%</f>
        <v>421500</v>
      </c>
      <c r="O16" s="5">
        <f>'Revised top-down'!$H$4*'Detailed Budget'!AH$16*1000000*1.5%</f>
        <v>1245000</v>
      </c>
      <c r="P16" s="5">
        <f>'Revised top-down'!$I$4*'Detailed Budget'!AH$16*1000000*1.5%</f>
        <v>421500</v>
      </c>
      <c r="Q16" s="5">
        <f>'Revised top-down'!$H$4*'Detailed Budget'!AI$16*1000000*1.5%</f>
        <v>1494000</v>
      </c>
      <c r="R16" s="5">
        <f>'Revised top-down'!$I$4*'Detailed Budget'!AI$16*1000000*1.5%</f>
        <v>505800</v>
      </c>
      <c r="S16" s="5">
        <f>'Revised top-down'!$H$4*'Detailed Budget'!AJ$16*1000000*1.5%</f>
        <v>1743000.0000000002</v>
      </c>
      <c r="T16" s="5">
        <f>'Revised top-down'!$I$4*'Detailed Budget'!AJ$16*1000000*1.5%</f>
        <v>590100</v>
      </c>
      <c r="U16" s="5">
        <f>'Revised top-down'!$H$4*'Detailed Budget'!AK$16*1000000*1.5%</f>
        <v>1618500</v>
      </c>
      <c r="V16" s="5">
        <f>'Revised top-down'!$I$4*'Detailed Budget'!AK$16*1000000*1.5%</f>
        <v>547950</v>
      </c>
      <c r="W16" s="5">
        <f>'Revised top-down'!$H$4*'Detailed Budget'!AL$16*1000000*1.5%</f>
        <v>1494000</v>
      </c>
      <c r="X16" s="5">
        <f>'Revised top-down'!$I$4*'Detailed Budget'!AL$16*1000000*1.5%</f>
        <v>505800</v>
      </c>
      <c r="Y16" s="5">
        <f>'Revised top-down'!$H$4*'Detailed Budget'!AM$16*1000000*1.5%</f>
        <v>1245000</v>
      </c>
      <c r="Z16" s="150">
        <f>'Revised top-down'!$I$4*'Detailed Budget'!AM$16*1000000*1.5%</f>
        <v>421500</v>
      </c>
      <c r="AA16" s="161">
        <f t="shared" si="1"/>
        <v>12450000</v>
      </c>
      <c r="AB16" s="80">
        <f t="shared" si="0"/>
        <v>4215000</v>
      </c>
      <c r="AD16" s="66">
        <v>0.02</v>
      </c>
      <c r="AE16" s="66">
        <v>0.08</v>
      </c>
      <c r="AF16" s="66">
        <v>0.09</v>
      </c>
      <c r="AG16" s="66">
        <v>0.1</v>
      </c>
      <c r="AH16" s="66">
        <v>0.1</v>
      </c>
      <c r="AI16" s="66">
        <v>0.12</v>
      </c>
      <c r="AJ16" s="66">
        <v>0.14000000000000001</v>
      </c>
      <c r="AK16" s="66">
        <v>0.13</v>
      </c>
      <c r="AL16" s="66">
        <v>0.12</v>
      </c>
      <c r="AM16" s="66">
        <v>0.1</v>
      </c>
      <c r="AN16" s="67">
        <f>SUM(AD16:AM16)</f>
        <v>1</v>
      </c>
    </row>
    <row r="17" spans="1:40" x14ac:dyDescent="0.35">
      <c r="A17" s="246"/>
      <c r="B17" s="240"/>
      <c r="C17" s="148" t="s">
        <v>34</v>
      </c>
      <c r="D17" s="148" t="s">
        <v>121</v>
      </c>
      <c r="E17" s="2" t="s">
        <v>118</v>
      </c>
      <c r="F17" s="148" t="s">
        <v>18</v>
      </c>
      <c r="G17" s="5">
        <f>'Revised top-down'!$H$4*'Detailed Budget'!AD$16*1000000*3%</f>
        <v>498000.00000000006</v>
      </c>
      <c r="H17" s="5">
        <f>'Revised top-down'!$I$4*'Detailed Budget'!AD$16*1000000*3%</f>
        <v>168600</v>
      </c>
      <c r="I17" s="5">
        <f>'Revised top-down'!$H$4*'Detailed Budget'!AE$16*1000000*3%</f>
        <v>1992000.0000000002</v>
      </c>
      <c r="J17" s="5">
        <f>'Revised top-down'!$I$4*'Detailed Budget'!AE$16*1000000*3%</f>
        <v>674400</v>
      </c>
      <c r="K17" s="5">
        <f>'Revised top-down'!$H$4*'Detailed Budget'!AF$16*1000000*3%</f>
        <v>2241000</v>
      </c>
      <c r="L17" s="5">
        <f>'Revised top-down'!$I$4*'Detailed Budget'!AF$16*1000000*3%</f>
        <v>758700</v>
      </c>
      <c r="M17" s="5">
        <f>'Revised top-down'!$H$4*'Detailed Budget'!AG$16*1000000*3%</f>
        <v>2490000</v>
      </c>
      <c r="N17" s="5">
        <f>'Revised top-down'!$I$4*'Detailed Budget'!AG$16*1000000*3%</f>
        <v>843000</v>
      </c>
      <c r="O17" s="5">
        <f>'Revised top-down'!$H$4*'Detailed Budget'!AH$16*1000000*3%</f>
        <v>2490000</v>
      </c>
      <c r="P17" s="5">
        <f>'Revised top-down'!$I$4*'Detailed Budget'!AH$16*1000000*3%</f>
        <v>843000</v>
      </c>
      <c r="Q17" s="5">
        <f>'Revised top-down'!$H$4*'Detailed Budget'!AI$16*1000000*3%</f>
        <v>2988000</v>
      </c>
      <c r="R17" s="5">
        <f>'Revised top-down'!$I$4*'Detailed Budget'!AI$16*1000000*3%</f>
        <v>1011600</v>
      </c>
      <c r="S17" s="5">
        <f>'Revised top-down'!$H$4*'Detailed Budget'!AJ$16*1000000*3%</f>
        <v>3486000.0000000005</v>
      </c>
      <c r="T17" s="5">
        <f>'Revised top-down'!$I$4*'Detailed Budget'!AJ$16*1000000*3%</f>
        <v>1180200</v>
      </c>
      <c r="U17" s="5">
        <f>'Revised top-down'!$H$4*'Detailed Budget'!AK$16*1000000*3%</f>
        <v>3237000</v>
      </c>
      <c r="V17" s="5">
        <f>'Revised top-down'!$I$4*'Detailed Budget'!AK$16*1000000*3%</f>
        <v>1095900</v>
      </c>
      <c r="W17" s="5">
        <f>'Revised top-down'!$H$4*'Detailed Budget'!AL$16*1000000*3%</f>
        <v>2988000</v>
      </c>
      <c r="X17" s="5">
        <f>'Revised top-down'!$I$4*'Detailed Budget'!AL$16*1000000*3%</f>
        <v>1011600</v>
      </c>
      <c r="Y17" s="5">
        <f>'Revised top-down'!$H$4*'Detailed Budget'!AM$16*1000000*3%</f>
        <v>2490000</v>
      </c>
      <c r="Z17" s="150">
        <f>'Revised top-down'!$I$4*'Detailed Budget'!AM$16*1000000*3%</f>
        <v>843000</v>
      </c>
      <c r="AA17" s="161">
        <f t="shared" si="1"/>
        <v>24900000</v>
      </c>
      <c r="AB17" s="80">
        <f t="shared" si="0"/>
        <v>8430000</v>
      </c>
      <c r="AD17" s="66"/>
      <c r="AE17" s="66"/>
      <c r="AF17" s="66"/>
      <c r="AG17" s="66"/>
      <c r="AH17" s="66"/>
      <c r="AI17" s="66"/>
      <c r="AJ17" s="66"/>
      <c r="AK17" s="66"/>
      <c r="AL17" s="66"/>
      <c r="AM17" s="66"/>
      <c r="AN17" s="67"/>
    </row>
    <row r="18" spans="1:40" x14ac:dyDescent="0.35">
      <c r="A18" s="246"/>
      <c r="B18" s="240"/>
      <c r="C18" s="148" t="s">
        <v>34</v>
      </c>
      <c r="D18" s="148" t="s">
        <v>121</v>
      </c>
      <c r="E18" s="2" t="s">
        <v>3</v>
      </c>
      <c r="F18" s="148" t="s">
        <v>18</v>
      </c>
      <c r="G18" s="5">
        <f>'Revised top-down'!$H$4*'Detailed Budget'!AD$16*1000000*0.5%</f>
        <v>83000.000000000015</v>
      </c>
      <c r="H18" s="5">
        <f>'Revised top-down'!$I$4*'Detailed Budget'!AD$16*1000000*0.5%</f>
        <v>28100</v>
      </c>
      <c r="I18" s="5">
        <f>'Revised top-down'!$H$4*'Detailed Budget'!AE$16*1000000*0.5%</f>
        <v>332000.00000000006</v>
      </c>
      <c r="J18" s="5">
        <f>'Revised top-down'!$I$4*'Detailed Budget'!AE$16*1000000*0.5%</f>
        <v>112400</v>
      </c>
      <c r="K18" s="5">
        <f>'Revised top-down'!$H$4*'Detailed Budget'!AF$16*1000000*0.5%</f>
        <v>373500</v>
      </c>
      <c r="L18" s="5">
        <f>'Revised top-down'!$I$4*'Detailed Budget'!AF$16*1000000*0.5%</f>
        <v>126450</v>
      </c>
      <c r="M18" s="5">
        <f>'Revised top-down'!$H$4*'Detailed Budget'!AG$16*1000000*0.5%</f>
        <v>415000</v>
      </c>
      <c r="N18" s="5">
        <f>'Revised top-down'!$I$4*'Detailed Budget'!AG$16*1000000*0.5%</f>
        <v>140500</v>
      </c>
      <c r="O18" s="5">
        <f>'Revised top-down'!$H$4*'Detailed Budget'!AH$16*1000000*0.5%</f>
        <v>415000</v>
      </c>
      <c r="P18" s="5">
        <f>'Revised top-down'!$I$4*'Detailed Budget'!AH$16*1000000*0.5%</f>
        <v>140500</v>
      </c>
      <c r="Q18" s="5">
        <f>'Revised top-down'!$H$4*'Detailed Budget'!AI$16*1000000*0.5%</f>
        <v>498000</v>
      </c>
      <c r="R18" s="5">
        <f>'Revised top-down'!$I$4*'Detailed Budget'!AI$16*1000000*0.5%</f>
        <v>168600</v>
      </c>
      <c r="S18" s="5">
        <f>'Revised top-down'!$H$4*'Detailed Budget'!AJ$16*1000000*0.5%</f>
        <v>581000.00000000012</v>
      </c>
      <c r="T18" s="5">
        <f>'Revised top-down'!$I$4*'Detailed Budget'!AJ$16*1000000*0.5%</f>
        <v>196700</v>
      </c>
      <c r="U18" s="5">
        <f>'Revised top-down'!$H$4*'Detailed Budget'!AK$16*1000000*0.5%</f>
        <v>539500</v>
      </c>
      <c r="V18" s="5">
        <f>'Revised top-down'!$I$4*'Detailed Budget'!AK$16*1000000*0.5%</f>
        <v>182650</v>
      </c>
      <c r="W18" s="5">
        <f>'Revised top-down'!$H$4*'Detailed Budget'!AL$16*1000000*0.5%</f>
        <v>498000</v>
      </c>
      <c r="X18" s="5">
        <f>'Revised top-down'!$I$4*'Detailed Budget'!AL$16*1000000*0.5%</f>
        <v>168600</v>
      </c>
      <c r="Y18" s="5">
        <f>'Revised top-down'!$H$4*'Detailed Budget'!AM$16*1000000*0.5%</f>
        <v>415000</v>
      </c>
      <c r="Z18" s="150">
        <f>'Revised top-down'!$I$4*'Detailed Budget'!AM$16*1000000*0.5%</f>
        <v>140500</v>
      </c>
      <c r="AA18" s="161">
        <f t="shared" si="1"/>
        <v>4150000</v>
      </c>
      <c r="AB18" s="80">
        <f t="shared" si="0"/>
        <v>1405000</v>
      </c>
      <c r="AD18" s="66"/>
      <c r="AE18" s="66"/>
      <c r="AF18" s="66"/>
      <c r="AG18" s="66"/>
      <c r="AH18" s="66"/>
      <c r="AI18" s="66"/>
      <c r="AJ18" s="66"/>
      <c r="AK18" s="66"/>
      <c r="AL18" s="66"/>
      <c r="AM18" s="66"/>
      <c r="AN18" s="67"/>
    </row>
    <row r="19" spans="1:40" x14ac:dyDescent="0.35">
      <c r="A19" s="246"/>
      <c r="B19" s="240"/>
      <c r="C19" s="148" t="s">
        <v>34</v>
      </c>
      <c r="D19" s="148" t="s">
        <v>121</v>
      </c>
      <c r="E19" s="2" t="s">
        <v>119</v>
      </c>
      <c r="F19" s="148" t="s">
        <v>18</v>
      </c>
      <c r="G19" s="5">
        <f>'Revised top-down'!$H$4*'Detailed Budget'!AD$16*1000000*50%</f>
        <v>8300000.0000000009</v>
      </c>
      <c r="H19" s="5">
        <f>'Revised top-down'!$I$4*'Detailed Budget'!AD$16*1000000*50%</f>
        <v>2810000</v>
      </c>
      <c r="I19" s="5">
        <f>'Revised top-down'!$H$4*'Detailed Budget'!AE$16*1000000*50%</f>
        <v>33200000.000000004</v>
      </c>
      <c r="J19" s="5">
        <f>'Revised top-down'!$I$4*'Detailed Budget'!AE$16*1000000*50%</f>
        <v>11240000</v>
      </c>
      <c r="K19" s="5">
        <f>'Revised top-down'!$H$4*'Detailed Budget'!AF$16*1000000*50%</f>
        <v>37350000</v>
      </c>
      <c r="L19" s="5">
        <f>'Revised top-down'!$I$4*'Detailed Budget'!AF$16*1000000*50%</f>
        <v>12645000</v>
      </c>
      <c r="M19" s="5">
        <f>'Revised top-down'!$H$4*'Detailed Budget'!AG$16*1000000*50%</f>
        <v>41500000</v>
      </c>
      <c r="N19" s="5">
        <f>'Revised top-down'!$I$4*'Detailed Budget'!AG$16*1000000*50%</f>
        <v>14050000</v>
      </c>
      <c r="O19" s="5">
        <f>'Revised top-down'!$H$4*'Detailed Budget'!AH$16*1000000*50%</f>
        <v>41500000</v>
      </c>
      <c r="P19" s="5">
        <f>'Revised top-down'!$I$4*'Detailed Budget'!AH$16*1000000*50%</f>
        <v>14050000</v>
      </c>
      <c r="Q19" s="5">
        <f>'Revised top-down'!$H$4*'Detailed Budget'!AI$16*1000000*50%</f>
        <v>49800000</v>
      </c>
      <c r="R19" s="5">
        <f>'Revised top-down'!$I$4*'Detailed Budget'!AI$16*1000000*50%</f>
        <v>16860000</v>
      </c>
      <c r="S19" s="5">
        <f>'Revised top-down'!$H$4*'Detailed Budget'!AJ$16*1000000*50%</f>
        <v>58100000.000000007</v>
      </c>
      <c r="T19" s="5">
        <f>'Revised top-down'!$I$4*'Detailed Budget'!AJ$16*1000000*50%</f>
        <v>19670000</v>
      </c>
      <c r="U19" s="5">
        <f>'Revised top-down'!$H$4*'Detailed Budget'!AK$16*1000000*50%</f>
        <v>53950000</v>
      </c>
      <c r="V19" s="5">
        <f>'Revised top-down'!$I$4*'Detailed Budget'!AK$16*1000000*50%</f>
        <v>18265000</v>
      </c>
      <c r="W19" s="5">
        <f>'Revised top-down'!$H$4*'Detailed Budget'!AL$16*1000000*50%</f>
        <v>49800000</v>
      </c>
      <c r="X19" s="5">
        <f>'Revised top-down'!$I$4*'Detailed Budget'!AL$16*1000000*50%</f>
        <v>16860000</v>
      </c>
      <c r="Y19" s="5">
        <f>'Revised top-down'!$H$4*'Detailed Budget'!AM$16*1000000*50%</f>
        <v>41500000</v>
      </c>
      <c r="Z19" s="150">
        <f>'Revised top-down'!$I$4*'Detailed Budget'!AM$16*1000000*50%</f>
        <v>14050000</v>
      </c>
      <c r="AA19" s="161">
        <f t="shared" si="1"/>
        <v>415000000</v>
      </c>
      <c r="AB19" s="80">
        <f t="shared" si="0"/>
        <v>140500000</v>
      </c>
      <c r="AD19" s="66"/>
      <c r="AE19" s="66"/>
      <c r="AF19" s="66"/>
      <c r="AG19" s="66"/>
      <c r="AH19" s="66"/>
      <c r="AI19" s="66"/>
      <c r="AJ19" s="66"/>
      <c r="AK19" s="66"/>
      <c r="AL19" s="66"/>
      <c r="AM19" s="66"/>
      <c r="AN19" s="67"/>
    </row>
    <row r="20" spans="1:40" x14ac:dyDescent="0.35">
      <c r="A20" s="246"/>
      <c r="B20" s="240"/>
      <c r="C20" s="148" t="s">
        <v>34</v>
      </c>
      <c r="D20" s="148" t="s">
        <v>120</v>
      </c>
      <c r="E20" s="2" t="s">
        <v>35</v>
      </c>
      <c r="F20" s="148" t="s">
        <v>18</v>
      </c>
      <c r="G20" s="5">
        <f>'Revised top-down'!$H$4*'Detailed Budget'!AD$16*1000000*45%</f>
        <v>7470000.0000000009</v>
      </c>
      <c r="H20" s="5">
        <f>'Revised top-down'!$I$4*'Detailed Budget'!AD$16*1000000*45%</f>
        <v>2529000</v>
      </c>
      <c r="I20" s="5">
        <f>'Revised top-down'!$H$4*'Detailed Budget'!AE$16*1000000*45%</f>
        <v>29880000.000000004</v>
      </c>
      <c r="J20" s="5">
        <f>'Revised top-down'!$I$4*'Detailed Budget'!AE$16*1000000*45%</f>
        <v>10116000</v>
      </c>
      <c r="K20" s="5">
        <f>'Revised top-down'!$H$4*'Detailed Budget'!AF$16*1000000*45%</f>
        <v>33615000</v>
      </c>
      <c r="L20" s="5">
        <f>'Revised top-down'!$I$4*'Detailed Budget'!AF$16*1000000*45%</f>
        <v>11380500</v>
      </c>
      <c r="M20" s="5">
        <f>'Revised top-down'!$H$4*'Detailed Budget'!AG$16*1000000*45%</f>
        <v>37350000</v>
      </c>
      <c r="N20" s="5">
        <f>'Revised top-down'!$I$4*'Detailed Budget'!AG$16*1000000*45%</f>
        <v>12645000</v>
      </c>
      <c r="O20" s="5">
        <f>'Revised top-down'!$H$4*'Detailed Budget'!AH$16*1000000*45%</f>
        <v>37350000</v>
      </c>
      <c r="P20" s="5">
        <f>'Revised top-down'!$I$4*'Detailed Budget'!AH$16*1000000*45%</f>
        <v>12645000</v>
      </c>
      <c r="Q20" s="5">
        <f>'Revised top-down'!$H$4*'Detailed Budget'!AI$16*1000000*45%</f>
        <v>44820000</v>
      </c>
      <c r="R20" s="5">
        <f>'Revised top-down'!$I$4*'Detailed Budget'!AI$16*1000000*45%</f>
        <v>15174000</v>
      </c>
      <c r="S20" s="5">
        <f>'Revised top-down'!$H$4*'Detailed Budget'!AJ$16*1000000*45%</f>
        <v>52290000.000000007</v>
      </c>
      <c r="T20" s="5">
        <f>'Revised top-down'!$I$4*'Detailed Budget'!AJ$16*1000000*45%</f>
        <v>17703000</v>
      </c>
      <c r="U20" s="5">
        <f>'Revised top-down'!$H$4*'Detailed Budget'!AK$16*1000000*45%</f>
        <v>48555000</v>
      </c>
      <c r="V20" s="5">
        <f>'Revised top-down'!$I$4*'Detailed Budget'!AK$16*1000000*45%</f>
        <v>16438500</v>
      </c>
      <c r="W20" s="5">
        <f>'Revised top-down'!$H$4*'Detailed Budget'!AL$16*1000000*45%</f>
        <v>44820000</v>
      </c>
      <c r="X20" s="5">
        <f>'Revised top-down'!$I$4*'Detailed Budget'!AL$16*1000000*45%</f>
        <v>15174000</v>
      </c>
      <c r="Y20" s="5">
        <f>'Revised top-down'!$H$4*'Detailed Budget'!AM$16*1000000*45%</f>
        <v>37350000</v>
      </c>
      <c r="Z20" s="150">
        <f>'Revised top-down'!$I$4*'Detailed Budget'!AM$16*1000000*45%</f>
        <v>12645000</v>
      </c>
      <c r="AA20" s="161">
        <f t="shared" si="1"/>
        <v>373500000</v>
      </c>
      <c r="AB20" s="80">
        <f t="shared" si="0"/>
        <v>126450000</v>
      </c>
      <c r="AD20" s="66"/>
      <c r="AE20" s="66"/>
      <c r="AF20" s="66"/>
      <c r="AG20" s="66"/>
      <c r="AH20" s="66"/>
      <c r="AI20" s="66"/>
      <c r="AJ20" s="66"/>
      <c r="AK20" s="66"/>
      <c r="AL20" s="66"/>
      <c r="AM20" s="66"/>
      <c r="AN20" s="67"/>
    </row>
    <row r="21" spans="1:40" ht="15" thickBot="1" x14ac:dyDescent="0.4">
      <c r="A21" s="247"/>
      <c r="B21" s="173" t="s">
        <v>5</v>
      </c>
      <c r="C21" s="174"/>
      <c r="D21" s="175"/>
      <c r="E21" s="176"/>
      <c r="F21" s="174"/>
      <c r="G21" s="177">
        <f t="shared" ref="G21:Z21" si="2">SUM(G5:G20)</f>
        <v>23240000</v>
      </c>
      <c r="H21" s="177">
        <f t="shared" si="2"/>
        <v>6520000</v>
      </c>
      <c r="I21" s="177">
        <f t="shared" si="2"/>
        <v>81704000</v>
      </c>
      <c r="J21" s="177">
        <f t="shared" si="2"/>
        <v>26080000</v>
      </c>
      <c r="K21" s="177">
        <f t="shared" si="2"/>
        <v>90510000</v>
      </c>
      <c r="L21" s="177">
        <f t="shared" si="2"/>
        <v>29340000</v>
      </c>
      <c r="M21" s="177">
        <f t="shared" si="2"/>
        <v>100120000</v>
      </c>
      <c r="N21" s="177">
        <f t="shared" si="2"/>
        <v>32600000</v>
      </c>
      <c r="O21" s="177">
        <f t="shared" si="2"/>
        <v>99316000</v>
      </c>
      <c r="P21" s="177">
        <f t="shared" si="2"/>
        <v>32600000</v>
      </c>
      <c r="Q21" s="177">
        <f t="shared" si="2"/>
        <v>117464000</v>
      </c>
      <c r="R21" s="177">
        <f t="shared" si="2"/>
        <v>39120000</v>
      </c>
      <c r="S21" s="177">
        <f t="shared" si="2"/>
        <v>136416000.00000003</v>
      </c>
      <c r="T21" s="177">
        <f t="shared" si="2"/>
        <v>45640000</v>
      </c>
      <c r="U21" s="177">
        <f t="shared" si="2"/>
        <v>126270000</v>
      </c>
      <c r="V21" s="177">
        <f t="shared" si="2"/>
        <v>42380000</v>
      </c>
      <c r="W21" s="177">
        <f t="shared" si="2"/>
        <v>116124000</v>
      </c>
      <c r="X21" s="177">
        <f t="shared" si="2"/>
        <v>39120000</v>
      </c>
      <c r="Y21" s="177">
        <f t="shared" si="2"/>
        <v>96636000</v>
      </c>
      <c r="Z21" s="178">
        <f t="shared" si="2"/>
        <v>32600000</v>
      </c>
      <c r="AA21" s="179">
        <f t="shared" si="1"/>
        <v>987800000</v>
      </c>
      <c r="AB21" s="180">
        <f t="shared" si="0"/>
        <v>326000000</v>
      </c>
    </row>
    <row r="22" spans="1:40" x14ac:dyDescent="0.35">
      <c r="A22" s="239" t="s">
        <v>4</v>
      </c>
      <c r="B22" s="241" t="s">
        <v>28</v>
      </c>
      <c r="C22" s="76" t="s">
        <v>2</v>
      </c>
      <c r="D22" s="76" t="s">
        <v>116</v>
      </c>
      <c r="E22" s="77" t="s">
        <v>35</v>
      </c>
      <c r="F22" s="241" t="s">
        <v>19</v>
      </c>
      <c r="G22" s="181">
        <f>'Revised top-down'!$E$5*'Detailed Budget'!AD$22*1000000*25%</f>
        <v>211250</v>
      </c>
      <c r="H22" s="181">
        <v>0</v>
      </c>
      <c r="I22" s="181">
        <f>'Revised top-down'!$E$5*'Detailed Budget'!AE$22*1000000*25%</f>
        <v>357500</v>
      </c>
      <c r="J22" s="181">
        <v>0</v>
      </c>
      <c r="K22" s="181">
        <f>'Revised top-down'!$E$5*'Detailed Budget'!AF$22*1000000*25%</f>
        <v>390000</v>
      </c>
      <c r="L22" s="181">
        <v>0</v>
      </c>
      <c r="M22" s="181">
        <f>'Revised top-down'!$E$5*'Detailed Budget'!AG$22*1000000*25%</f>
        <v>341250</v>
      </c>
      <c r="N22" s="181">
        <v>0</v>
      </c>
      <c r="O22" s="181">
        <f>'Revised top-down'!$E$5*'Detailed Budget'!AH$22*1000000*25%</f>
        <v>325000</v>
      </c>
      <c r="P22" s="181">
        <v>0</v>
      </c>
      <c r="Q22" s="181">
        <f>'Revised top-down'!$E$5*'Detailed Budget'!AI$22*1000000*25%</f>
        <v>0</v>
      </c>
      <c r="R22" s="181">
        <v>0</v>
      </c>
      <c r="S22" s="181">
        <f>'Revised top-down'!$E$5*'Detailed Budget'!AJ$22*1000000*25%</f>
        <v>0</v>
      </c>
      <c r="T22" s="181">
        <v>0</v>
      </c>
      <c r="U22" s="181">
        <f>'Revised top-down'!$E$5*'Detailed Budget'!AK$22*1000000*25%</f>
        <v>0</v>
      </c>
      <c r="V22" s="181">
        <v>0</v>
      </c>
      <c r="W22" s="181">
        <f>'Revised top-down'!$E$5*'Detailed Budget'!AL$22*1000000*25%</f>
        <v>0</v>
      </c>
      <c r="X22" s="181">
        <v>0</v>
      </c>
      <c r="Y22" s="181">
        <f>'Revised top-down'!$E$5*'Detailed Budget'!AM$22*1000000*25%</f>
        <v>0</v>
      </c>
      <c r="Z22" s="182">
        <v>0</v>
      </c>
      <c r="AA22" s="183">
        <f t="shared" si="1"/>
        <v>1625000</v>
      </c>
      <c r="AB22" s="172">
        <f t="shared" si="0"/>
        <v>0</v>
      </c>
      <c r="AD22" s="66">
        <v>0.13</v>
      </c>
      <c r="AE22" s="66">
        <v>0.22</v>
      </c>
      <c r="AF22" s="66">
        <v>0.24</v>
      </c>
      <c r="AG22" s="66">
        <v>0.21</v>
      </c>
      <c r="AH22" s="66">
        <v>0.2</v>
      </c>
      <c r="AI22" s="66">
        <v>0</v>
      </c>
      <c r="AJ22" s="66">
        <v>0</v>
      </c>
      <c r="AK22" s="66">
        <v>0</v>
      </c>
      <c r="AL22" s="66">
        <v>0</v>
      </c>
      <c r="AM22" s="66">
        <v>0</v>
      </c>
      <c r="AN22" s="67">
        <f>SUM(AD22:AM22)</f>
        <v>1</v>
      </c>
    </row>
    <row r="23" spans="1:40" x14ac:dyDescent="0.35">
      <c r="A23" s="240"/>
      <c r="B23" s="238"/>
      <c r="C23" s="148" t="s">
        <v>2</v>
      </c>
      <c r="D23" s="148" t="s">
        <v>116</v>
      </c>
      <c r="E23" s="2" t="s">
        <v>122</v>
      </c>
      <c r="F23" s="238"/>
      <c r="G23" s="57">
        <f>'Revised top-down'!$E$5*'Detailed Budget'!AD$22*1000000*75%</f>
        <v>633750</v>
      </c>
      <c r="H23" s="57">
        <v>0</v>
      </c>
      <c r="I23" s="57">
        <f>'Revised top-down'!$E$5*'Detailed Budget'!AE$22*1000000*75%</f>
        <v>1072500</v>
      </c>
      <c r="J23" s="57">
        <v>0</v>
      </c>
      <c r="K23" s="57">
        <f>'Revised top-down'!$E$5*'Detailed Budget'!AF$22*1000000*75%</f>
        <v>1170000</v>
      </c>
      <c r="L23" s="57">
        <v>0</v>
      </c>
      <c r="M23" s="57">
        <f>'Revised top-down'!$E$5*'Detailed Budget'!AG$22*1000000*75%</f>
        <v>1023750</v>
      </c>
      <c r="N23" s="57">
        <v>0</v>
      </c>
      <c r="O23" s="57">
        <f>'Revised top-down'!$E$5*'Detailed Budget'!AH$22*1000000*75%</f>
        <v>975000</v>
      </c>
      <c r="P23" s="57">
        <v>0</v>
      </c>
      <c r="Q23" s="57">
        <f>'Revised top-down'!$E$5*'Detailed Budget'!AI$22*1000000*75%</f>
        <v>0</v>
      </c>
      <c r="R23" s="57">
        <v>0</v>
      </c>
      <c r="S23" s="57">
        <f>'Revised top-down'!$E$5*'Detailed Budget'!AJ$22*1000000*75%</f>
        <v>0</v>
      </c>
      <c r="T23" s="57">
        <v>0</v>
      </c>
      <c r="U23" s="57">
        <f>'Revised top-down'!$E$5*'Detailed Budget'!AK$22*1000000*75%</f>
        <v>0</v>
      </c>
      <c r="V23" s="57">
        <v>0</v>
      </c>
      <c r="W23" s="57">
        <f>'Revised top-down'!$E$5*'Detailed Budget'!AL$22*1000000*75%</f>
        <v>0</v>
      </c>
      <c r="X23" s="57">
        <v>0</v>
      </c>
      <c r="Y23" s="57">
        <f>'Revised top-down'!$E$5*'Detailed Budget'!AM$22*1000000*75%</f>
        <v>0</v>
      </c>
      <c r="Z23" s="157">
        <v>0</v>
      </c>
      <c r="AA23" s="163">
        <f t="shared" si="1"/>
        <v>4875000</v>
      </c>
      <c r="AB23" s="164">
        <f t="shared" si="0"/>
        <v>0</v>
      </c>
      <c r="AD23" s="66"/>
      <c r="AE23" s="66"/>
      <c r="AF23" s="66"/>
      <c r="AG23" s="66"/>
      <c r="AH23" s="66"/>
      <c r="AI23" s="66"/>
      <c r="AJ23" s="66"/>
      <c r="AK23" s="66"/>
      <c r="AL23" s="66"/>
      <c r="AM23" s="66"/>
      <c r="AN23" s="67"/>
    </row>
    <row r="24" spans="1:40" x14ac:dyDescent="0.35">
      <c r="A24" s="240"/>
      <c r="B24" s="237" t="s">
        <v>29</v>
      </c>
      <c r="C24" s="148" t="s">
        <v>2</v>
      </c>
      <c r="D24" s="148" t="s">
        <v>116</v>
      </c>
      <c r="E24" s="2" t="s">
        <v>35</v>
      </c>
      <c r="F24" s="237" t="s">
        <v>19</v>
      </c>
      <c r="G24" s="57">
        <f>'Revised top-down'!$E$6*'Detailed Budget'!AD$24*1000000*25%</f>
        <v>204000</v>
      </c>
      <c r="H24" s="57">
        <v>0</v>
      </c>
      <c r="I24" s="57">
        <f>'Revised top-down'!$E$6*'Detailed Budget'!AE$24*1000000*25%</f>
        <v>374000</v>
      </c>
      <c r="J24" s="57">
        <v>0</v>
      </c>
      <c r="K24" s="57">
        <f>'Revised top-down'!$E$6*'Detailed Budget'!AF$24*1000000*25%</f>
        <v>425000</v>
      </c>
      <c r="L24" s="57">
        <v>0</v>
      </c>
      <c r="M24" s="57">
        <f>'Revised top-down'!$E$6*'Detailed Budget'!AG$24*1000000*25%</f>
        <v>374000</v>
      </c>
      <c r="N24" s="57">
        <v>0</v>
      </c>
      <c r="O24" s="57">
        <f>'Revised top-down'!$E$6*'Detailed Budget'!AH$24*1000000*25%</f>
        <v>323000</v>
      </c>
      <c r="P24" s="57">
        <v>0</v>
      </c>
      <c r="Q24" s="57">
        <f>'Revised top-down'!$E$6*'Detailed Budget'!AI$24*1000000*25%</f>
        <v>0</v>
      </c>
      <c r="R24" s="57">
        <v>0</v>
      </c>
      <c r="S24" s="57">
        <f>'Revised top-down'!$E$6*'Detailed Budget'!AJ$24*1000000*25%</f>
        <v>0</v>
      </c>
      <c r="T24" s="57">
        <v>0</v>
      </c>
      <c r="U24" s="57">
        <f>'Revised top-down'!$E$6*'Detailed Budget'!AK$24*1000000*25%</f>
        <v>0</v>
      </c>
      <c r="V24" s="57">
        <v>0</v>
      </c>
      <c r="W24" s="57">
        <f>'Revised top-down'!$E$6*'Detailed Budget'!AL$24*1000000*25%</f>
        <v>0</v>
      </c>
      <c r="X24" s="57">
        <v>0</v>
      </c>
      <c r="Y24" s="57">
        <f>'Revised top-down'!$E$6*'Detailed Budget'!AM$24*1000000*25%</f>
        <v>0</v>
      </c>
      <c r="Z24" s="157">
        <v>0</v>
      </c>
      <c r="AA24" s="163">
        <f t="shared" si="1"/>
        <v>1700000</v>
      </c>
      <c r="AB24" s="164">
        <f t="shared" si="0"/>
        <v>0</v>
      </c>
      <c r="AD24" s="66">
        <v>0.12</v>
      </c>
      <c r="AE24" s="66">
        <v>0.22</v>
      </c>
      <c r="AF24" s="66">
        <v>0.25</v>
      </c>
      <c r="AG24" s="66">
        <v>0.22</v>
      </c>
      <c r="AH24" s="66">
        <v>0.19</v>
      </c>
      <c r="AI24" s="66">
        <v>0</v>
      </c>
      <c r="AJ24" s="66">
        <v>0</v>
      </c>
      <c r="AK24" s="66">
        <v>0</v>
      </c>
      <c r="AL24" s="66">
        <v>0</v>
      </c>
      <c r="AM24" s="66">
        <v>0</v>
      </c>
      <c r="AN24" s="67">
        <f>SUM(AD24:AM24)</f>
        <v>1</v>
      </c>
    </row>
    <row r="25" spans="1:40" x14ac:dyDescent="0.35">
      <c r="A25" s="240"/>
      <c r="B25" s="242"/>
      <c r="C25" s="148" t="s">
        <v>2</v>
      </c>
      <c r="D25" s="148" t="s">
        <v>116</v>
      </c>
      <c r="E25" s="2" t="s">
        <v>122</v>
      </c>
      <c r="F25" s="238"/>
      <c r="G25" s="57">
        <f>'Revised top-down'!$E$6*'Detailed Budget'!AD$24*1000000*75%</f>
        <v>612000</v>
      </c>
      <c r="H25" s="57">
        <v>0</v>
      </c>
      <c r="I25" s="57">
        <f>'Revised top-down'!$E$6*'Detailed Budget'!AE$24*1000000*75%</f>
        <v>1122000</v>
      </c>
      <c r="J25" s="57">
        <v>0</v>
      </c>
      <c r="K25" s="57">
        <f>'Revised top-down'!$E$6*'Detailed Budget'!AF$24*1000000*75%</f>
        <v>1275000</v>
      </c>
      <c r="L25" s="57">
        <v>0</v>
      </c>
      <c r="M25" s="57">
        <f>'Revised top-down'!$E$6*'Detailed Budget'!AG$24*1000000*75%</f>
        <v>1122000</v>
      </c>
      <c r="N25" s="57">
        <v>0</v>
      </c>
      <c r="O25" s="57">
        <f>'Revised top-down'!$E$6*'Detailed Budget'!AH$24*1000000*75%</f>
        <v>969000</v>
      </c>
      <c r="P25" s="57">
        <v>0</v>
      </c>
      <c r="Q25" s="57">
        <f>'Revised top-down'!$E$6*'Detailed Budget'!AI$24*1000000*75%</f>
        <v>0</v>
      </c>
      <c r="R25" s="57">
        <v>0</v>
      </c>
      <c r="S25" s="57">
        <f>'Revised top-down'!$E$6*'Detailed Budget'!AJ$24*1000000*75%</f>
        <v>0</v>
      </c>
      <c r="T25" s="57">
        <v>0</v>
      </c>
      <c r="U25" s="57">
        <f>'Revised top-down'!$E$6*'Detailed Budget'!AK$24*1000000*75%</f>
        <v>0</v>
      </c>
      <c r="V25" s="57">
        <v>0</v>
      </c>
      <c r="W25" s="57">
        <f>'Revised top-down'!$E$6*'Detailed Budget'!AL$24*1000000*75%</f>
        <v>0</v>
      </c>
      <c r="X25" s="57">
        <v>0</v>
      </c>
      <c r="Y25" s="57">
        <f>'Revised top-down'!$E$6*'Detailed Budget'!AM$24*1000000*75%</f>
        <v>0</v>
      </c>
      <c r="Z25" s="157">
        <v>0</v>
      </c>
      <c r="AA25" s="163">
        <f t="shared" si="1"/>
        <v>5100000</v>
      </c>
      <c r="AB25" s="164">
        <f t="shared" si="0"/>
        <v>0</v>
      </c>
      <c r="AD25" s="66"/>
      <c r="AE25" s="66"/>
      <c r="AF25" s="66"/>
      <c r="AG25" s="66"/>
      <c r="AH25" s="66"/>
      <c r="AI25" s="66"/>
      <c r="AJ25" s="66"/>
      <c r="AK25" s="66"/>
      <c r="AL25" s="66"/>
      <c r="AM25" s="66"/>
      <c r="AN25" s="67"/>
    </row>
    <row r="26" spans="1:40" ht="29" x14ac:dyDescent="0.35">
      <c r="A26" s="240"/>
      <c r="B26" s="238"/>
      <c r="C26" s="148" t="s">
        <v>72</v>
      </c>
      <c r="D26" s="148" t="s">
        <v>116</v>
      </c>
      <c r="E26" s="2" t="s">
        <v>35</v>
      </c>
      <c r="F26" s="148" t="s">
        <v>20</v>
      </c>
      <c r="G26" s="57">
        <f>'Revised top-down'!$K$6*'Detailed Budget'!AD26*1000000</f>
        <v>240000</v>
      </c>
      <c r="H26" s="57">
        <v>0</v>
      </c>
      <c r="I26" s="57">
        <f>'Revised top-down'!$K$6*'Detailed Budget'!AE26*1000000</f>
        <v>380000</v>
      </c>
      <c r="J26" s="57">
        <v>0</v>
      </c>
      <c r="K26" s="57">
        <f>'Revised top-down'!$K$6*'Detailed Budget'!AF26*1000000</f>
        <v>460000</v>
      </c>
      <c r="L26" s="57">
        <v>0</v>
      </c>
      <c r="M26" s="57">
        <f>'Revised top-down'!$K$6*'Detailed Budget'!AG26*1000000</f>
        <v>460000</v>
      </c>
      <c r="N26" s="57">
        <v>0</v>
      </c>
      <c r="O26" s="57">
        <f>'Revised top-down'!$K$6*'Detailed Budget'!AH26*1000000</f>
        <v>460000</v>
      </c>
      <c r="P26" s="57">
        <v>0</v>
      </c>
      <c r="Q26" s="57">
        <f>'Revised top-down'!$K$6*'Detailed Budget'!AI26*1000000</f>
        <v>0</v>
      </c>
      <c r="R26" s="57">
        <v>0</v>
      </c>
      <c r="S26" s="57">
        <f>'Revised top-down'!$K$6*'Detailed Budget'!AJ26*1000000</f>
        <v>0</v>
      </c>
      <c r="T26" s="57">
        <v>0</v>
      </c>
      <c r="U26" s="57">
        <f>'Revised top-down'!$K$6*'Detailed Budget'!AK26*1000000</f>
        <v>0</v>
      </c>
      <c r="V26" s="57">
        <v>0</v>
      </c>
      <c r="W26" s="57">
        <f>'Revised top-down'!$K$6*'Detailed Budget'!AL26*1000000</f>
        <v>0</v>
      </c>
      <c r="X26" s="57">
        <v>0</v>
      </c>
      <c r="Y26" s="57">
        <f>'Revised top-down'!$K$6*'Detailed Budget'!AM26*1000000</f>
        <v>0</v>
      </c>
      <c r="Z26" s="157">
        <v>0</v>
      </c>
      <c r="AA26" s="163">
        <f t="shared" si="1"/>
        <v>2000000</v>
      </c>
      <c r="AB26" s="164">
        <f t="shared" si="0"/>
        <v>0</v>
      </c>
      <c r="AD26" s="66">
        <v>0.12</v>
      </c>
      <c r="AE26" s="66">
        <v>0.19</v>
      </c>
      <c r="AF26" s="66">
        <v>0.23</v>
      </c>
      <c r="AG26" s="66">
        <v>0.23</v>
      </c>
      <c r="AH26" s="66">
        <v>0.23</v>
      </c>
      <c r="AI26" s="66">
        <v>0</v>
      </c>
      <c r="AJ26" s="66">
        <v>0</v>
      </c>
      <c r="AK26" s="66">
        <v>0</v>
      </c>
      <c r="AL26" s="66">
        <v>0</v>
      </c>
      <c r="AM26" s="66">
        <v>0</v>
      </c>
      <c r="AN26" s="67">
        <f>SUM(AD26:AM26)</f>
        <v>1</v>
      </c>
    </row>
    <row r="27" spans="1:40" x14ac:dyDescent="0.35">
      <c r="A27" s="240"/>
      <c r="B27" s="237" t="s">
        <v>30</v>
      </c>
      <c r="C27" s="148" t="s">
        <v>2</v>
      </c>
      <c r="D27" s="148" t="s">
        <v>116</v>
      </c>
      <c r="E27" s="2" t="s">
        <v>35</v>
      </c>
      <c r="F27" s="237" t="s">
        <v>19</v>
      </c>
      <c r="G27" s="57">
        <f>'Revised top-down'!$E$7*'Detailed Budget'!AD$27*1000000*25%</f>
        <v>156000</v>
      </c>
      <c r="H27" s="57">
        <v>0</v>
      </c>
      <c r="I27" s="57">
        <f>'Revised top-down'!$E$7*'Detailed Budget'!AE$27*1000000*25%</f>
        <v>325000</v>
      </c>
      <c r="J27" s="57">
        <v>0</v>
      </c>
      <c r="K27" s="57">
        <f>'Revised top-down'!$E$7*'Detailed Budget'!AF$27*1000000*25%</f>
        <v>325000</v>
      </c>
      <c r="L27" s="57">
        <v>0</v>
      </c>
      <c r="M27" s="57">
        <f>'Revised top-down'!$E$7*'Detailed Budget'!AG$27*1000000*25%</f>
        <v>247000.00000000003</v>
      </c>
      <c r="N27" s="57">
        <v>0</v>
      </c>
      <c r="O27" s="57">
        <f>'Revised top-down'!$E$7*'Detailed Budget'!AH$27*1000000*25%</f>
        <v>247000.00000000003</v>
      </c>
      <c r="P27" s="57">
        <v>0</v>
      </c>
      <c r="Q27" s="57">
        <f>'Revised top-down'!$E$7*'Detailed Budget'!AI$27*1000000*25%</f>
        <v>0</v>
      </c>
      <c r="R27" s="57">
        <v>0</v>
      </c>
      <c r="S27" s="57">
        <f>'Revised top-down'!$E$7*'Detailed Budget'!AJ$27*1000000*25%</f>
        <v>0</v>
      </c>
      <c r="T27" s="57">
        <v>0</v>
      </c>
      <c r="U27" s="57">
        <f>'Revised top-down'!$E$7*'Detailed Budget'!AK$27*1000000*25%</f>
        <v>0</v>
      </c>
      <c r="V27" s="57">
        <v>0</v>
      </c>
      <c r="W27" s="57">
        <f>'Revised top-down'!$E$7*'Detailed Budget'!AL$27*1000000*25%</f>
        <v>0</v>
      </c>
      <c r="X27" s="57">
        <v>0</v>
      </c>
      <c r="Y27" s="57">
        <f>'Revised top-down'!$E$7*'Detailed Budget'!AM$27*1000000*25%</f>
        <v>0</v>
      </c>
      <c r="Z27" s="157">
        <v>0</v>
      </c>
      <c r="AA27" s="163">
        <f t="shared" si="1"/>
        <v>1300000</v>
      </c>
      <c r="AB27" s="164">
        <f t="shared" si="0"/>
        <v>0</v>
      </c>
      <c r="AD27" s="66">
        <v>0.12</v>
      </c>
      <c r="AE27" s="66">
        <v>0.25</v>
      </c>
      <c r="AF27" s="66">
        <v>0.25</v>
      </c>
      <c r="AG27" s="66">
        <v>0.19</v>
      </c>
      <c r="AH27" s="66">
        <v>0.19</v>
      </c>
      <c r="AI27" s="66">
        <v>0</v>
      </c>
      <c r="AJ27" s="66">
        <v>0</v>
      </c>
      <c r="AK27" s="66">
        <v>0</v>
      </c>
      <c r="AL27" s="66">
        <v>0</v>
      </c>
      <c r="AM27" s="66">
        <v>0</v>
      </c>
      <c r="AN27" s="67">
        <f>SUM(AD27:AM27)</f>
        <v>1</v>
      </c>
    </row>
    <row r="28" spans="1:40" x14ac:dyDescent="0.35">
      <c r="A28" s="240"/>
      <c r="B28" s="238"/>
      <c r="C28" s="148" t="s">
        <v>2</v>
      </c>
      <c r="D28" s="148" t="s">
        <v>116</v>
      </c>
      <c r="E28" s="2" t="s">
        <v>122</v>
      </c>
      <c r="F28" s="238"/>
      <c r="G28" s="57">
        <f>'Revised top-down'!$E$7*'Detailed Budget'!AD$27*1000000*75%</f>
        <v>468000</v>
      </c>
      <c r="H28" s="57">
        <v>0</v>
      </c>
      <c r="I28" s="57">
        <f>'Revised top-down'!$E$7*'Detailed Budget'!AE$27*1000000*75%</f>
        <v>975000</v>
      </c>
      <c r="J28" s="57">
        <v>0</v>
      </c>
      <c r="K28" s="57">
        <f>'Revised top-down'!$E$7*'Detailed Budget'!AF$27*1000000*75%</f>
        <v>975000</v>
      </c>
      <c r="L28" s="57">
        <v>0</v>
      </c>
      <c r="M28" s="57">
        <f>'Revised top-down'!$E$7*'Detailed Budget'!AG$27*1000000*75%</f>
        <v>741000.00000000012</v>
      </c>
      <c r="N28" s="57">
        <v>0</v>
      </c>
      <c r="O28" s="57">
        <f>'Revised top-down'!$E$7*'Detailed Budget'!AH$27*1000000*75%</f>
        <v>741000.00000000012</v>
      </c>
      <c r="P28" s="57">
        <v>0</v>
      </c>
      <c r="Q28" s="57">
        <f>'Revised top-down'!$E$7*'Detailed Budget'!AI$27*1000000*75%</f>
        <v>0</v>
      </c>
      <c r="R28" s="57">
        <v>0</v>
      </c>
      <c r="S28" s="57">
        <f>'Revised top-down'!$E$7*'Detailed Budget'!AJ$27*1000000*75%</f>
        <v>0</v>
      </c>
      <c r="T28" s="57">
        <v>0</v>
      </c>
      <c r="U28" s="57">
        <f>'Revised top-down'!$E$7*'Detailed Budget'!AK$27*1000000*75%</f>
        <v>0</v>
      </c>
      <c r="V28" s="57">
        <v>0</v>
      </c>
      <c r="W28" s="57">
        <f>'Revised top-down'!$E$7*'Detailed Budget'!AL$27*1000000*75%</f>
        <v>0</v>
      </c>
      <c r="X28" s="57">
        <v>0</v>
      </c>
      <c r="Y28" s="57">
        <f>'Revised top-down'!$E$7*'Detailed Budget'!AM$27*1000000*75%</f>
        <v>0</v>
      </c>
      <c r="Z28" s="157">
        <v>0</v>
      </c>
      <c r="AA28" s="163">
        <f t="shared" si="1"/>
        <v>3900000</v>
      </c>
      <c r="AB28" s="164">
        <f t="shared" si="0"/>
        <v>0</v>
      </c>
      <c r="AD28" s="66"/>
      <c r="AE28" s="66"/>
      <c r="AF28" s="66"/>
      <c r="AG28" s="66"/>
      <c r="AH28" s="66"/>
      <c r="AI28" s="66"/>
      <c r="AJ28" s="66"/>
      <c r="AK28" s="66"/>
      <c r="AL28" s="66"/>
      <c r="AM28" s="66"/>
      <c r="AN28" s="67"/>
    </row>
    <row r="29" spans="1:40" x14ac:dyDescent="0.35">
      <c r="A29" s="240"/>
      <c r="B29" s="237" t="s">
        <v>31</v>
      </c>
      <c r="C29" s="148" t="s">
        <v>2</v>
      </c>
      <c r="D29" s="148" t="s">
        <v>116</v>
      </c>
      <c r="E29" s="2" t="s">
        <v>35</v>
      </c>
      <c r="F29" s="148" t="s">
        <v>19</v>
      </c>
      <c r="G29" s="57">
        <f>'Revised top-down'!$E$8*'Detailed Budget'!AD29*1000000</f>
        <v>60000</v>
      </c>
      <c r="H29" s="57">
        <v>0</v>
      </c>
      <c r="I29" s="57">
        <f>'Revised top-down'!$E$8*'Detailed Budget'!AE29*1000000</f>
        <v>140000</v>
      </c>
      <c r="J29" s="57">
        <v>0</v>
      </c>
      <c r="K29" s="57">
        <f>'Revised top-down'!$E$8*'Detailed Budget'!AF29*1000000</f>
        <v>100000</v>
      </c>
      <c r="L29" s="57">
        <v>0</v>
      </c>
      <c r="M29" s="57">
        <f>'Revised top-down'!$E$8*'Detailed Budget'!AG29*1000000</f>
        <v>100000</v>
      </c>
      <c r="N29" s="57">
        <v>0</v>
      </c>
      <c r="O29" s="57">
        <f>'Revised top-down'!$E$8*'Detailed Budget'!AH29*1000000</f>
        <v>100000</v>
      </c>
      <c r="P29" s="57">
        <v>0</v>
      </c>
      <c r="Q29" s="57">
        <f>'Revised top-down'!$E$8*'Detailed Budget'!AI29*1000000</f>
        <v>0</v>
      </c>
      <c r="R29" s="57">
        <v>0</v>
      </c>
      <c r="S29" s="57">
        <f>'Revised top-down'!$E$8*'Detailed Budget'!AJ29*1000000</f>
        <v>0</v>
      </c>
      <c r="T29" s="57">
        <v>0</v>
      </c>
      <c r="U29" s="57">
        <f>'Revised top-down'!$E$8*'Detailed Budget'!AK29*1000000</f>
        <v>0</v>
      </c>
      <c r="V29" s="57">
        <v>0</v>
      </c>
      <c r="W29" s="57">
        <f>'Revised top-down'!$E$8*'Detailed Budget'!AL29*1000000</f>
        <v>0</v>
      </c>
      <c r="X29" s="57">
        <v>0</v>
      </c>
      <c r="Y29" s="57">
        <f>'Revised top-down'!$E$8*'Detailed Budget'!AM29*1000000</f>
        <v>0</v>
      </c>
      <c r="Z29" s="157">
        <v>0</v>
      </c>
      <c r="AA29" s="163">
        <f t="shared" si="1"/>
        <v>500000</v>
      </c>
      <c r="AB29" s="164">
        <f t="shared" si="0"/>
        <v>0</v>
      </c>
      <c r="AD29" s="66">
        <v>0.12</v>
      </c>
      <c r="AE29" s="66">
        <v>0.28000000000000003</v>
      </c>
      <c r="AF29" s="66">
        <v>0.2</v>
      </c>
      <c r="AG29" s="66">
        <v>0.2</v>
      </c>
      <c r="AH29" s="66">
        <v>0.2</v>
      </c>
      <c r="AI29" s="66">
        <v>0</v>
      </c>
      <c r="AJ29" s="66">
        <v>0</v>
      </c>
      <c r="AK29" s="66">
        <v>0</v>
      </c>
      <c r="AL29" s="66">
        <v>0</v>
      </c>
      <c r="AM29" s="66">
        <v>0</v>
      </c>
      <c r="AN29" s="67">
        <f>SUM(AD29:AM29)</f>
        <v>1</v>
      </c>
    </row>
    <row r="30" spans="1:40" ht="29" x14ac:dyDescent="0.35">
      <c r="A30" s="240"/>
      <c r="B30" s="238"/>
      <c r="C30" s="148" t="s">
        <v>32</v>
      </c>
      <c r="D30" s="147" t="s">
        <v>116</v>
      </c>
      <c r="E30" s="2" t="s">
        <v>35</v>
      </c>
      <c r="F30" s="148" t="s">
        <v>21</v>
      </c>
      <c r="G30" s="58">
        <f>'Revised top-down'!$K$8*'Detailed Budget'!AD30*1000000</f>
        <v>60000</v>
      </c>
      <c r="H30" s="58">
        <v>0</v>
      </c>
      <c r="I30" s="58">
        <f>'Revised top-down'!$K$8*'Detailed Budget'!AE30*1000000</f>
        <v>150000</v>
      </c>
      <c r="J30" s="58">
        <v>0</v>
      </c>
      <c r="K30" s="58">
        <f>'Revised top-down'!$K$8*'Detailed Budget'!AF30*1000000</f>
        <v>90000</v>
      </c>
      <c r="L30" s="58">
        <v>0</v>
      </c>
      <c r="M30" s="58">
        <f>'Revised top-down'!$K$8*'Detailed Budget'!AG30*1000000</f>
        <v>100000</v>
      </c>
      <c r="N30" s="58">
        <v>0</v>
      </c>
      <c r="O30" s="58">
        <f>'Revised top-down'!$K$8*'Detailed Budget'!AH30*1000000</f>
        <v>100000</v>
      </c>
      <c r="P30" s="58">
        <v>0</v>
      </c>
      <c r="Q30" s="58">
        <f>'Revised top-down'!$K$8*'Detailed Budget'!AI30*1000000</f>
        <v>0</v>
      </c>
      <c r="R30" s="58">
        <v>0</v>
      </c>
      <c r="S30" s="58">
        <f>'Revised top-down'!$K$8*'Detailed Budget'!AJ30*1000000</f>
        <v>0</v>
      </c>
      <c r="T30" s="58">
        <v>0</v>
      </c>
      <c r="U30" s="58">
        <f>'Revised top-down'!$K$8*'Detailed Budget'!AK30*1000000</f>
        <v>0</v>
      </c>
      <c r="V30" s="58">
        <v>0</v>
      </c>
      <c r="W30" s="58">
        <f>'Revised top-down'!$K$8*'Detailed Budget'!AL30*1000000</f>
        <v>0</v>
      </c>
      <c r="X30" s="58">
        <v>0</v>
      </c>
      <c r="Y30" s="58">
        <f>'Revised top-down'!$K$8*'Detailed Budget'!AM30*1000000</f>
        <v>0</v>
      </c>
      <c r="Z30" s="158">
        <v>0</v>
      </c>
      <c r="AA30" s="165">
        <f t="shared" si="1"/>
        <v>500000</v>
      </c>
      <c r="AB30" s="166">
        <f t="shared" si="0"/>
        <v>0</v>
      </c>
      <c r="AD30" s="66">
        <v>0.12</v>
      </c>
      <c r="AE30" s="66">
        <v>0.3</v>
      </c>
      <c r="AF30" s="66">
        <v>0.18</v>
      </c>
      <c r="AG30" s="66">
        <v>0.2</v>
      </c>
      <c r="AH30" s="66">
        <v>0.2</v>
      </c>
      <c r="AI30" s="66">
        <v>0</v>
      </c>
      <c r="AJ30" s="66">
        <v>0</v>
      </c>
      <c r="AK30" s="66">
        <v>0</v>
      </c>
      <c r="AL30" s="66">
        <v>0</v>
      </c>
      <c r="AM30" s="66">
        <v>0</v>
      </c>
      <c r="AN30" s="67">
        <f>SUM(AD30:AM30)</f>
        <v>1</v>
      </c>
    </row>
    <row r="31" spans="1:40" ht="15" thickBot="1" x14ac:dyDescent="0.4">
      <c r="A31" s="244"/>
      <c r="B31" s="175" t="s">
        <v>6</v>
      </c>
      <c r="C31" s="175"/>
      <c r="D31" s="175"/>
      <c r="E31" s="184"/>
      <c r="F31" s="175"/>
      <c r="G31" s="185">
        <f>SUM(G22:G30)</f>
        <v>2645000</v>
      </c>
      <c r="H31" s="185"/>
      <c r="I31" s="185">
        <f t="shared" ref="I31:U31" si="3">SUM(I22:I30)</f>
        <v>4896000</v>
      </c>
      <c r="J31" s="185"/>
      <c r="K31" s="185">
        <f t="shared" si="3"/>
        <v>5210000</v>
      </c>
      <c r="L31" s="185"/>
      <c r="M31" s="185">
        <f t="shared" si="3"/>
        <v>4509000</v>
      </c>
      <c r="N31" s="185"/>
      <c r="O31" s="185">
        <f t="shared" si="3"/>
        <v>4240000</v>
      </c>
      <c r="P31" s="185"/>
      <c r="Q31" s="185">
        <f t="shared" si="3"/>
        <v>0</v>
      </c>
      <c r="R31" s="185"/>
      <c r="S31" s="185">
        <f t="shared" si="3"/>
        <v>0</v>
      </c>
      <c r="T31" s="185"/>
      <c r="U31" s="185">
        <f t="shared" si="3"/>
        <v>0</v>
      </c>
      <c r="V31" s="185"/>
      <c r="W31" s="185">
        <f t="shared" ref="W31:Y31" si="4">SUM(W22:W30)</f>
        <v>0</v>
      </c>
      <c r="X31" s="185"/>
      <c r="Y31" s="185">
        <f t="shared" si="4"/>
        <v>0</v>
      </c>
      <c r="Z31" s="186"/>
      <c r="AA31" s="187">
        <f t="shared" si="1"/>
        <v>21500000</v>
      </c>
      <c r="AB31" s="188">
        <f t="shared" si="0"/>
        <v>0</v>
      </c>
      <c r="AC31" s="75"/>
    </row>
    <row r="32" spans="1:40" x14ac:dyDescent="0.35">
      <c r="A32" s="239" t="s">
        <v>13</v>
      </c>
      <c r="B32" s="76" t="s">
        <v>247</v>
      </c>
      <c r="C32" s="76" t="s">
        <v>2</v>
      </c>
      <c r="D32" s="76" t="s">
        <v>116</v>
      </c>
      <c r="E32" s="77" t="s">
        <v>11</v>
      </c>
      <c r="F32" s="76" t="s">
        <v>22</v>
      </c>
      <c r="G32" s="78">
        <f>SUM(PMC!I4:I4)*68.75%</f>
        <v>224551.25</v>
      </c>
      <c r="H32" s="181">
        <v>0</v>
      </c>
      <c r="I32" s="78">
        <f>SUM(PMC!J4:J4)*68.75%</f>
        <v>224551.25</v>
      </c>
      <c r="J32" s="181">
        <v>0</v>
      </c>
      <c r="K32" s="78">
        <f>SUM(PMC!K4:K4)*68.75%</f>
        <v>224551.25</v>
      </c>
      <c r="L32" s="181">
        <v>0</v>
      </c>
      <c r="M32" s="78">
        <f>SUM(PMC!L4:L4)*68.75%</f>
        <v>224551.25</v>
      </c>
      <c r="N32" s="181">
        <v>0</v>
      </c>
      <c r="O32" s="78">
        <f>SUM(PMC!M4:M4)*68.75%</f>
        <v>224551.25</v>
      </c>
      <c r="P32" s="181">
        <v>0</v>
      </c>
      <c r="Q32" s="78">
        <f>SUM(PMC!N4:N4)*68.75%</f>
        <v>96236.25</v>
      </c>
      <c r="R32" s="181">
        <v>0</v>
      </c>
      <c r="S32" s="78">
        <f>SUM(PMC!O4:O4)*68.75%</f>
        <v>96236.25</v>
      </c>
      <c r="T32" s="181">
        <v>0</v>
      </c>
      <c r="U32" s="78">
        <f>SUM(PMC!P4:P4)*68.75%</f>
        <v>96236.25</v>
      </c>
      <c r="V32" s="181">
        <v>0</v>
      </c>
      <c r="W32" s="78">
        <f>SUM(PMC!Q4:Q4)*68.75%</f>
        <v>96236.25</v>
      </c>
      <c r="X32" s="181">
        <v>0</v>
      </c>
      <c r="Y32" s="78">
        <f>SUM(PMC!R4:R4)*68.75%</f>
        <v>96236.25</v>
      </c>
      <c r="Z32" s="182">
        <v>0</v>
      </c>
      <c r="AA32" s="162">
        <f t="shared" si="1"/>
        <v>1603937.5</v>
      </c>
      <c r="AB32" s="192">
        <f t="shared" si="0"/>
        <v>0</v>
      </c>
      <c r="AD32" s="66"/>
      <c r="AE32" s="66"/>
      <c r="AF32" s="66"/>
      <c r="AG32" s="66"/>
      <c r="AH32" s="66"/>
      <c r="AI32" s="66"/>
      <c r="AJ32" s="66"/>
      <c r="AK32" s="66"/>
      <c r="AL32" s="66"/>
      <c r="AM32" s="66"/>
      <c r="AN32" s="67"/>
    </row>
    <row r="33" spans="1:40" x14ac:dyDescent="0.35">
      <c r="A33" s="240"/>
      <c r="B33" s="148" t="s">
        <v>247</v>
      </c>
      <c r="C33" s="148" t="s">
        <v>2</v>
      </c>
      <c r="D33" s="148" t="s">
        <v>116</v>
      </c>
      <c r="E33" s="2" t="s">
        <v>11</v>
      </c>
      <c r="F33" s="148" t="s">
        <v>23</v>
      </c>
      <c r="G33" s="5">
        <f>SUM(PMC!I5:I11)*68.75%</f>
        <v>58437.5</v>
      </c>
      <c r="H33" s="57">
        <v>0</v>
      </c>
      <c r="I33" s="5">
        <f>SUM(PMC!J5:J11)*68.75%</f>
        <v>37812.5</v>
      </c>
      <c r="J33" s="57">
        <v>0</v>
      </c>
      <c r="K33" s="5">
        <f>SUM(PMC!K5:K11)*68.75%</f>
        <v>37812.5</v>
      </c>
      <c r="L33" s="57">
        <v>0</v>
      </c>
      <c r="M33" s="5">
        <f>SUM(PMC!L5:L11)*68.75%</f>
        <v>37812.5</v>
      </c>
      <c r="N33" s="57">
        <v>0</v>
      </c>
      <c r="O33" s="5">
        <f>SUM(PMC!M5:M11)*68.75%</f>
        <v>37812.5</v>
      </c>
      <c r="P33" s="57">
        <v>0</v>
      </c>
      <c r="Q33" s="5">
        <f>SUM(PMC!N5:N11)*68.75%</f>
        <v>72187.5</v>
      </c>
      <c r="R33" s="57">
        <v>0</v>
      </c>
      <c r="S33" s="5">
        <f>SUM(PMC!O5:O11)*68.75%</f>
        <v>37812.5</v>
      </c>
      <c r="T33" s="57">
        <v>0</v>
      </c>
      <c r="U33" s="5">
        <f>SUM(PMC!P5:P11)*68.75%</f>
        <v>37812.5</v>
      </c>
      <c r="V33" s="57">
        <v>0</v>
      </c>
      <c r="W33" s="5">
        <f>SUM(PMC!Q5:Q11)*68.75%</f>
        <v>37812.5</v>
      </c>
      <c r="X33" s="57">
        <v>0</v>
      </c>
      <c r="Y33" s="5">
        <f>SUM(PMC!R5:R11)*68.75%</f>
        <v>82500</v>
      </c>
      <c r="Z33" s="157">
        <v>0</v>
      </c>
      <c r="AA33" s="161">
        <f t="shared" si="1"/>
        <v>477812.5</v>
      </c>
      <c r="AB33" s="166">
        <f t="shared" si="0"/>
        <v>0</v>
      </c>
      <c r="AD33" s="66"/>
      <c r="AE33" s="66"/>
      <c r="AF33" s="66"/>
      <c r="AG33" s="66"/>
      <c r="AH33" s="66"/>
      <c r="AI33" s="66"/>
      <c r="AJ33" s="66"/>
      <c r="AK33" s="66"/>
      <c r="AL33" s="66"/>
      <c r="AM33" s="66"/>
      <c r="AN33" s="67"/>
    </row>
    <row r="34" spans="1:40" x14ac:dyDescent="0.35">
      <c r="A34" s="240"/>
      <c r="B34" s="148" t="s">
        <v>248</v>
      </c>
      <c r="C34" s="148" t="s">
        <v>2</v>
      </c>
      <c r="D34" s="148" t="s">
        <v>116</v>
      </c>
      <c r="E34" s="2" t="s">
        <v>68</v>
      </c>
      <c r="F34" s="148" t="s">
        <v>145</v>
      </c>
      <c r="G34" s="5">
        <f>PMC!I12*68.75%</f>
        <v>0</v>
      </c>
      <c r="H34" s="57">
        <v>0</v>
      </c>
      <c r="I34" s="5">
        <f>PMC!J12*68.75%</f>
        <v>0</v>
      </c>
      <c r="J34" s="57">
        <v>0</v>
      </c>
      <c r="K34" s="5">
        <f>PMC!K12*68.75%</f>
        <v>0</v>
      </c>
      <c r="L34" s="57">
        <v>0</v>
      </c>
      <c r="M34" s="5">
        <f>PMC!L12*68.75%</f>
        <v>0</v>
      </c>
      <c r="N34" s="57">
        <v>0</v>
      </c>
      <c r="O34" s="5">
        <f>PMC!M12*68.75%</f>
        <v>0</v>
      </c>
      <c r="P34" s="57">
        <v>0</v>
      </c>
      <c r="Q34" s="5">
        <f>PMC!N12*68.75%</f>
        <v>0</v>
      </c>
      <c r="R34" s="57">
        <v>0</v>
      </c>
      <c r="S34" s="5">
        <f>PMC!O12*68.75%</f>
        <v>0</v>
      </c>
      <c r="T34" s="57">
        <v>0</v>
      </c>
      <c r="U34" s="5">
        <f>PMC!P12*68.75%</f>
        <v>0</v>
      </c>
      <c r="V34" s="57">
        <v>0</v>
      </c>
      <c r="W34" s="5">
        <f>PMC!Q12*68.75%</f>
        <v>0</v>
      </c>
      <c r="X34" s="57">
        <v>0</v>
      </c>
      <c r="Y34" s="5">
        <f>PMC!R12*68.75%</f>
        <v>77687.5</v>
      </c>
      <c r="Z34" s="157">
        <v>0</v>
      </c>
      <c r="AA34" s="161">
        <f t="shared" si="1"/>
        <v>77687.5</v>
      </c>
      <c r="AB34" s="166">
        <f t="shared" si="0"/>
        <v>0</v>
      </c>
      <c r="AD34" s="66"/>
      <c r="AE34" s="66"/>
      <c r="AF34" s="66"/>
      <c r="AG34" s="66"/>
      <c r="AH34" s="66"/>
      <c r="AI34" s="66"/>
      <c r="AJ34" s="66"/>
      <c r="AK34" s="66"/>
      <c r="AL34" s="66"/>
      <c r="AM34" s="66"/>
      <c r="AN34" s="67"/>
    </row>
    <row r="35" spans="1:40" x14ac:dyDescent="0.35">
      <c r="A35" s="240"/>
      <c r="B35" s="148" t="s">
        <v>58</v>
      </c>
      <c r="C35" s="148" t="s">
        <v>2</v>
      </c>
      <c r="D35" s="148" t="s">
        <v>116</v>
      </c>
      <c r="E35" s="2" t="s">
        <v>68</v>
      </c>
      <c r="F35" s="148" t="s">
        <v>145</v>
      </c>
      <c r="G35" s="5">
        <f>PMC!I13*68.75%</f>
        <v>10312.5</v>
      </c>
      <c r="H35" s="57">
        <v>0</v>
      </c>
      <c r="I35" s="5">
        <f>PMC!J13*68.75%</f>
        <v>5500</v>
      </c>
      <c r="J35" s="57">
        <v>0</v>
      </c>
      <c r="K35" s="5">
        <f>PMC!K13*68.75%</f>
        <v>4125</v>
      </c>
      <c r="L35" s="57">
        <v>0</v>
      </c>
      <c r="M35" s="5">
        <f>PMC!L13*68.75%</f>
        <v>4125</v>
      </c>
      <c r="N35" s="57">
        <v>0</v>
      </c>
      <c r="O35" s="5">
        <f>PMC!M13*68.75%</f>
        <v>3437.5</v>
      </c>
      <c r="P35" s="57">
        <v>0</v>
      </c>
      <c r="Q35" s="5">
        <f>PMC!N13*68.75%</f>
        <v>3437.5</v>
      </c>
      <c r="R35" s="57">
        <v>0</v>
      </c>
      <c r="S35" s="5">
        <f>PMC!O13*68.75%</f>
        <v>3437.5</v>
      </c>
      <c r="T35" s="57">
        <v>0</v>
      </c>
      <c r="U35" s="5">
        <f>PMC!P13*68.75%</f>
        <v>2750</v>
      </c>
      <c r="V35" s="57">
        <v>0</v>
      </c>
      <c r="W35" s="5">
        <f>PMC!Q13*68.75%</f>
        <v>2062.5</v>
      </c>
      <c r="X35" s="57">
        <v>0</v>
      </c>
      <c r="Y35" s="5">
        <f>PMC!R13*68.75%</f>
        <v>1375</v>
      </c>
      <c r="Z35" s="157">
        <v>0</v>
      </c>
      <c r="AA35" s="161">
        <f t="shared" si="1"/>
        <v>40562.5</v>
      </c>
      <c r="AB35" s="166">
        <f t="shared" si="0"/>
        <v>0</v>
      </c>
      <c r="AD35" s="66"/>
      <c r="AE35" s="66"/>
      <c r="AF35" s="66"/>
      <c r="AG35" s="66"/>
      <c r="AH35" s="66"/>
      <c r="AI35" s="66"/>
      <c r="AJ35" s="66"/>
      <c r="AK35" s="66"/>
      <c r="AL35" s="66"/>
      <c r="AM35" s="66"/>
      <c r="AN35" s="67"/>
    </row>
    <row r="36" spans="1:40" x14ac:dyDescent="0.35">
      <c r="A36" s="240"/>
      <c r="B36" s="148" t="s">
        <v>247</v>
      </c>
      <c r="C36" s="148" t="s">
        <v>34</v>
      </c>
      <c r="D36" s="148" t="s">
        <v>116</v>
      </c>
      <c r="E36" s="2" t="s">
        <v>11</v>
      </c>
      <c r="F36" s="148" t="s">
        <v>22</v>
      </c>
      <c r="G36" s="5">
        <f>SUM(PMC!I4:I4)*31.25%</f>
        <v>102068.75</v>
      </c>
      <c r="H36" s="57">
        <v>0</v>
      </c>
      <c r="I36" s="5">
        <f>SUM(PMC!J4:J4)*31.25%</f>
        <v>102068.75</v>
      </c>
      <c r="J36" s="57">
        <v>0</v>
      </c>
      <c r="K36" s="5">
        <f>SUM(PMC!K4:K4)*31.25%</f>
        <v>102068.75</v>
      </c>
      <c r="L36" s="57">
        <v>0</v>
      </c>
      <c r="M36" s="5">
        <f>SUM(PMC!L4:L4)*31.25%</f>
        <v>102068.75</v>
      </c>
      <c r="N36" s="57">
        <v>0</v>
      </c>
      <c r="O36" s="5">
        <f>SUM(PMC!M4:M4)*31.25%</f>
        <v>102068.75</v>
      </c>
      <c r="P36" s="57">
        <v>0</v>
      </c>
      <c r="Q36" s="5">
        <f>SUM(PMC!N4:N4)*31.25%</f>
        <v>43743.75</v>
      </c>
      <c r="R36" s="57">
        <v>0</v>
      </c>
      <c r="S36" s="5">
        <f>SUM(PMC!O4:O4)*31.25%</f>
        <v>43743.75</v>
      </c>
      <c r="T36" s="57">
        <v>0</v>
      </c>
      <c r="U36" s="5">
        <f>SUM(PMC!P4:P4)*31.25%</f>
        <v>43743.75</v>
      </c>
      <c r="V36" s="57">
        <v>0</v>
      </c>
      <c r="W36" s="5">
        <f>SUM(PMC!Q4:Q4)*31.25%</f>
        <v>43743.75</v>
      </c>
      <c r="X36" s="57">
        <v>0</v>
      </c>
      <c r="Y36" s="5">
        <f>SUM(PMC!R4:R4)*31.25%</f>
        <v>43743.75</v>
      </c>
      <c r="Z36" s="157">
        <v>0</v>
      </c>
      <c r="AA36" s="161">
        <f t="shared" si="1"/>
        <v>729062.5</v>
      </c>
      <c r="AB36" s="166">
        <f t="shared" si="0"/>
        <v>0</v>
      </c>
      <c r="AD36" s="66"/>
      <c r="AE36" s="66"/>
      <c r="AF36" s="66"/>
      <c r="AG36" s="66"/>
      <c r="AH36" s="66"/>
      <c r="AI36" s="66"/>
      <c r="AJ36" s="66"/>
      <c r="AK36" s="66"/>
      <c r="AL36" s="66"/>
      <c r="AM36" s="66"/>
      <c r="AN36" s="67"/>
    </row>
    <row r="37" spans="1:40" x14ac:dyDescent="0.35">
      <c r="A37" s="240"/>
      <c r="B37" s="148" t="s">
        <v>247</v>
      </c>
      <c r="C37" s="148" t="s">
        <v>34</v>
      </c>
      <c r="D37" s="148" t="s">
        <v>116</v>
      </c>
      <c r="E37" s="2" t="s">
        <v>11</v>
      </c>
      <c r="F37" s="148" t="s">
        <v>23</v>
      </c>
      <c r="G37" s="5">
        <f>SUM(PMC!I5:I11)*31.25%</f>
        <v>26562.5</v>
      </c>
      <c r="H37" s="57">
        <v>0</v>
      </c>
      <c r="I37" s="5">
        <f>SUM(PMC!J5:J11)*31.25%</f>
        <v>17187.5</v>
      </c>
      <c r="J37" s="57">
        <v>0</v>
      </c>
      <c r="K37" s="5">
        <f>SUM(PMC!K5:K11)*31.25%</f>
        <v>17187.5</v>
      </c>
      <c r="L37" s="57">
        <v>0</v>
      </c>
      <c r="M37" s="5">
        <f>SUM(PMC!L5:L11)*31.25%</f>
        <v>17187.5</v>
      </c>
      <c r="N37" s="57">
        <v>0</v>
      </c>
      <c r="O37" s="5">
        <f>SUM(PMC!M5:M11)*31.25%</f>
        <v>17187.5</v>
      </c>
      <c r="P37" s="57">
        <v>0</v>
      </c>
      <c r="Q37" s="5">
        <f>SUM(PMC!N5:N11)*31.25%</f>
        <v>32812.5</v>
      </c>
      <c r="R37" s="57">
        <v>0</v>
      </c>
      <c r="S37" s="5">
        <f>SUM(PMC!O5:O11)*31.25%</f>
        <v>17187.5</v>
      </c>
      <c r="T37" s="57">
        <v>0</v>
      </c>
      <c r="U37" s="5">
        <f>SUM(PMC!P5:P11)*31.25%</f>
        <v>17187.5</v>
      </c>
      <c r="V37" s="57">
        <v>0</v>
      </c>
      <c r="W37" s="5">
        <f>SUM(PMC!Q5:Q11)*31.25%</f>
        <v>17187.5</v>
      </c>
      <c r="X37" s="57">
        <v>0</v>
      </c>
      <c r="Y37" s="5">
        <f>SUM(PMC!R5:R11)*31.25%</f>
        <v>37500</v>
      </c>
      <c r="Z37" s="157">
        <v>0</v>
      </c>
      <c r="AA37" s="161">
        <f t="shared" si="1"/>
        <v>217187.5</v>
      </c>
      <c r="AB37" s="166">
        <f t="shared" si="0"/>
        <v>0</v>
      </c>
      <c r="AD37" s="66"/>
      <c r="AE37" s="66"/>
      <c r="AF37" s="66"/>
      <c r="AG37" s="66"/>
      <c r="AH37" s="66"/>
      <c r="AI37" s="66"/>
      <c r="AJ37" s="66"/>
      <c r="AK37" s="66"/>
      <c r="AL37" s="66"/>
      <c r="AM37" s="66"/>
      <c r="AN37" s="67"/>
    </row>
    <row r="38" spans="1:40" x14ac:dyDescent="0.35">
      <c r="A38" s="240"/>
      <c r="B38" s="148" t="s">
        <v>248</v>
      </c>
      <c r="C38" s="148" t="s">
        <v>34</v>
      </c>
      <c r="D38" s="148" t="s">
        <v>116</v>
      </c>
      <c r="E38" s="2" t="s">
        <v>68</v>
      </c>
      <c r="F38" s="148" t="s">
        <v>145</v>
      </c>
      <c r="G38" s="5">
        <f>PMC!I12*31.25%</f>
        <v>0</v>
      </c>
      <c r="H38" s="57">
        <v>0</v>
      </c>
      <c r="I38" s="5">
        <f>PMC!J12*31.25%</f>
        <v>0</v>
      </c>
      <c r="J38" s="57">
        <v>0</v>
      </c>
      <c r="K38" s="5">
        <f>PMC!K12*31.25%</f>
        <v>0</v>
      </c>
      <c r="L38" s="57">
        <v>0</v>
      </c>
      <c r="M38" s="5">
        <f>PMC!L12*31.25%</f>
        <v>0</v>
      </c>
      <c r="N38" s="57">
        <v>0</v>
      </c>
      <c r="O38" s="5">
        <f>PMC!M12*31.25%</f>
        <v>0</v>
      </c>
      <c r="P38" s="57">
        <v>0</v>
      </c>
      <c r="Q38" s="5">
        <f>PMC!N12*31.25%</f>
        <v>0</v>
      </c>
      <c r="R38" s="57">
        <v>0</v>
      </c>
      <c r="S38" s="5">
        <f>PMC!O12*31.25%</f>
        <v>0</v>
      </c>
      <c r="T38" s="57">
        <v>0</v>
      </c>
      <c r="U38" s="5">
        <f>PMC!P12*31.25%</f>
        <v>0</v>
      </c>
      <c r="V38" s="57">
        <v>0</v>
      </c>
      <c r="W38" s="5">
        <f>PMC!Q12*31.25%</f>
        <v>0</v>
      </c>
      <c r="X38" s="57">
        <v>0</v>
      </c>
      <c r="Y38" s="5">
        <f>PMC!R12*31.25%</f>
        <v>35312.5</v>
      </c>
      <c r="Z38" s="157">
        <v>0</v>
      </c>
      <c r="AA38" s="161">
        <f t="shared" si="1"/>
        <v>35312.5</v>
      </c>
      <c r="AB38" s="166">
        <f t="shared" si="0"/>
        <v>0</v>
      </c>
      <c r="AD38" s="66"/>
      <c r="AE38" s="66"/>
      <c r="AF38" s="66"/>
      <c r="AG38" s="66"/>
      <c r="AH38" s="66"/>
      <c r="AI38" s="66"/>
      <c r="AJ38" s="66"/>
      <c r="AK38" s="66"/>
      <c r="AL38" s="66"/>
      <c r="AM38" s="66"/>
      <c r="AN38" s="67"/>
    </row>
    <row r="39" spans="1:40" x14ac:dyDescent="0.35">
      <c r="A39" s="240"/>
      <c r="B39" s="148" t="s">
        <v>58</v>
      </c>
      <c r="C39" s="148" t="s">
        <v>34</v>
      </c>
      <c r="D39" s="147" t="s">
        <v>116</v>
      </c>
      <c r="E39" s="2" t="s">
        <v>68</v>
      </c>
      <c r="F39" s="148" t="s">
        <v>145</v>
      </c>
      <c r="G39" s="5">
        <f>PMC!I13*31.25%</f>
        <v>4687.5</v>
      </c>
      <c r="H39" s="57">
        <v>0</v>
      </c>
      <c r="I39" s="5">
        <f>PMC!J13*31.25%</f>
        <v>2500</v>
      </c>
      <c r="J39" s="57">
        <v>0</v>
      </c>
      <c r="K39" s="5">
        <f>PMC!K13*31.25%</f>
        <v>1875</v>
      </c>
      <c r="L39" s="57">
        <v>0</v>
      </c>
      <c r="M39" s="5">
        <f>PMC!L13*31.25%</f>
        <v>1875</v>
      </c>
      <c r="N39" s="57">
        <v>0</v>
      </c>
      <c r="O39" s="5">
        <f>PMC!M13*31.25%</f>
        <v>1562.5</v>
      </c>
      <c r="P39" s="57">
        <v>0</v>
      </c>
      <c r="Q39" s="5">
        <f>PMC!N13*31.25%</f>
        <v>1562.5</v>
      </c>
      <c r="R39" s="57">
        <v>0</v>
      </c>
      <c r="S39" s="5">
        <f>PMC!O13*31.25%</f>
        <v>1562.5</v>
      </c>
      <c r="T39" s="57">
        <v>0</v>
      </c>
      <c r="U39" s="5">
        <f>PMC!P13*31.25%</f>
        <v>1250</v>
      </c>
      <c r="V39" s="57">
        <v>0</v>
      </c>
      <c r="W39" s="5">
        <f>PMC!Q13*31.25%</f>
        <v>937.5</v>
      </c>
      <c r="X39" s="57">
        <v>0</v>
      </c>
      <c r="Y39" s="5">
        <f>PMC!R13*31.25%</f>
        <v>625</v>
      </c>
      <c r="Z39" s="157">
        <v>0</v>
      </c>
      <c r="AA39" s="161">
        <f t="shared" si="1"/>
        <v>18437.5</v>
      </c>
      <c r="AB39" s="166">
        <f t="shared" si="0"/>
        <v>0</v>
      </c>
      <c r="AD39" s="66"/>
      <c r="AE39" s="66"/>
      <c r="AF39" s="66"/>
      <c r="AG39" s="66"/>
      <c r="AH39" s="66"/>
      <c r="AI39" s="66"/>
      <c r="AJ39" s="66"/>
      <c r="AK39" s="66"/>
      <c r="AL39" s="66"/>
      <c r="AM39" s="66"/>
      <c r="AN39" s="67"/>
    </row>
    <row r="40" spans="1:40" ht="15" thickBot="1" x14ac:dyDescent="0.4">
      <c r="A40" s="244"/>
      <c r="B40" s="175" t="s">
        <v>14</v>
      </c>
      <c r="C40" s="184"/>
      <c r="D40" s="184"/>
      <c r="E40" s="184"/>
      <c r="F40" s="184"/>
      <c r="G40" s="193">
        <f>SUM(G32:G39)</f>
        <v>426620</v>
      </c>
      <c r="H40" s="193"/>
      <c r="I40" s="193">
        <f t="shared" ref="I40:U40" si="5">SUM(I32:I39)</f>
        <v>389620</v>
      </c>
      <c r="J40" s="193"/>
      <c r="K40" s="193">
        <f t="shared" si="5"/>
        <v>387620</v>
      </c>
      <c r="L40" s="193"/>
      <c r="M40" s="193">
        <f t="shared" si="5"/>
        <v>387620</v>
      </c>
      <c r="N40" s="193"/>
      <c r="O40" s="193">
        <f t="shared" si="5"/>
        <v>386620</v>
      </c>
      <c r="P40" s="193"/>
      <c r="Q40" s="193">
        <f t="shared" si="5"/>
        <v>249980</v>
      </c>
      <c r="R40" s="193"/>
      <c r="S40" s="193">
        <f t="shared" si="5"/>
        <v>199980</v>
      </c>
      <c r="T40" s="193"/>
      <c r="U40" s="193">
        <f t="shared" si="5"/>
        <v>198980</v>
      </c>
      <c r="V40" s="193"/>
      <c r="W40" s="193">
        <f t="shared" ref="W40:Y40" si="6">SUM(W32:W39)</f>
        <v>197980</v>
      </c>
      <c r="X40" s="193"/>
      <c r="Y40" s="193">
        <f t="shared" si="6"/>
        <v>374980</v>
      </c>
      <c r="Z40" s="194"/>
      <c r="AA40" s="195">
        <f t="shared" si="1"/>
        <v>3200000</v>
      </c>
      <c r="AB40" s="196">
        <f t="shared" si="0"/>
        <v>0</v>
      </c>
      <c r="AD40" s="66"/>
      <c r="AE40" s="66"/>
      <c r="AF40" s="66"/>
      <c r="AG40" s="66"/>
      <c r="AH40" s="66"/>
      <c r="AI40" s="66"/>
      <c r="AJ40" s="66"/>
      <c r="AK40" s="66"/>
      <c r="AL40" s="66"/>
      <c r="AM40" s="66"/>
      <c r="AN40" s="67"/>
    </row>
    <row r="41" spans="1:40" x14ac:dyDescent="0.35">
      <c r="A41" s="146"/>
      <c r="B41" s="81"/>
      <c r="C41" s="82"/>
      <c r="D41" s="82"/>
      <c r="E41" s="82"/>
      <c r="F41" s="82"/>
      <c r="G41" s="82"/>
      <c r="H41" s="82"/>
      <c r="I41" s="82"/>
      <c r="J41" s="82"/>
      <c r="K41" s="82"/>
      <c r="L41" s="82"/>
      <c r="M41" s="82"/>
      <c r="N41" s="82"/>
      <c r="O41" s="82"/>
      <c r="P41" s="82"/>
      <c r="Q41" s="82"/>
      <c r="R41" s="82"/>
      <c r="S41" s="82"/>
      <c r="T41" s="82"/>
      <c r="U41" s="82"/>
      <c r="V41" s="82"/>
      <c r="W41" s="82"/>
      <c r="X41" s="82"/>
      <c r="Y41" s="82"/>
      <c r="Z41" s="189"/>
      <c r="AA41" s="190"/>
      <c r="AB41" s="191"/>
    </row>
    <row r="42" spans="1:40" x14ac:dyDescent="0.35">
      <c r="A42" s="86" t="s">
        <v>10</v>
      </c>
      <c r="B42" s="1"/>
      <c r="C42" s="1"/>
      <c r="D42" s="1"/>
      <c r="E42" s="1"/>
      <c r="F42" s="1"/>
      <c r="G42" s="6">
        <f>G40+G31+G21</f>
        <v>26311620</v>
      </c>
      <c r="H42" s="59">
        <f>H40+H31+H21</f>
        <v>6520000</v>
      </c>
      <c r="I42" s="6">
        <f t="shared" ref="I42:Y42" si="7">I40+I31+I21</f>
        <v>86989620</v>
      </c>
      <c r="J42" s="59">
        <f>J40+J31+J21</f>
        <v>26080000</v>
      </c>
      <c r="K42" s="6">
        <f t="shared" si="7"/>
        <v>96107620</v>
      </c>
      <c r="L42" s="59">
        <f>L40+L31+L21</f>
        <v>29340000</v>
      </c>
      <c r="M42" s="6">
        <f t="shared" si="7"/>
        <v>105016620</v>
      </c>
      <c r="N42" s="59">
        <f>N40+N31+N21</f>
        <v>32600000</v>
      </c>
      <c r="O42" s="6">
        <f t="shared" si="7"/>
        <v>103942620</v>
      </c>
      <c r="P42" s="59">
        <f>P40+P31+P21</f>
        <v>32600000</v>
      </c>
      <c r="Q42" s="6">
        <f t="shared" si="7"/>
        <v>117713980</v>
      </c>
      <c r="R42" s="59">
        <f>R40+R31+R21</f>
        <v>39120000</v>
      </c>
      <c r="S42" s="6">
        <f t="shared" si="7"/>
        <v>136615980.00000003</v>
      </c>
      <c r="T42" s="59">
        <f>T40+T31+T21</f>
        <v>45640000</v>
      </c>
      <c r="U42" s="6">
        <f t="shared" si="7"/>
        <v>126468980</v>
      </c>
      <c r="V42" s="59">
        <f>V40+V31+V21</f>
        <v>42380000</v>
      </c>
      <c r="W42" s="6">
        <f t="shared" si="7"/>
        <v>116321980</v>
      </c>
      <c r="X42" s="59">
        <f>X40+X31+X21</f>
        <v>39120000</v>
      </c>
      <c r="Y42" s="6">
        <f t="shared" si="7"/>
        <v>97010980</v>
      </c>
      <c r="Z42" s="159">
        <f>Z40+Z31+Z21</f>
        <v>32600000</v>
      </c>
      <c r="AA42" s="167">
        <f>AA40+AA31+AA21</f>
        <v>1012500000</v>
      </c>
      <c r="AB42" s="87">
        <f>AB40+AB31+AB21</f>
        <v>326000000</v>
      </c>
    </row>
    <row r="43" spans="1:40" x14ac:dyDescent="0.35">
      <c r="A43" s="86" t="s">
        <v>12</v>
      </c>
      <c r="B43" s="1"/>
      <c r="C43" s="1"/>
      <c r="D43" s="1"/>
      <c r="E43" s="1"/>
      <c r="F43" s="1"/>
      <c r="G43" s="6">
        <f t="shared" ref="G43:AA43" si="8">SUM(G5:G7)+SUM(G11:G15)+SUM(G22:G25)+SUM(G27:G29)+SUM(G32:G35)</f>
        <v>8678301.25</v>
      </c>
      <c r="H43" s="59">
        <f t="shared" ref="H43:J43" si="9">SUM(H5:H7)+SUM(H11:H15)+SUM(H22:H25)+SUM(H27:H29)+SUM(H32:H35)</f>
        <v>900000</v>
      </c>
      <c r="I43" s="6">
        <f t="shared" si="8"/>
        <v>19217863.75</v>
      </c>
      <c r="J43" s="59">
        <f t="shared" si="9"/>
        <v>3600000</v>
      </c>
      <c r="K43" s="6">
        <f t="shared" si="8"/>
        <v>20136488.75</v>
      </c>
      <c r="L43" s="59">
        <f t="shared" si="8"/>
        <v>4050000</v>
      </c>
      <c r="M43" s="6">
        <f t="shared" si="8"/>
        <v>20735488.75</v>
      </c>
      <c r="N43" s="59">
        <f t="shared" si="8"/>
        <v>4500000</v>
      </c>
      <c r="O43" s="6">
        <f t="shared" si="8"/>
        <v>19781801.25</v>
      </c>
      <c r="P43" s="59">
        <f t="shared" si="8"/>
        <v>4500000</v>
      </c>
      <c r="Q43" s="6">
        <f t="shared" si="8"/>
        <v>17715861.249999996</v>
      </c>
      <c r="R43" s="59">
        <f t="shared" si="8"/>
        <v>5399999.9999999991</v>
      </c>
      <c r="S43" s="6">
        <f t="shared" si="8"/>
        <v>20073486.250000004</v>
      </c>
      <c r="T43" s="59">
        <f t="shared" si="8"/>
        <v>6300000.0000000009</v>
      </c>
      <c r="U43" s="6">
        <f t="shared" si="8"/>
        <v>18306798.75</v>
      </c>
      <c r="V43" s="59">
        <f t="shared" si="8"/>
        <v>5850000.0000000009</v>
      </c>
      <c r="W43" s="6">
        <f t="shared" si="8"/>
        <v>16540111.249999996</v>
      </c>
      <c r="X43" s="59">
        <f t="shared" si="8"/>
        <v>5399999.9999999991</v>
      </c>
      <c r="Y43" s="6">
        <f t="shared" si="8"/>
        <v>13813798.750000002</v>
      </c>
      <c r="Z43" s="159">
        <f t="shared" si="8"/>
        <v>4500000</v>
      </c>
      <c r="AA43" s="167">
        <f t="shared" si="8"/>
        <v>175000000</v>
      </c>
      <c r="AB43" s="87">
        <f t="shared" ref="AB43" si="10">SUM(AB5:AB7)+SUM(AB11:AB15)+SUM(AB22:AB25)+SUM(AB27:AB29)+SUM(AB32:AB35)</f>
        <v>45000000</v>
      </c>
    </row>
    <row r="44" spans="1:40" x14ac:dyDescent="0.35">
      <c r="A44" s="86" t="s">
        <v>38</v>
      </c>
      <c r="B44" s="1"/>
      <c r="C44" s="1"/>
      <c r="D44" s="1"/>
      <c r="E44" s="1"/>
      <c r="F44" s="1"/>
      <c r="G44" s="59">
        <f>SUM(G26,G30)</f>
        <v>300000</v>
      </c>
      <c r="H44" s="59">
        <f>SUM(H26,H30)</f>
        <v>0</v>
      </c>
      <c r="I44" s="59">
        <f t="shared" ref="I44:AA44" si="11">SUM(I26,I30)</f>
        <v>530000</v>
      </c>
      <c r="J44" s="59">
        <f>SUM(J26,J30)</f>
        <v>0</v>
      </c>
      <c r="K44" s="59">
        <f t="shared" si="11"/>
        <v>550000</v>
      </c>
      <c r="L44" s="59">
        <f>SUM(L26,L30)</f>
        <v>0</v>
      </c>
      <c r="M44" s="59">
        <f t="shared" si="11"/>
        <v>560000</v>
      </c>
      <c r="N44" s="59">
        <f>SUM(N26,N30)</f>
        <v>0</v>
      </c>
      <c r="O44" s="59">
        <f t="shared" si="11"/>
        <v>560000</v>
      </c>
      <c r="P44" s="59">
        <f>SUM(P26,P30)</f>
        <v>0</v>
      </c>
      <c r="Q44" s="59">
        <f t="shared" si="11"/>
        <v>0</v>
      </c>
      <c r="R44" s="59">
        <f>SUM(R26,R30)</f>
        <v>0</v>
      </c>
      <c r="S44" s="59">
        <f t="shared" si="11"/>
        <v>0</v>
      </c>
      <c r="T44" s="59">
        <f>SUM(T26,T30)</f>
        <v>0</v>
      </c>
      <c r="U44" s="59">
        <f t="shared" si="11"/>
        <v>0</v>
      </c>
      <c r="V44" s="59">
        <f>SUM(V26,V30)</f>
        <v>0</v>
      </c>
      <c r="W44" s="59">
        <f t="shared" si="11"/>
        <v>0</v>
      </c>
      <c r="X44" s="59">
        <f>SUM(X26,X30)</f>
        <v>0</v>
      </c>
      <c r="Y44" s="59">
        <f t="shared" si="11"/>
        <v>0</v>
      </c>
      <c r="Z44" s="159">
        <f>SUM(Z26,Z30)</f>
        <v>0</v>
      </c>
      <c r="AA44" s="168">
        <f t="shared" si="11"/>
        <v>2500000</v>
      </c>
      <c r="AB44" s="88">
        <f t="shared" ref="AB44" si="12">SUM(AB26,AB30)</f>
        <v>0</v>
      </c>
    </row>
    <row r="45" spans="1:40" ht="15" thickBot="1" x14ac:dyDescent="0.4">
      <c r="A45" s="89" t="s">
        <v>39</v>
      </c>
      <c r="B45" s="90"/>
      <c r="C45" s="90"/>
      <c r="D45" s="90"/>
      <c r="E45" s="90"/>
      <c r="F45" s="90"/>
      <c r="G45" s="91">
        <f t="shared" ref="G45:AA45" si="13">SUM(G8:G10)+SUM(G16:G20)+SUM(G36:G39)</f>
        <v>17333318.750000004</v>
      </c>
      <c r="H45" s="170">
        <f t="shared" ref="H45:J45" si="14">SUM(H8:H10)+SUM(H16:H20)+SUM(H36:H39)</f>
        <v>5620000</v>
      </c>
      <c r="I45" s="91">
        <f t="shared" si="13"/>
        <v>67241756.250000015</v>
      </c>
      <c r="J45" s="170">
        <f t="shared" si="14"/>
        <v>22480000</v>
      </c>
      <c r="K45" s="91">
        <f t="shared" si="13"/>
        <v>75421131.25</v>
      </c>
      <c r="L45" s="170">
        <f t="shared" si="13"/>
        <v>25290000</v>
      </c>
      <c r="M45" s="91">
        <f t="shared" si="13"/>
        <v>83721131.25</v>
      </c>
      <c r="N45" s="170">
        <f t="shared" si="13"/>
        <v>28100000</v>
      </c>
      <c r="O45" s="91">
        <f t="shared" si="13"/>
        <v>83600818.75</v>
      </c>
      <c r="P45" s="170">
        <f t="shared" si="13"/>
        <v>28100000</v>
      </c>
      <c r="Q45" s="91">
        <f t="shared" si="13"/>
        <v>99998118.75</v>
      </c>
      <c r="R45" s="170">
        <f t="shared" si="13"/>
        <v>33720000</v>
      </c>
      <c r="S45" s="91">
        <f t="shared" si="13"/>
        <v>116542493.75000001</v>
      </c>
      <c r="T45" s="170">
        <f t="shared" si="13"/>
        <v>39340000</v>
      </c>
      <c r="U45" s="91">
        <f t="shared" si="13"/>
        <v>108162181.25</v>
      </c>
      <c r="V45" s="170">
        <f t="shared" si="13"/>
        <v>36530000</v>
      </c>
      <c r="W45" s="91">
        <f t="shared" si="13"/>
        <v>99781868.75</v>
      </c>
      <c r="X45" s="170">
        <f t="shared" si="13"/>
        <v>33720000</v>
      </c>
      <c r="Y45" s="91">
        <f t="shared" si="13"/>
        <v>83197181.25</v>
      </c>
      <c r="Z45" s="171">
        <f t="shared" si="13"/>
        <v>28100000</v>
      </c>
      <c r="AA45" s="169">
        <f t="shared" si="13"/>
        <v>835000000</v>
      </c>
      <c r="AB45" s="92">
        <f t="shared" ref="AB45" si="15">SUM(AB8:AB10)+SUM(AB16:AB20)+SUM(AB36:AB39)</f>
        <v>281000000</v>
      </c>
    </row>
    <row r="48" spans="1:40" x14ac:dyDescent="0.35">
      <c r="A48" t="s">
        <v>26</v>
      </c>
    </row>
    <row r="54" spans="11:12" x14ac:dyDescent="0.35">
      <c r="K54" s="74"/>
      <c r="L54" s="74"/>
    </row>
  </sheetData>
  <mergeCells count="25">
    <mergeCell ref="A32:A40"/>
    <mergeCell ref="A5:A21"/>
    <mergeCell ref="A22:A31"/>
    <mergeCell ref="B24:B26"/>
    <mergeCell ref="B29:B30"/>
    <mergeCell ref="B22:B23"/>
    <mergeCell ref="B27:B28"/>
    <mergeCell ref="F27:F28"/>
    <mergeCell ref="B5:B10"/>
    <mergeCell ref="F22:F23"/>
    <mergeCell ref="F24:F25"/>
    <mergeCell ref="F5:F7"/>
    <mergeCell ref="F8:F10"/>
    <mergeCell ref="F11:F15"/>
    <mergeCell ref="B11:B20"/>
    <mergeCell ref="G3:H3"/>
    <mergeCell ref="I3:J3"/>
    <mergeCell ref="K3:L3"/>
    <mergeCell ref="M3:N3"/>
    <mergeCell ref="O3:P3"/>
    <mergeCell ref="Q3:R3"/>
    <mergeCell ref="S3:T3"/>
    <mergeCell ref="U3:V3"/>
    <mergeCell ref="W3:X3"/>
    <mergeCell ref="Y3:Z3"/>
  </mergeCells>
  <phoneticPr fontId="11" type="noConversion"/>
  <pageMargins left="0.7" right="0.7" top="0.75" bottom="0.75" header="0.3" footer="0.3"/>
  <pageSetup paperSize="9" orientation="portrait" r:id="rId1"/>
  <headerFooter>
    <oddHeader xml:space="preserve">&amp;CDetailed budget breakdown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tabSelected="1" zoomScale="85" zoomScaleNormal="85" workbookViewId="0">
      <selection activeCell="H7" sqref="H7"/>
    </sheetView>
  </sheetViews>
  <sheetFormatPr baseColWidth="10" defaultColWidth="8.7265625" defaultRowHeight="14.5" x14ac:dyDescent="0.35"/>
  <cols>
    <col min="1" max="1" width="17" customWidth="1"/>
    <col min="2" max="2" width="31" customWidth="1"/>
    <col min="3" max="4" width="13.26953125" bestFit="1" customWidth="1"/>
    <col min="7" max="7" width="20" customWidth="1"/>
    <col min="8" max="9" width="11.7265625" customWidth="1"/>
    <col min="10" max="10" width="17.54296875" customWidth="1"/>
    <col min="11" max="13" width="11.90625" customWidth="1"/>
  </cols>
  <sheetData>
    <row r="1" spans="1:13" ht="27.5" customHeight="1" x14ac:dyDescent="0.35">
      <c r="A1" s="255" t="s">
        <v>9</v>
      </c>
      <c r="B1" s="255" t="s">
        <v>8</v>
      </c>
      <c r="C1" s="256" t="s">
        <v>127</v>
      </c>
      <c r="D1" s="256" t="s">
        <v>254</v>
      </c>
      <c r="E1" s="248" t="s">
        <v>85</v>
      </c>
      <c r="F1" s="249"/>
      <c r="G1" s="250"/>
      <c r="H1" s="248" t="s">
        <v>86</v>
      </c>
      <c r="I1" s="249"/>
      <c r="J1" s="250"/>
      <c r="K1" s="248" t="s">
        <v>87</v>
      </c>
      <c r="L1" s="249"/>
      <c r="M1" s="250"/>
    </row>
    <row r="2" spans="1:13" ht="26" x14ac:dyDescent="0.35">
      <c r="A2" s="253"/>
      <c r="B2" s="253"/>
      <c r="C2" s="253"/>
      <c r="D2" s="253"/>
      <c r="E2" s="68" t="s">
        <v>128</v>
      </c>
      <c r="F2" s="68" t="s">
        <v>255</v>
      </c>
      <c r="G2" s="68" t="s">
        <v>88</v>
      </c>
      <c r="H2" s="68" t="s">
        <v>128</v>
      </c>
      <c r="I2" s="68" t="s">
        <v>255</v>
      </c>
      <c r="J2" s="68" t="s">
        <v>88</v>
      </c>
      <c r="K2" s="68" t="s">
        <v>128</v>
      </c>
      <c r="L2" s="68" t="s">
        <v>255</v>
      </c>
      <c r="M2" s="68" t="s">
        <v>88</v>
      </c>
    </row>
    <row r="3" spans="1:13" ht="37.5" x14ac:dyDescent="0.35">
      <c r="A3" s="251" t="s">
        <v>89</v>
      </c>
      <c r="B3" s="69" t="s">
        <v>90</v>
      </c>
      <c r="C3" s="70">
        <f>E3+H3+K3</f>
        <v>26.8</v>
      </c>
      <c r="D3" s="228">
        <f>F3+I3+L3</f>
        <v>0</v>
      </c>
      <c r="E3" s="70">
        <v>22.8</v>
      </c>
      <c r="F3" s="202">
        <v>0</v>
      </c>
      <c r="G3" s="69" t="s">
        <v>91</v>
      </c>
      <c r="H3" s="70">
        <v>4</v>
      </c>
      <c r="I3" s="202">
        <v>0</v>
      </c>
      <c r="J3" s="69" t="s">
        <v>91</v>
      </c>
      <c r="K3" s="71">
        <v>0</v>
      </c>
      <c r="L3" s="202">
        <v>0</v>
      </c>
      <c r="M3" s="69" t="s">
        <v>92</v>
      </c>
    </row>
    <row r="4" spans="1:13" ht="25" x14ac:dyDescent="0.35">
      <c r="A4" s="252"/>
      <c r="B4" s="69" t="s">
        <v>93</v>
      </c>
      <c r="C4" s="70">
        <f t="shared" ref="C4:C9" si="0">E4+H4+K4</f>
        <v>961</v>
      </c>
      <c r="D4" s="228">
        <f t="shared" ref="D4:D9" si="1">F4+I4+L4</f>
        <v>326</v>
      </c>
      <c r="E4" s="70">
        <v>131</v>
      </c>
      <c r="F4" s="202">
        <v>45</v>
      </c>
      <c r="G4" s="69" t="s">
        <v>94</v>
      </c>
      <c r="H4" s="70">
        <v>830</v>
      </c>
      <c r="I4" s="202">
        <v>281</v>
      </c>
      <c r="J4" s="69" t="s">
        <v>94</v>
      </c>
      <c r="K4" s="71">
        <v>0</v>
      </c>
      <c r="L4" s="202">
        <v>0</v>
      </c>
      <c r="M4" s="69" t="s">
        <v>92</v>
      </c>
    </row>
    <row r="5" spans="1:13" ht="37.5" x14ac:dyDescent="0.35">
      <c r="A5" s="251" t="s">
        <v>95</v>
      </c>
      <c r="B5" s="69" t="s">
        <v>96</v>
      </c>
      <c r="C5" s="70">
        <f t="shared" si="0"/>
        <v>6.5</v>
      </c>
      <c r="D5" s="228">
        <f t="shared" si="1"/>
        <v>0</v>
      </c>
      <c r="E5" s="70">
        <f>0.5*13</f>
        <v>6.5</v>
      </c>
      <c r="F5" s="202">
        <v>0</v>
      </c>
      <c r="G5" s="69" t="s">
        <v>91</v>
      </c>
      <c r="H5" s="70">
        <v>0</v>
      </c>
      <c r="I5" s="202">
        <v>0</v>
      </c>
      <c r="J5" s="69" t="s">
        <v>92</v>
      </c>
      <c r="K5" s="71">
        <v>0</v>
      </c>
      <c r="L5" s="202">
        <v>0</v>
      </c>
      <c r="M5" s="69" t="s">
        <v>92</v>
      </c>
    </row>
    <row r="6" spans="1:13" ht="37.5" x14ac:dyDescent="0.35">
      <c r="A6" s="252"/>
      <c r="B6" s="69" t="s">
        <v>97</v>
      </c>
      <c r="C6" s="70">
        <f t="shared" si="0"/>
        <v>8.8000000000000007</v>
      </c>
      <c r="D6" s="228">
        <f t="shared" si="1"/>
        <v>0</v>
      </c>
      <c r="E6" s="70">
        <f>6.8</f>
        <v>6.8</v>
      </c>
      <c r="F6" s="202">
        <v>0</v>
      </c>
      <c r="G6" s="69" t="s">
        <v>91</v>
      </c>
      <c r="H6" s="70">
        <v>0</v>
      </c>
      <c r="I6" s="202">
        <v>0</v>
      </c>
      <c r="J6" s="69" t="s">
        <v>92</v>
      </c>
      <c r="K6" s="71">
        <v>2</v>
      </c>
      <c r="L6" s="202">
        <v>0</v>
      </c>
      <c r="M6" s="69" t="s">
        <v>100</v>
      </c>
    </row>
    <row r="7" spans="1:13" ht="37.5" x14ac:dyDescent="0.35">
      <c r="A7" s="252"/>
      <c r="B7" s="69" t="s">
        <v>98</v>
      </c>
      <c r="C7" s="70">
        <f t="shared" si="0"/>
        <v>5.2</v>
      </c>
      <c r="D7" s="228">
        <f t="shared" si="1"/>
        <v>0</v>
      </c>
      <c r="E7" s="70">
        <f>0.4*13</f>
        <v>5.2</v>
      </c>
      <c r="F7" s="202">
        <v>0</v>
      </c>
      <c r="G7" s="69" t="s">
        <v>91</v>
      </c>
      <c r="H7" s="70">
        <v>0</v>
      </c>
      <c r="I7" s="202">
        <v>0</v>
      </c>
      <c r="J7" s="69" t="s">
        <v>92</v>
      </c>
      <c r="K7" s="71">
        <v>0</v>
      </c>
      <c r="L7" s="202">
        <v>0</v>
      </c>
      <c r="M7" s="69" t="s">
        <v>92</v>
      </c>
    </row>
    <row r="8" spans="1:13" ht="37.5" x14ac:dyDescent="0.35">
      <c r="A8" s="253"/>
      <c r="B8" s="69" t="s">
        <v>99</v>
      </c>
      <c r="C8" s="70">
        <f t="shared" si="0"/>
        <v>1</v>
      </c>
      <c r="D8" s="228">
        <f t="shared" si="1"/>
        <v>0</v>
      </c>
      <c r="E8" s="70">
        <v>0.5</v>
      </c>
      <c r="F8" s="202">
        <v>0</v>
      </c>
      <c r="G8" s="69" t="s">
        <v>100</v>
      </c>
      <c r="H8" s="70">
        <v>0</v>
      </c>
      <c r="I8" s="202">
        <v>0</v>
      </c>
      <c r="J8" s="69" t="s">
        <v>92</v>
      </c>
      <c r="K8" s="71">
        <v>0.5</v>
      </c>
      <c r="L8" s="202">
        <v>0</v>
      </c>
      <c r="M8" s="69" t="s">
        <v>100</v>
      </c>
    </row>
    <row r="9" spans="1:13" ht="25" x14ac:dyDescent="0.35">
      <c r="A9" s="69" t="s">
        <v>101</v>
      </c>
      <c r="B9" s="69" t="s">
        <v>67</v>
      </c>
      <c r="C9" s="70">
        <f t="shared" si="0"/>
        <v>3.2</v>
      </c>
      <c r="D9" s="228">
        <f t="shared" si="1"/>
        <v>0</v>
      </c>
      <c r="E9" s="70">
        <v>2.2000000000000002</v>
      </c>
      <c r="F9" s="202">
        <v>0</v>
      </c>
      <c r="G9" s="69" t="s">
        <v>91</v>
      </c>
      <c r="H9" s="70">
        <v>1</v>
      </c>
      <c r="I9" s="202">
        <v>0</v>
      </c>
      <c r="J9" s="69" t="s">
        <v>91</v>
      </c>
      <c r="K9" s="71">
        <v>0</v>
      </c>
      <c r="L9" s="202">
        <v>0</v>
      </c>
      <c r="M9" s="69" t="s">
        <v>92</v>
      </c>
    </row>
    <row r="10" spans="1:13" x14ac:dyDescent="0.35">
      <c r="A10" s="254" t="s">
        <v>102</v>
      </c>
      <c r="B10" s="250"/>
      <c r="C10" s="70">
        <f t="shared" ref="C10:D10" si="2">SUM(C3:C9)</f>
        <v>1012.5</v>
      </c>
      <c r="D10" s="228">
        <f t="shared" si="2"/>
        <v>326</v>
      </c>
      <c r="E10" s="70">
        <f>SUM(E3:E9)</f>
        <v>175</v>
      </c>
      <c r="F10" s="202">
        <f>SUM(F3:F9)</f>
        <v>45</v>
      </c>
      <c r="G10" s="69"/>
      <c r="H10" s="70">
        <f>SUM(H3:H9)</f>
        <v>835</v>
      </c>
      <c r="I10" s="202">
        <f>SUM(I3:I9)</f>
        <v>281</v>
      </c>
      <c r="J10" s="69"/>
      <c r="K10" s="71">
        <f>SUM(K3:K9)</f>
        <v>2.5</v>
      </c>
      <c r="L10" s="202">
        <f>SUM(L3:L9)</f>
        <v>0</v>
      </c>
      <c r="M10" s="72"/>
    </row>
    <row r="11" spans="1:13" x14ac:dyDescent="0.35">
      <c r="C11" s="73"/>
      <c r="D11" s="73"/>
      <c r="E11" s="73"/>
      <c r="F11" s="73"/>
      <c r="H11" s="73"/>
      <c r="I11" s="73"/>
    </row>
    <row r="12" spans="1:13" x14ac:dyDescent="0.35">
      <c r="B12" s="94" t="s">
        <v>123</v>
      </c>
      <c r="E12" s="93">
        <f>E9/(220-E4)</f>
        <v>2.4719101123595509E-2</v>
      </c>
      <c r="F12" s="93"/>
    </row>
    <row r="16" spans="1:13" x14ac:dyDescent="0.35">
      <c r="H16" s="151"/>
    </row>
    <row r="20" spans="2:2" x14ac:dyDescent="0.35">
      <c r="B20" s="65"/>
    </row>
  </sheetData>
  <mergeCells count="10">
    <mergeCell ref="H1:J1"/>
    <mergeCell ref="K1:M1"/>
    <mergeCell ref="A3:A4"/>
    <mergeCell ref="A5:A8"/>
    <mergeCell ref="A10:B10"/>
    <mergeCell ref="A1:A2"/>
    <mergeCell ref="B1:B2"/>
    <mergeCell ref="C1:C2"/>
    <mergeCell ref="E1:G1"/>
    <mergeCell ref="D1:D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showGridLines="0" topLeftCell="B1" zoomScale="80" zoomScaleNormal="80" workbookViewId="0">
      <selection activeCell="F46" sqref="F46"/>
    </sheetView>
  </sheetViews>
  <sheetFormatPr baseColWidth="10" defaultColWidth="11.453125" defaultRowHeight="14.5" outlineLevelCol="1" x14ac:dyDescent="0.35"/>
  <cols>
    <col min="1" max="1" width="29.26953125" style="56" bestFit="1" customWidth="1"/>
    <col min="2" max="2" width="20.453125" style="56" customWidth="1"/>
    <col min="3" max="3" width="20.453125" style="12" customWidth="1"/>
    <col min="4" max="4" width="12.81640625" style="12" bestFit="1" customWidth="1"/>
    <col min="5" max="5" width="32.7265625" style="12" bestFit="1" customWidth="1"/>
    <col min="6" max="6" width="12.81640625" style="12" bestFit="1" customWidth="1"/>
    <col min="7" max="7" width="60.26953125" style="12" customWidth="1"/>
    <col min="8" max="8" width="11.453125" style="12" bestFit="1" customWidth="1"/>
    <col min="9" max="10" width="14.453125" style="12" customWidth="1" outlineLevel="1"/>
    <col min="11" max="11" width="15.453125" style="12" customWidth="1" outlineLevel="1"/>
    <col min="12" max="18" width="14.453125" style="12" customWidth="1" outlineLevel="1"/>
    <col min="19" max="19" width="15.453125" style="12" bestFit="1" customWidth="1"/>
    <col min="20" max="20" width="35.453125" style="12" customWidth="1"/>
    <col min="21" max="21" width="15.453125" style="12" bestFit="1" customWidth="1"/>
    <col min="22" max="22" width="13.453125" style="12" bestFit="1" customWidth="1"/>
    <col min="23" max="23" width="12" style="12" bestFit="1" customWidth="1"/>
    <col min="24" max="24" width="11.453125" style="12" customWidth="1"/>
    <col min="25" max="25" width="12.453125" style="12" bestFit="1" customWidth="1"/>
    <col min="26" max="262" width="11.453125" style="12"/>
    <col min="263" max="263" width="25.453125" style="12" customWidth="1"/>
    <col min="264" max="265" width="20.453125" style="12" customWidth="1"/>
    <col min="266" max="266" width="12.81640625" style="12" bestFit="1" customWidth="1"/>
    <col min="267" max="267" width="26" style="12" bestFit="1" customWidth="1"/>
    <col min="268" max="268" width="12.81640625" style="12" bestFit="1" customWidth="1"/>
    <col min="269" max="269" width="62.81640625" style="12" customWidth="1"/>
    <col min="270" max="271" width="14.453125" style="12" customWidth="1"/>
    <col min="272" max="272" width="15.453125" style="12" bestFit="1" customWidth="1"/>
    <col min="273" max="274" width="14.453125" style="12" customWidth="1"/>
    <col min="275" max="275" width="15.453125" style="12" bestFit="1" customWidth="1"/>
    <col min="276" max="276" width="35.453125" style="12" customWidth="1"/>
    <col min="277" max="277" width="15.453125" style="12" bestFit="1" customWidth="1"/>
    <col min="278" max="278" width="13.453125" style="12" bestFit="1" customWidth="1"/>
    <col min="279" max="279" width="12" style="12" bestFit="1" customWidth="1"/>
    <col min="280" max="280" width="11.453125" style="12" customWidth="1"/>
    <col min="281" max="281" width="12.453125" style="12" bestFit="1" customWidth="1"/>
    <col min="282" max="518" width="11.453125" style="12"/>
    <col min="519" max="519" width="25.453125" style="12" customWidth="1"/>
    <col min="520" max="521" width="20.453125" style="12" customWidth="1"/>
    <col min="522" max="522" width="12.81640625" style="12" bestFit="1" customWidth="1"/>
    <col min="523" max="523" width="26" style="12" bestFit="1" customWidth="1"/>
    <col min="524" max="524" width="12.81640625" style="12" bestFit="1" customWidth="1"/>
    <col min="525" max="525" width="62.81640625" style="12" customWidth="1"/>
    <col min="526" max="527" width="14.453125" style="12" customWidth="1"/>
    <col min="528" max="528" width="15.453125" style="12" bestFit="1" customWidth="1"/>
    <col min="529" max="530" width="14.453125" style="12" customWidth="1"/>
    <col min="531" max="531" width="15.453125" style="12" bestFit="1" customWidth="1"/>
    <col min="532" max="532" width="35.453125" style="12" customWidth="1"/>
    <col min="533" max="533" width="15.453125" style="12" bestFit="1" customWidth="1"/>
    <col min="534" max="534" width="13.453125" style="12" bestFit="1" customWidth="1"/>
    <col min="535" max="535" width="12" style="12" bestFit="1" customWidth="1"/>
    <col min="536" max="536" width="11.453125" style="12" customWidth="1"/>
    <col min="537" max="537" width="12.453125" style="12" bestFit="1" customWidth="1"/>
    <col min="538" max="774" width="11.453125" style="12"/>
    <col min="775" max="775" width="25.453125" style="12" customWidth="1"/>
    <col min="776" max="777" width="20.453125" style="12" customWidth="1"/>
    <col min="778" max="778" width="12.81640625" style="12" bestFit="1" customWidth="1"/>
    <col min="779" max="779" width="26" style="12" bestFit="1" customWidth="1"/>
    <col min="780" max="780" width="12.81640625" style="12" bestFit="1" customWidth="1"/>
    <col min="781" max="781" width="62.81640625" style="12" customWidth="1"/>
    <col min="782" max="783" width="14.453125" style="12" customWidth="1"/>
    <col min="784" max="784" width="15.453125" style="12" bestFit="1" customWidth="1"/>
    <col min="785" max="786" width="14.453125" style="12" customWidth="1"/>
    <col min="787" max="787" width="15.453125" style="12" bestFit="1" customWidth="1"/>
    <col min="788" max="788" width="35.453125" style="12" customWidth="1"/>
    <col min="789" max="789" width="15.453125" style="12" bestFit="1" customWidth="1"/>
    <col min="790" max="790" width="13.453125" style="12" bestFit="1" customWidth="1"/>
    <col min="791" max="791" width="12" style="12" bestFit="1" customWidth="1"/>
    <col min="792" max="792" width="11.453125" style="12" customWidth="1"/>
    <col min="793" max="793" width="12.453125" style="12" bestFit="1" customWidth="1"/>
    <col min="794" max="1030" width="11.453125" style="12"/>
    <col min="1031" max="1031" width="25.453125" style="12" customWidth="1"/>
    <col min="1032" max="1033" width="20.453125" style="12" customWidth="1"/>
    <col min="1034" max="1034" width="12.81640625" style="12" bestFit="1" customWidth="1"/>
    <col min="1035" max="1035" width="26" style="12" bestFit="1" customWidth="1"/>
    <col min="1036" max="1036" width="12.81640625" style="12" bestFit="1" customWidth="1"/>
    <col min="1037" max="1037" width="62.81640625" style="12" customWidth="1"/>
    <col min="1038" max="1039" width="14.453125" style="12" customWidth="1"/>
    <col min="1040" max="1040" width="15.453125" style="12" bestFit="1" customWidth="1"/>
    <col min="1041" max="1042" width="14.453125" style="12" customWidth="1"/>
    <col min="1043" max="1043" width="15.453125" style="12" bestFit="1" customWidth="1"/>
    <col min="1044" max="1044" width="35.453125" style="12" customWidth="1"/>
    <col min="1045" max="1045" width="15.453125" style="12" bestFit="1" customWidth="1"/>
    <col min="1046" max="1046" width="13.453125" style="12" bestFit="1" customWidth="1"/>
    <col min="1047" max="1047" width="12" style="12" bestFit="1" customWidth="1"/>
    <col min="1048" max="1048" width="11.453125" style="12" customWidth="1"/>
    <col min="1049" max="1049" width="12.453125" style="12" bestFit="1" customWidth="1"/>
    <col min="1050" max="1286" width="11.453125" style="12"/>
    <col min="1287" max="1287" width="25.453125" style="12" customWidth="1"/>
    <col min="1288" max="1289" width="20.453125" style="12" customWidth="1"/>
    <col min="1290" max="1290" width="12.81640625" style="12" bestFit="1" customWidth="1"/>
    <col min="1291" max="1291" width="26" style="12" bestFit="1" customWidth="1"/>
    <col min="1292" max="1292" width="12.81640625" style="12" bestFit="1" customWidth="1"/>
    <col min="1293" max="1293" width="62.81640625" style="12" customWidth="1"/>
    <col min="1294" max="1295" width="14.453125" style="12" customWidth="1"/>
    <col min="1296" max="1296" width="15.453125" style="12" bestFit="1" customWidth="1"/>
    <col min="1297" max="1298" width="14.453125" style="12" customWidth="1"/>
    <col min="1299" max="1299" width="15.453125" style="12" bestFit="1" customWidth="1"/>
    <col min="1300" max="1300" width="35.453125" style="12" customWidth="1"/>
    <col min="1301" max="1301" width="15.453125" style="12" bestFit="1" customWidth="1"/>
    <col min="1302" max="1302" width="13.453125" style="12" bestFit="1" customWidth="1"/>
    <col min="1303" max="1303" width="12" style="12" bestFit="1" customWidth="1"/>
    <col min="1304" max="1304" width="11.453125" style="12" customWidth="1"/>
    <col min="1305" max="1305" width="12.453125" style="12" bestFit="1" customWidth="1"/>
    <col min="1306" max="1542" width="11.453125" style="12"/>
    <col min="1543" max="1543" width="25.453125" style="12" customWidth="1"/>
    <col min="1544" max="1545" width="20.453125" style="12" customWidth="1"/>
    <col min="1546" max="1546" width="12.81640625" style="12" bestFit="1" customWidth="1"/>
    <col min="1547" max="1547" width="26" style="12" bestFit="1" customWidth="1"/>
    <col min="1548" max="1548" width="12.81640625" style="12" bestFit="1" customWidth="1"/>
    <col min="1549" max="1549" width="62.81640625" style="12" customWidth="1"/>
    <col min="1550" max="1551" width="14.453125" style="12" customWidth="1"/>
    <col min="1552" max="1552" width="15.453125" style="12" bestFit="1" customWidth="1"/>
    <col min="1553" max="1554" width="14.453125" style="12" customWidth="1"/>
    <col min="1555" max="1555" width="15.453125" style="12" bestFit="1" customWidth="1"/>
    <col min="1556" max="1556" width="35.453125" style="12" customWidth="1"/>
    <col min="1557" max="1557" width="15.453125" style="12" bestFit="1" customWidth="1"/>
    <col min="1558" max="1558" width="13.453125" style="12" bestFit="1" customWidth="1"/>
    <col min="1559" max="1559" width="12" style="12" bestFit="1" customWidth="1"/>
    <col min="1560" max="1560" width="11.453125" style="12" customWidth="1"/>
    <col min="1561" max="1561" width="12.453125" style="12" bestFit="1" customWidth="1"/>
    <col min="1562" max="1798" width="11.453125" style="12"/>
    <col min="1799" max="1799" width="25.453125" style="12" customWidth="1"/>
    <col min="1800" max="1801" width="20.453125" style="12" customWidth="1"/>
    <col min="1802" max="1802" width="12.81640625" style="12" bestFit="1" customWidth="1"/>
    <col min="1803" max="1803" width="26" style="12" bestFit="1" customWidth="1"/>
    <col min="1804" max="1804" width="12.81640625" style="12" bestFit="1" customWidth="1"/>
    <col min="1805" max="1805" width="62.81640625" style="12" customWidth="1"/>
    <col min="1806" max="1807" width="14.453125" style="12" customWidth="1"/>
    <col min="1808" max="1808" width="15.453125" style="12" bestFit="1" customWidth="1"/>
    <col min="1809" max="1810" width="14.453125" style="12" customWidth="1"/>
    <col min="1811" max="1811" width="15.453125" style="12" bestFit="1" customWidth="1"/>
    <col min="1812" max="1812" width="35.453125" style="12" customWidth="1"/>
    <col min="1813" max="1813" width="15.453125" style="12" bestFit="1" customWidth="1"/>
    <col min="1814" max="1814" width="13.453125" style="12" bestFit="1" customWidth="1"/>
    <col min="1815" max="1815" width="12" style="12" bestFit="1" customWidth="1"/>
    <col min="1816" max="1816" width="11.453125" style="12" customWidth="1"/>
    <col min="1817" max="1817" width="12.453125" style="12" bestFit="1" customWidth="1"/>
    <col min="1818" max="2054" width="11.453125" style="12"/>
    <col min="2055" max="2055" width="25.453125" style="12" customWidth="1"/>
    <col min="2056" max="2057" width="20.453125" style="12" customWidth="1"/>
    <col min="2058" max="2058" width="12.81640625" style="12" bestFit="1" customWidth="1"/>
    <col min="2059" max="2059" width="26" style="12" bestFit="1" customWidth="1"/>
    <col min="2060" max="2060" width="12.81640625" style="12" bestFit="1" customWidth="1"/>
    <col min="2061" max="2061" width="62.81640625" style="12" customWidth="1"/>
    <col min="2062" max="2063" width="14.453125" style="12" customWidth="1"/>
    <col min="2064" max="2064" width="15.453125" style="12" bestFit="1" customWidth="1"/>
    <col min="2065" max="2066" width="14.453125" style="12" customWidth="1"/>
    <col min="2067" max="2067" width="15.453125" style="12" bestFit="1" customWidth="1"/>
    <col min="2068" max="2068" width="35.453125" style="12" customWidth="1"/>
    <col min="2069" max="2069" width="15.453125" style="12" bestFit="1" customWidth="1"/>
    <col min="2070" max="2070" width="13.453125" style="12" bestFit="1" customWidth="1"/>
    <col min="2071" max="2071" width="12" style="12" bestFit="1" customWidth="1"/>
    <col min="2072" max="2072" width="11.453125" style="12" customWidth="1"/>
    <col min="2073" max="2073" width="12.453125" style="12" bestFit="1" customWidth="1"/>
    <col min="2074" max="2310" width="11.453125" style="12"/>
    <col min="2311" max="2311" width="25.453125" style="12" customWidth="1"/>
    <col min="2312" max="2313" width="20.453125" style="12" customWidth="1"/>
    <col min="2314" max="2314" width="12.81640625" style="12" bestFit="1" customWidth="1"/>
    <col min="2315" max="2315" width="26" style="12" bestFit="1" customWidth="1"/>
    <col min="2316" max="2316" width="12.81640625" style="12" bestFit="1" customWidth="1"/>
    <col min="2317" max="2317" width="62.81640625" style="12" customWidth="1"/>
    <col min="2318" max="2319" width="14.453125" style="12" customWidth="1"/>
    <col min="2320" max="2320" width="15.453125" style="12" bestFit="1" customWidth="1"/>
    <col min="2321" max="2322" width="14.453125" style="12" customWidth="1"/>
    <col min="2323" max="2323" width="15.453125" style="12" bestFit="1" customWidth="1"/>
    <col min="2324" max="2324" width="35.453125" style="12" customWidth="1"/>
    <col min="2325" max="2325" width="15.453125" style="12" bestFit="1" customWidth="1"/>
    <col min="2326" max="2326" width="13.453125" style="12" bestFit="1" customWidth="1"/>
    <col min="2327" max="2327" width="12" style="12" bestFit="1" customWidth="1"/>
    <col min="2328" max="2328" width="11.453125" style="12" customWidth="1"/>
    <col min="2329" max="2329" width="12.453125" style="12" bestFit="1" customWidth="1"/>
    <col min="2330" max="2566" width="11.453125" style="12"/>
    <col min="2567" max="2567" width="25.453125" style="12" customWidth="1"/>
    <col min="2568" max="2569" width="20.453125" style="12" customWidth="1"/>
    <col min="2570" max="2570" width="12.81640625" style="12" bestFit="1" customWidth="1"/>
    <col min="2571" max="2571" width="26" style="12" bestFit="1" customWidth="1"/>
    <col min="2572" max="2572" width="12.81640625" style="12" bestFit="1" customWidth="1"/>
    <col min="2573" max="2573" width="62.81640625" style="12" customWidth="1"/>
    <col min="2574" max="2575" width="14.453125" style="12" customWidth="1"/>
    <col min="2576" max="2576" width="15.453125" style="12" bestFit="1" customWidth="1"/>
    <col min="2577" max="2578" width="14.453125" style="12" customWidth="1"/>
    <col min="2579" max="2579" width="15.453125" style="12" bestFit="1" customWidth="1"/>
    <col min="2580" max="2580" width="35.453125" style="12" customWidth="1"/>
    <col min="2581" max="2581" width="15.453125" style="12" bestFit="1" customWidth="1"/>
    <col min="2582" max="2582" width="13.453125" style="12" bestFit="1" customWidth="1"/>
    <col min="2583" max="2583" width="12" style="12" bestFit="1" customWidth="1"/>
    <col min="2584" max="2584" width="11.453125" style="12" customWidth="1"/>
    <col min="2585" max="2585" width="12.453125" style="12" bestFit="1" customWidth="1"/>
    <col min="2586" max="2822" width="11.453125" style="12"/>
    <col min="2823" max="2823" width="25.453125" style="12" customWidth="1"/>
    <col min="2824" max="2825" width="20.453125" style="12" customWidth="1"/>
    <col min="2826" max="2826" width="12.81640625" style="12" bestFit="1" customWidth="1"/>
    <col min="2827" max="2827" width="26" style="12" bestFit="1" customWidth="1"/>
    <col min="2828" max="2828" width="12.81640625" style="12" bestFit="1" customWidth="1"/>
    <col min="2829" max="2829" width="62.81640625" style="12" customWidth="1"/>
    <col min="2830" max="2831" width="14.453125" style="12" customWidth="1"/>
    <col min="2832" max="2832" width="15.453125" style="12" bestFit="1" customWidth="1"/>
    <col min="2833" max="2834" width="14.453125" style="12" customWidth="1"/>
    <col min="2835" max="2835" width="15.453125" style="12" bestFit="1" customWidth="1"/>
    <col min="2836" max="2836" width="35.453125" style="12" customWidth="1"/>
    <col min="2837" max="2837" width="15.453125" style="12" bestFit="1" customWidth="1"/>
    <col min="2838" max="2838" width="13.453125" style="12" bestFit="1" customWidth="1"/>
    <col min="2839" max="2839" width="12" style="12" bestFit="1" customWidth="1"/>
    <col min="2840" max="2840" width="11.453125" style="12" customWidth="1"/>
    <col min="2841" max="2841" width="12.453125" style="12" bestFit="1" customWidth="1"/>
    <col min="2842" max="3078" width="11.453125" style="12"/>
    <col min="3079" max="3079" width="25.453125" style="12" customWidth="1"/>
    <col min="3080" max="3081" width="20.453125" style="12" customWidth="1"/>
    <col min="3082" max="3082" width="12.81640625" style="12" bestFit="1" customWidth="1"/>
    <col min="3083" max="3083" width="26" style="12" bestFit="1" customWidth="1"/>
    <col min="3084" max="3084" width="12.81640625" style="12" bestFit="1" customWidth="1"/>
    <col min="3085" max="3085" width="62.81640625" style="12" customWidth="1"/>
    <col min="3086" max="3087" width="14.453125" style="12" customWidth="1"/>
    <col min="3088" max="3088" width="15.453125" style="12" bestFit="1" customWidth="1"/>
    <col min="3089" max="3090" width="14.453125" style="12" customWidth="1"/>
    <col min="3091" max="3091" width="15.453125" style="12" bestFit="1" customWidth="1"/>
    <col min="3092" max="3092" width="35.453125" style="12" customWidth="1"/>
    <col min="3093" max="3093" width="15.453125" style="12" bestFit="1" customWidth="1"/>
    <col min="3094" max="3094" width="13.453125" style="12" bestFit="1" customWidth="1"/>
    <col min="3095" max="3095" width="12" style="12" bestFit="1" customWidth="1"/>
    <col min="3096" max="3096" width="11.453125" style="12" customWidth="1"/>
    <col min="3097" max="3097" width="12.453125" style="12" bestFit="1" customWidth="1"/>
    <col min="3098" max="3334" width="11.453125" style="12"/>
    <col min="3335" max="3335" width="25.453125" style="12" customWidth="1"/>
    <col min="3336" max="3337" width="20.453125" style="12" customWidth="1"/>
    <col min="3338" max="3338" width="12.81640625" style="12" bestFit="1" customWidth="1"/>
    <col min="3339" max="3339" width="26" style="12" bestFit="1" customWidth="1"/>
    <col min="3340" max="3340" width="12.81640625" style="12" bestFit="1" customWidth="1"/>
    <col min="3341" max="3341" width="62.81640625" style="12" customWidth="1"/>
    <col min="3342" max="3343" width="14.453125" style="12" customWidth="1"/>
    <col min="3344" max="3344" width="15.453125" style="12" bestFit="1" customWidth="1"/>
    <col min="3345" max="3346" width="14.453125" style="12" customWidth="1"/>
    <col min="3347" max="3347" width="15.453125" style="12" bestFit="1" customWidth="1"/>
    <col min="3348" max="3348" width="35.453125" style="12" customWidth="1"/>
    <col min="3349" max="3349" width="15.453125" style="12" bestFit="1" customWidth="1"/>
    <col min="3350" max="3350" width="13.453125" style="12" bestFit="1" customWidth="1"/>
    <col min="3351" max="3351" width="12" style="12" bestFit="1" customWidth="1"/>
    <col min="3352" max="3352" width="11.453125" style="12" customWidth="1"/>
    <col min="3353" max="3353" width="12.453125" style="12" bestFit="1" customWidth="1"/>
    <col min="3354" max="3590" width="11.453125" style="12"/>
    <col min="3591" max="3591" width="25.453125" style="12" customWidth="1"/>
    <col min="3592" max="3593" width="20.453125" style="12" customWidth="1"/>
    <col min="3594" max="3594" width="12.81640625" style="12" bestFit="1" customWidth="1"/>
    <col min="3595" max="3595" width="26" style="12" bestFit="1" customWidth="1"/>
    <col min="3596" max="3596" width="12.81640625" style="12" bestFit="1" customWidth="1"/>
    <col min="3597" max="3597" width="62.81640625" style="12" customWidth="1"/>
    <col min="3598" max="3599" width="14.453125" style="12" customWidth="1"/>
    <col min="3600" max="3600" width="15.453125" style="12" bestFit="1" customWidth="1"/>
    <col min="3601" max="3602" width="14.453125" style="12" customWidth="1"/>
    <col min="3603" max="3603" width="15.453125" style="12" bestFit="1" customWidth="1"/>
    <col min="3604" max="3604" width="35.453125" style="12" customWidth="1"/>
    <col min="3605" max="3605" width="15.453125" style="12" bestFit="1" customWidth="1"/>
    <col min="3606" max="3606" width="13.453125" style="12" bestFit="1" customWidth="1"/>
    <col min="3607" max="3607" width="12" style="12" bestFit="1" customWidth="1"/>
    <col min="3608" max="3608" width="11.453125" style="12" customWidth="1"/>
    <col min="3609" max="3609" width="12.453125" style="12" bestFit="1" customWidth="1"/>
    <col min="3610" max="3846" width="11.453125" style="12"/>
    <col min="3847" max="3847" width="25.453125" style="12" customWidth="1"/>
    <col min="3848" max="3849" width="20.453125" style="12" customWidth="1"/>
    <col min="3850" max="3850" width="12.81640625" style="12" bestFit="1" customWidth="1"/>
    <col min="3851" max="3851" width="26" style="12" bestFit="1" customWidth="1"/>
    <col min="3852" max="3852" width="12.81640625" style="12" bestFit="1" customWidth="1"/>
    <col min="3853" max="3853" width="62.81640625" style="12" customWidth="1"/>
    <col min="3854" max="3855" width="14.453125" style="12" customWidth="1"/>
    <col min="3856" max="3856" width="15.453125" style="12" bestFit="1" customWidth="1"/>
    <col min="3857" max="3858" width="14.453125" style="12" customWidth="1"/>
    <col min="3859" max="3859" width="15.453125" style="12" bestFit="1" customWidth="1"/>
    <col min="3860" max="3860" width="35.453125" style="12" customWidth="1"/>
    <col min="3861" max="3861" width="15.453125" style="12" bestFit="1" customWidth="1"/>
    <col min="3862" max="3862" width="13.453125" style="12" bestFit="1" customWidth="1"/>
    <col min="3863" max="3863" width="12" style="12" bestFit="1" customWidth="1"/>
    <col min="3864" max="3864" width="11.453125" style="12" customWidth="1"/>
    <col min="3865" max="3865" width="12.453125" style="12" bestFit="1" customWidth="1"/>
    <col min="3866" max="4102" width="11.453125" style="12"/>
    <col min="4103" max="4103" width="25.453125" style="12" customWidth="1"/>
    <col min="4104" max="4105" width="20.453125" style="12" customWidth="1"/>
    <col min="4106" max="4106" width="12.81640625" style="12" bestFit="1" customWidth="1"/>
    <col min="4107" max="4107" width="26" style="12" bestFit="1" customWidth="1"/>
    <col min="4108" max="4108" width="12.81640625" style="12" bestFit="1" customWidth="1"/>
    <col min="4109" max="4109" width="62.81640625" style="12" customWidth="1"/>
    <col min="4110" max="4111" width="14.453125" style="12" customWidth="1"/>
    <col min="4112" max="4112" width="15.453125" style="12" bestFit="1" customWidth="1"/>
    <col min="4113" max="4114" width="14.453125" style="12" customWidth="1"/>
    <col min="4115" max="4115" width="15.453125" style="12" bestFit="1" customWidth="1"/>
    <col min="4116" max="4116" width="35.453125" style="12" customWidth="1"/>
    <col min="4117" max="4117" width="15.453125" style="12" bestFit="1" customWidth="1"/>
    <col min="4118" max="4118" width="13.453125" style="12" bestFit="1" customWidth="1"/>
    <col min="4119" max="4119" width="12" style="12" bestFit="1" customWidth="1"/>
    <col min="4120" max="4120" width="11.453125" style="12" customWidth="1"/>
    <col min="4121" max="4121" width="12.453125" style="12" bestFit="1" customWidth="1"/>
    <col min="4122" max="4358" width="11.453125" style="12"/>
    <col min="4359" max="4359" width="25.453125" style="12" customWidth="1"/>
    <col min="4360" max="4361" width="20.453125" style="12" customWidth="1"/>
    <col min="4362" max="4362" width="12.81640625" style="12" bestFit="1" customWidth="1"/>
    <col min="4363" max="4363" width="26" style="12" bestFit="1" customWidth="1"/>
    <col min="4364" max="4364" width="12.81640625" style="12" bestFit="1" customWidth="1"/>
    <col min="4365" max="4365" width="62.81640625" style="12" customWidth="1"/>
    <col min="4366" max="4367" width="14.453125" style="12" customWidth="1"/>
    <col min="4368" max="4368" width="15.453125" style="12" bestFit="1" customWidth="1"/>
    <col min="4369" max="4370" width="14.453125" style="12" customWidth="1"/>
    <col min="4371" max="4371" width="15.453125" style="12" bestFit="1" customWidth="1"/>
    <col min="4372" max="4372" width="35.453125" style="12" customWidth="1"/>
    <col min="4373" max="4373" width="15.453125" style="12" bestFit="1" customWidth="1"/>
    <col min="4374" max="4374" width="13.453125" style="12" bestFit="1" customWidth="1"/>
    <col min="4375" max="4375" width="12" style="12" bestFit="1" customWidth="1"/>
    <col min="4376" max="4376" width="11.453125" style="12" customWidth="1"/>
    <col min="4377" max="4377" width="12.453125" style="12" bestFit="1" customWidth="1"/>
    <col min="4378" max="4614" width="11.453125" style="12"/>
    <col min="4615" max="4615" width="25.453125" style="12" customWidth="1"/>
    <col min="4616" max="4617" width="20.453125" style="12" customWidth="1"/>
    <col min="4618" max="4618" width="12.81640625" style="12" bestFit="1" customWidth="1"/>
    <col min="4619" max="4619" width="26" style="12" bestFit="1" customWidth="1"/>
    <col min="4620" max="4620" width="12.81640625" style="12" bestFit="1" customWidth="1"/>
    <col min="4621" max="4621" width="62.81640625" style="12" customWidth="1"/>
    <col min="4622" max="4623" width="14.453125" style="12" customWidth="1"/>
    <col min="4624" max="4624" width="15.453125" style="12" bestFit="1" customWidth="1"/>
    <col min="4625" max="4626" width="14.453125" style="12" customWidth="1"/>
    <col min="4627" max="4627" width="15.453125" style="12" bestFit="1" customWidth="1"/>
    <col min="4628" max="4628" width="35.453125" style="12" customWidth="1"/>
    <col min="4629" max="4629" width="15.453125" style="12" bestFit="1" customWidth="1"/>
    <col min="4630" max="4630" width="13.453125" style="12" bestFit="1" customWidth="1"/>
    <col min="4631" max="4631" width="12" style="12" bestFit="1" customWidth="1"/>
    <col min="4632" max="4632" width="11.453125" style="12" customWidth="1"/>
    <col min="4633" max="4633" width="12.453125" style="12" bestFit="1" customWidth="1"/>
    <col min="4634" max="4870" width="11.453125" style="12"/>
    <col min="4871" max="4871" width="25.453125" style="12" customWidth="1"/>
    <col min="4872" max="4873" width="20.453125" style="12" customWidth="1"/>
    <col min="4874" max="4874" width="12.81640625" style="12" bestFit="1" customWidth="1"/>
    <col min="4875" max="4875" width="26" style="12" bestFit="1" customWidth="1"/>
    <col min="4876" max="4876" width="12.81640625" style="12" bestFit="1" customWidth="1"/>
    <col min="4877" max="4877" width="62.81640625" style="12" customWidth="1"/>
    <col min="4878" max="4879" width="14.453125" style="12" customWidth="1"/>
    <col min="4880" max="4880" width="15.453125" style="12" bestFit="1" customWidth="1"/>
    <col min="4881" max="4882" width="14.453125" style="12" customWidth="1"/>
    <col min="4883" max="4883" width="15.453125" style="12" bestFit="1" customWidth="1"/>
    <col min="4884" max="4884" width="35.453125" style="12" customWidth="1"/>
    <col min="4885" max="4885" width="15.453125" style="12" bestFit="1" customWidth="1"/>
    <col min="4886" max="4886" width="13.453125" style="12" bestFit="1" customWidth="1"/>
    <col min="4887" max="4887" width="12" style="12" bestFit="1" customWidth="1"/>
    <col min="4888" max="4888" width="11.453125" style="12" customWidth="1"/>
    <col min="4889" max="4889" width="12.453125" style="12" bestFit="1" customWidth="1"/>
    <col min="4890" max="5126" width="11.453125" style="12"/>
    <col min="5127" max="5127" width="25.453125" style="12" customWidth="1"/>
    <col min="5128" max="5129" width="20.453125" style="12" customWidth="1"/>
    <col min="5130" max="5130" width="12.81640625" style="12" bestFit="1" customWidth="1"/>
    <col min="5131" max="5131" width="26" style="12" bestFit="1" customWidth="1"/>
    <col min="5132" max="5132" width="12.81640625" style="12" bestFit="1" customWidth="1"/>
    <col min="5133" max="5133" width="62.81640625" style="12" customWidth="1"/>
    <col min="5134" max="5135" width="14.453125" style="12" customWidth="1"/>
    <col min="5136" max="5136" width="15.453125" style="12" bestFit="1" customWidth="1"/>
    <col min="5137" max="5138" width="14.453125" style="12" customWidth="1"/>
    <col min="5139" max="5139" width="15.453125" style="12" bestFit="1" customWidth="1"/>
    <col min="5140" max="5140" width="35.453125" style="12" customWidth="1"/>
    <col min="5141" max="5141" width="15.453125" style="12" bestFit="1" customWidth="1"/>
    <col min="5142" max="5142" width="13.453125" style="12" bestFit="1" customWidth="1"/>
    <col min="5143" max="5143" width="12" style="12" bestFit="1" customWidth="1"/>
    <col min="5144" max="5144" width="11.453125" style="12" customWidth="1"/>
    <col min="5145" max="5145" width="12.453125" style="12" bestFit="1" customWidth="1"/>
    <col min="5146" max="5382" width="11.453125" style="12"/>
    <col min="5383" max="5383" width="25.453125" style="12" customWidth="1"/>
    <col min="5384" max="5385" width="20.453125" style="12" customWidth="1"/>
    <col min="5386" max="5386" width="12.81640625" style="12" bestFit="1" customWidth="1"/>
    <col min="5387" max="5387" width="26" style="12" bestFit="1" customWidth="1"/>
    <col min="5388" max="5388" width="12.81640625" style="12" bestFit="1" customWidth="1"/>
    <col min="5389" max="5389" width="62.81640625" style="12" customWidth="1"/>
    <col min="5390" max="5391" width="14.453125" style="12" customWidth="1"/>
    <col min="5392" max="5392" width="15.453125" style="12" bestFit="1" customWidth="1"/>
    <col min="5393" max="5394" width="14.453125" style="12" customWidth="1"/>
    <col min="5395" max="5395" width="15.453125" style="12" bestFit="1" customWidth="1"/>
    <col min="5396" max="5396" width="35.453125" style="12" customWidth="1"/>
    <col min="5397" max="5397" width="15.453125" style="12" bestFit="1" customWidth="1"/>
    <col min="5398" max="5398" width="13.453125" style="12" bestFit="1" customWidth="1"/>
    <col min="5399" max="5399" width="12" style="12" bestFit="1" customWidth="1"/>
    <col min="5400" max="5400" width="11.453125" style="12" customWidth="1"/>
    <col min="5401" max="5401" width="12.453125" style="12" bestFit="1" customWidth="1"/>
    <col min="5402" max="5638" width="11.453125" style="12"/>
    <col min="5639" max="5639" width="25.453125" style="12" customWidth="1"/>
    <col min="5640" max="5641" width="20.453125" style="12" customWidth="1"/>
    <col min="5642" max="5642" width="12.81640625" style="12" bestFit="1" customWidth="1"/>
    <col min="5643" max="5643" width="26" style="12" bestFit="1" customWidth="1"/>
    <col min="5644" max="5644" width="12.81640625" style="12" bestFit="1" customWidth="1"/>
    <col min="5645" max="5645" width="62.81640625" style="12" customWidth="1"/>
    <col min="5646" max="5647" width="14.453125" style="12" customWidth="1"/>
    <col min="5648" max="5648" width="15.453125" style="12" bestFit="1" customWidth="1"/>
    <col min="5649" max="5650" width="14.453125" style="12" customWidth="1"/>
    <col min="5651" max="5651" width="15.453125" style="12" bestFit="1" customWidth="1"/>
    <col min="5652" max="5652" width="35.453125" style="12" customWidth="1"/>
    <col min="5653" max="5653" width="15.453125" style="12" bestFit="1" customWidth="1"/>
    <col min="5654" max="5654" width="13.453125" style="12" bestFit="1" customWidth="1"/>
    <col min="5655" max="5655" width="12" style="12" bestFit="1" customWidth="1"/>
    <col min="5656" max="5656" width="11.453125" style="12" customWidth="1"/>
    <col min="5657" max="5657" width="12.453125" style="12" bestFit="1" customWidth="1"/>
    <col min="5658" max="5894" width="11.453125" style="12"/>
    <col min="5895" max="5895" width="25.453125" style="12" customWidth="1"/>
    <col min="5896" max="5897" width="20.453125" style="12" customWidth="1"/>
    <col min="5898" max="5898" width="12.81640625" style="12" bestFit="1" customWidth="1"/>
    <col min="5899" max="5899" width="26" style="12" bestFit="1" customWidth="1"/>
    <col min="5900" max="5900" width="12.81640625" style="12" bestFit="1" customWidth="1"/>
    <col min="5901" max="5901" width="62.81640625" style="12" customWidth="1"/>
    <col min="5902" max="5903" width="14.453125" style="12" customWidth="1"/>
    <col min="5904" max="5904" width="15.453125" style="12" bestFit="1" customWidth="1"/>
    <col min="5905" max="5906" width="14.453125" style="12" customWidth="1"/>
    <col min="5907" max="5907" width="15.453125" style="12" bestFit="1" customWidth="1"/>
    <col min="5908" max="5908" width="35.453125" style="12" customWidth="1"/>
    <col min="5909" max="5909" width="15.453125" style="12" bestFit="1" customWidth="1"/>
    <col min="5910" max="5910" width="13.453125" style="12" bestFit="1" customWidth="1"/>
    <col min="5911" max="5911" width="12" style="12" bestFit="1" customWidth="1"/>
    <col min="5912" max="5912" width="11.453125" style="12" customWidth="1"/>
    <col min="5913" max="5913" width="12.453125" style="12" bestFit="1" customWidth="1"/>
    <col min="5914" max="6150" width="11.453125" style="12"/>
    <col min="6151" max="6151" width="25.453125" style="12" customWidth="1"/>
    <col min="6152" max="6153" width="20.453125" style="12" customWidth="1"/>
    <col min="6154" max="6154" width="12.81640625" style="12" bestFit="1" customWidth="1"/>
    <col min="6155" max="6155" width="26" style="12" bestFit="1" customWidth="1"/>
    <col min="6156" max="6156" width="12.81640625" style="12" bestFit="1" customWidth="1"/>
    <col min="6157" max="6157" width="62.81640625" style="12" customWidth="1"/>
    <col min="6158" max="6159" width="14.453125" style="12" customWidth="1"/>
    <col min="6160" max="6160" width="15.453125" style="12" bestFit="1" customWidth="1"/>
    <col min="6161" max="6162" width="14.453125" style="12" customWidth="1"/>
    <col min="6163" max="6163" width="15.453125" style="12" bestFit="1" customWidth="1"/>
    <col min="6164" max="6164" width="35.453125" style="12" customWidth="1"/>
    <col min="6165" max="6165" width="15.453125" style="12" bestFit="1" customWidth="1"/>
    <col min="6166" max="6166" width="13.453125" style="12" bestFit="1" customWidth="1"/>
    <col min="6167" max="6167" width="12" style="12" bestFit="1" customWidth="1"/>
    <col min="6168" max="6168" width="11.453125" style="12" customWidth="1"/>
    <col min="6169" max="6169" width="12.453125" style="12" bestFit="1" customWidth="1"/>
    <col min="6170" max="6406" width="11.453125" style="12"/>
    <col min="6407" max="6407" width="25.453125" style="12" customWidth="1"/>
    <col min="6408" max="6409" width="20.453125" style="12" customWidth="1"/>
    <col min="6410" max="6410" width="12.81640625" style="12" bestFit="1" customWidth="1"/>
    <col min="6411" max="6411" width="26" style="12" bestFit="1" customWidth="1"/>
    <col min="6412" max="6412" width="12.81640625" style="12" bestFit="1" customWidth="1"/>
    <col min="6413" max="6413" width="62.81640625" style="12" customWidth="1"/>
    <col min="6414" max="6415" width="14.453125" style="12" customWidth="1"/>
    <col min="6416" max="6416" width="15.453125" style="12" bestFit="1" customWidth="1"/>
    <col min="6417" max="6418" width="14.453125" style="12" customWidth="1"/>
    <col min="6419" max="6419" width="15.453125" style="12" bestFit="1" customWidth="1"/>
    <col min="6420" max="6420" width="35.453125" style="12" customWidth="1"/>
    <col min="6421" max="6421" width="15.453125" style="12" bestFit="1" customWidth="1"/>
    <col min="6422" max="6422" width="13.453125" style="12" bestFit="1" customWidth="1"/>
    <col min="6423" max="6423" width="12" style="12" bestFit="1" customWidth="1"/>
    <col min="6424" max="6424" width="11.453125" style="12" customWidth="1"/>
    <col min="6425" max="6425" width="12.453125" style="12" bestFit="1" customWidth="1"/>
    <col min="6426" max="6662" width="11.453125" style="12"/>
    <col min="6663" max="6663" width="25.453125" style="12" customWidth="1"/>
    <col min="6664" max="6665" width="20.453125" style="12" customWidth="1"/>
    <col min="6666" max="6666" width="12.81640625" style="12" bestFit="1" customWidth="1"/>
    <col min="6667" max="6667" width="26" style="12" bestFit="1" customWidth="1"/>
    <col min="6668" max="6668" width="12.81640625" style="12" bestFit="1" customWidth="1"/>
    <col min="6669" max="6669" width="62.81640625" style="12" customWidth="1"/>
    <col min="6670" max="6671" width="14.453125" style="12" customWidth="1"/>
    <col min="6672" max="6672" width="15.453125" style="12" bestFit="1" customWidth="1"/>
    <col min="6673" max="6674" width="14.453125" style="12" customWidth="1"/>
    <col min="6675" max="6675" width="15.453125" style="12" bestFit="1" customWidth="1"/>
    <col min="6676" max="6676" width="35.453125" style="12" customWidth="1"/>
    <col min="6677" max="6677" width="15.453125" style="12" bestFit="1" customWidth="1"/>
    <col min="6678" max="6678" width="13.453125" style="12" bestFit="1" customWidth="1"/>
    <col min="6679" max="6679" width="12" style="12" bestFit="1" customWidth="1"/>
    <col min="6680" max="6680" width="11.453125" style="12" customWidth="1"/>
    <col min="6681" max="6681" width="12.453125" style="12" bestFit="1" customWidth="1"/>
    <col min="6682" max="6918" width="11.453125" style="12"/>
    <col min="6919" max="6919" width="25.453125" style="12" customWidth="1"/>
    <col min="6920" max="6921" width="20.453125" style="12" customWidth="1"/>
    <col min="6922" max="6922" width="12.81640625" style="12" bestFit="1" customWidth="1"/>
    <col min="6923" max="6923" width="26" style="12" bestFit="1" customWidth="1"/>
    <col min="6924" max="6924" width="12.81640625" style="12" bestFit="1" customWidth="1"/>
    <col min="6925" max="6925" width="62.81640625" style="12" customWidth="1"/>
    <col min="6926" max="6927" width="14.453125" style="12" customWidth="1"/>
    <col min="6928" max="6928" width="15.453125" style="12" bestFit="1" customWidth="1"/>
    <col min="6929" max="6930" width="14.453125" style="12" customWidth="1"/>
    <col min="6931" max="6931" width="15.453125" style="12" bestFit="1" customWidth="1"/>
    <col min="6932" max="6932" width="35.453125" style="12" customWidth="1"/>
    <col min="6933" max="6933" width="15.453125" style="12" bestFit="1" customWidth="1"/>
    <col min="6934" max="6934" width="13.453125" style="12" bestFit="1" customWidth="1"/>
    <col min="6935" max="6935" width="12" style="12" bestFit="1" customWidth="1"/>
    <col min="6936" max="6936" width="11.453125" style="12" customWidth="1"/>
    <col min="6937" max="6937" width="12.453125" style="12" bestFit="1" customWidth="1"/>
    <col min="6938" max="7174" width="11.453125" style="12"/>
    <col min="7175" max="7175" width="25.453125" style="12" customWidth="1"/>
    <col min="7176" max="7177" width="20.453125" style="12" customWidth="1"/>
    <col min="7178" max="7178" width="12.81640625" style="12" bestFit="1" customWidth="1"/>
    <col min="7179" max="7179" width="26" style="12" bestFit="1" customWidth="1"/>
    <col min="7180" max="7180" width="12.81640625" style="12" bestFit="1" customWidth="1"/>
    <col min="7181" max="7181" width="62.81640625" style="12" customWidth="1"/>
    <col min="7182" max="7183" width="14.453125" style="12" customWidth="1"/>
    <col min="7184" max="7184" width="15.453125" style="12" bestFit="1" customWidth="1"/>
    <col min="7185" max="7186" width="14.453125" style="12" customWidth="1"/>
    <col min="7187" max="7187" width="15.453125" style="12" bestFit="1" customWidth="1"/>
    <col min="7188" max="7188" width="35.453125" style="12" customWidth="1"/>
    <col min="7189" max="7189" width="15.453125" style="12" bestFit="1" customWidth="1"/>
    <col min="7190" max="7190" width="13.453125" style="12" bestFit="1" customWidth="1"/>
    <col min="7191" max="7191" width="12" style="12" bestFit="1" customWidth="1"/>
    <col min="7192" max="7192" width="11.453125" style="12" customWidth="1"/>
    <col min="7193" max="7193" width="12.453125" style="12" bestFit="1" customWidth="1"/>
    <col min="7194" max="7430" width="11.453125" style="12"/>
    <col min="7431" max="7431" width="25.453125" style="12" customWidth="1"/>
    <col min="7432" max="7433" width="20.453125" style="12" customWidth="1"/>
    <col min="7434" max="7434" width="12.81640625" style="12" bestFit="1" customWidth="1"/>
    <col min="7435" max="7435" width="26" style="12" bestFit="1" customWidth="1"/>
    <col min="7436" max="7436" width="12.81640625" style="12" bestFit="1" customWidth="1"/>
    <col min="7437" max="7437" width="62.81640625" style="12" customWidth="1"/>
    <col min="7438" max="7439" width="14.453125" style="12" customWidth="1"/>
    <col min="7440" max="7440" width="15.453125" style="12" bestFit="1" customWidth="1"/>
    <col min="7441" max="7442" width="14.453125" style="12" customWidth="1"/>
    <col min="7443" max="7443" width="15.453125" style="12" bestFit="1" customWidth="1"/>
    <col min="7444" max="7444" width="35.453125" style="12" customWidth="1"/>
    <col min="7445" max="7445" width="15.453125" style="12" bestFit="1" customWidth="1"/>
    <col min="7446" max="7446" width="13.453125" style="12" bestFit="1" customWidth="1"/>
    <col min="7447" max="7447" width="12" style="12" bestFit="1" customWidth="1"/>
    <col min="7448" max="7448" width="11.453125" style="12" customWidth="1"/>
    <col min="7449" max="7449" width="12.453125" style="12" bestFit="1" customWidth="1"/>
    <col min="7450" max="7686" width="11.453125" style="12"/>
    <col min="7687" max="7687" width="25.453125" style="12" customWidth="1"/>
    <col min="7688" max="7689" width="20.453125" style="12" customWidth="1"/>
    <col min="7690" max="7690" width="12.81640625" style="12" bestFit="1" customWidth="1"/>
    <col min="7691" max="7691" width="26" style="12" bestFit="1" customWidth="1"/>
    <col min="7692" max="7692" width="12.81640625" style="12" bestFit="1" customWidth="1"/>
    <col min="7693" max="7693" width="62.81640625" style="12" customWidth="1"/>
    <col min="7694" max="7695" width="14.453125" style="12" customWidth="1"/>
    <col min="7696" max="7696" width="15.453125" style="12" bestFit="1" customWidth="1"/>
    <col min="7697" max="7698" width="14.453125" style="12" customWidth="1"/>
    <col min="7699" max="7699" width="15.453125" style="12" bestFit="1" customWidth="1"/>
    <col min="7700" max="7700" width="35.453125" style="12" customWidth="1"/>
    <col min="7701" max="7701" width="15.453125" style="12" bestFit="1" customWidth="1"/>
    <col min="7702" max="7702" width="13.453125" style="12" bestFit="1" customWidth="1"/>
    <col min="7703" max="7703" width="12" style="12" bestFit="1" customWidth="1"/>
    <col min="7704" max="7704" width="11.453125" style="12" customWidth="1"/>
    <col min="7705" max="7705" width="12.453125" style="12" bestFit="1" customWidth="1"/>
    <col min="7706" max="7942" width="11.453125" style="12"/>
    <col min="7943" max="7943" width="25.453125" style="12" customWidth="1"/>
    <col min="7944" max="7945" width="20.453125" style="12" customWidth="1"/>
    <col min="7946" max="7946" width="12.81640625" style="12" bestFit="1" customWidth="1"/>
    <col min="7947" max="7947" width="26" style="12" bestFit="1" customWidth="1"/>
    <col min="7948" max="7948" width="12.81640625" style="12" bestFit="1" customWidth="1"/>
    <col min="7949" max="7949" width="62.81640625" style="12" customWidth="1"/>
    <col min="7950" max="7951" width="14.453125" style="12" customWidth="1"/>
    <col min="7952" max="7952" width="15.453125" style="12" bestFit="1" customWidth="1"/>
    <col min="7953" max="7954" width="14.453125" style="12" customWidth="1"/>
    <col min="7955" max="7955" width="15.453125" style="12" bestFit="1" customWidth="1"/>
    <col min="7956" max="7956" width="35.453125" style="12" customWidth="1"/>
    <col min="7957" max="7957" width="15.453125" style="12" bestFit="1" customWidth="1"/>
    <col min="7958" max="7958" width="13.453125" style="12" bestFit="1" customWidth="1"/>
    <col min="7959" max="7959" width="12" style="12" bestFit="1" customWidth="1"/>
    <col min="7960" max="7960" width="11.453125" style="12" customWidth="1"/>
    <col min="7961" max="7961" width="12.453125" style="12" bestFit="1" customWidth="1"/>
    <col min="7962" max="8198" width="11.453125" style="12"/>
    <col min="8199" max="8199" width="25.453125" style="12" customWidth="1"/>
    <col min="8200" max="8201" width="20.453125" style="12" customWidth="1"/>
    <col min="8202" max="8202" width="12.81640625" style="12" bestFit="1" customWidth="1"/>
    <col min="8203" max="8203" width="26" style="12" bestFit="1" customWidth="1"/>
    <col min="8204" max="8204" width="12.81640625" style="12" bestFit="1" customWidth="1"/>
    <col min="8205" max="8205" width="62.81640625" style="12" customWidth="1"/>
    <col min="8206" max="8207" width="14.453125" style="12" customWidth="1"/>
    <col min="8208" max="8208" width="15.453125" style="12" bestFit="1" customWidth="1"/>
    <col min="8209" max="8210" width="14.453125" style="12" customWidth="1"/>
    <col min="8211" max="8211" width="15.453125" style="12" bestFit="1" customWidth="1"/>
    <col min="8212" max="8212" width="35.453125" style="12" customWidth="1"/>
    <col min="8213" max="8213" width="15.453125" style="12" bestFit="1" customWidth="1"/>
    <col min="8214" max="8214" width="13.453125" style="12" bestFit="1" customWidth="1"/>
    <col min="8215" max="8215" width="12" style="12" bestFit="1" customWidth="1"/>
    <col min="8216" max="8216" width="11.453125" style="12" customWidth="1"/>
    <col min="8217" max="8217" width="12.453125" style="12" bestFit="1" customWidth="1"/>
    <col min="8218" max="8454" width="11.453125" style="12"/>
    <col min="8455" max="8455" width="25.453125" style="12" customWidth="1"/>
    <col min="8456" max="8457" width="20.453125" style="12" customWidth="1"/>
    <col min="8458" max="8458" width="12.81640625" style="12" bestFit="1" customWidth="1"/>
    <col min="8459" max="8459" width="26" style="12" bestFit="1" customWidth="1"/>
    <col min="8460" max="8460" width="12.81640625" style="12" bestFit="1" customWidth="1"/>
    <col min="8461" max="8461" width="62.81640625" style="12" customWidth="1"/>
    <col min="8462" max="8463" width="14.453125" style="12" customWidth="1"/>
    <col min="8464" max="8464" width="15.453125" style="12" bestFit="1" customWidth="1"/>
    <col min="8465" max="8466" width="14.453125" style="12" customWidth="1"/>
    <col min="8467" max="8467" width="15.453125" style="12" bestFit="1" customWidth="1"/>
    <col min="8468" max="8468" width="35.453125" style="12" customWidth="1"/>
    <col min="8469" max="8469" width="15.453125" style="12" bestFit="1" customWidth="1"/>
    <col min="8470" max="8470" width="13.453125" style="12" bestFit="1" customWidth="1"/>
    <col min="8471" max="8471" width="12" style="12" bestFit="1" customWidth="1"/>
    <col min="8472" max="8472" width="11.453125" style="12" customWidth="1"/>
    <col min="8473" max="8473" width="12.453125" style="12" bestFit="1" customWidth="1"/>
    <col min="8474" max="8710" width="11.453125" style="12"/>
    <col min="8711" max="8711" width="25.453125" style="12" customWidth="1"/>
    <col min="8712" max="8713" width="20.453125" style="12" customWidth="1"/>
    <col min="8714" max="8714" width="12.81640625" style="12" bestFit="1" customWidth="1"/>
    <col min="8715" max="8715" width="26" style="12" bestFit="1" customWidth="1"/>
    <col min="8716" max="8716" width="12.81640625" style="12" bestFit="1" customWidth="1"/>
    <col min="8717" max="8717" width="62.81640625" style="12" customWidth="1"/>
    <col min="8718" max="8719" width="14.453125" style="12" customWidth="1"/>
    <col min="8720" max="8720" width="15.453125" style="12" bestFit="1" customWidth="1"/>
    <col min="8721" max="8722" width="14.453125" style="12" customWidth="1"/>
    <col min="8723" max="8723" width="15.453125" style="12" bestFit="1" customWidth="1"/>
    <col min="8724" max="8724" width="35.453125" style="12" customWidth="1"/>
    <col min="8725" max="8725" width="15.453125" style="12" bestFit="1" customWidth="1"/>
    <col min="8726" max="8726" width="13.453125" style="12" bestFit="1" customWidth="1"/>
    <col min="8727" max="8727" width="12" style="12" bestFit="1" customWidth="1"/>
    <col min="8728" max="8728" width="11.453125" style="12" customWidth="1"/>
    <col min="8729" max="8729" width="12.453125" style="12" bestFit="1" customWidth="1"/>
    <col min="8730" max="8966" width="11.453125" style="12"/>
    <col min="8967" max="8967" width="25.453125" style="12" customWidth="1"/>
    <col min="8968" max="8969" width="20.453125" style="12" customWidth="1"/>
    <col min="8970" max="8970" width="12.81640625" style="12" bestFit="1" customWidth="1"/>
    <col min="8971" max="8971" width="26" style="12" bestFit="1" customWidth="1"/>
    <col min="8972" max="8972" width="12.81640625" style="12" bestFit="1" customWidth="1"/>
    <col min="8973" max="8973" width="62.81640625" style="12" customWidth="1"/>
    <col min="8974" max="8975" width="14.453125" style="12" customWidth="1"/>
    <col min="8976" max="8976" width="15.453125" style="12" bestFit="1" customWidth="1"/>
    <col min="8977" max="8978" width="14.453125" style="12" customWidth="1"/>
    <col min="8979" max="8979" width="15.453125" style="12" bestFit="1" customWidth="1"/>
    <col min="8980" max="8980" width="35.453125" style="12" customWidth="1"/>
    <col min="8981" max="8981" width="15.453125" style="12" bestFit="1" customWidth="1"/>
    <col min="8982" max="8982" width="13.453125" style="12" bestFit="1" customWidth="1"/>
    <col min="8983" max="8983" width="12" style="12" bestFit="1" customWidth="1"/>
    <col min="8984" max="8984" width="11.453125" style="12" customWidth="1"/>
    <col min="8985" max="8985" width="12.453125" style="12" bestFit="1" customWidth="1"/>
    <col min="8986" max="9222" width="11.453125" style="12"/>
    <col min="9223" max="9223" width="25.453125" style="12" customWidth="1"/>
    <col min="9224" max="9225" width="20.453125" style="12" customWidth="1"/>
    <col min="9226" max="9226" width="12.81640625" style="12" bestFit="1" customWidth="1"/>
    <col min="9227" max="9227" width="26" style="12" bestFit="1" customWidth="1"/>
    <col min="9228" max="9228" width="12.81640625" style="12" bestFit="1" customWidth="1"/>
    <col min="9229" max="9229" width="62.81640625" style="12" customWidth="1"/>
    <col min="9230" max="9231" width="14.453125" style="12" customWidth="1"/>
    <col min="9232" max="9232" width="15.453125" style="12" bestFit="1" customWidth="1"/>
    <col min="9233" max="9234" width="14.453125" style="12" customWidth="1"/>
    <col min="9235" max="9235" width="15.453125" style="12" bestFit="1" customWidth="1"/>
    <col min="9236" max="9236" width="35.453125" style="12" customWidth="1"/>
    <col min="9237" max="9237" width="15.453125" style="12" bestFit="1" customWidth="1"/>
    <col min="9238" max="9238" width="13.453125" style="12" bestFit="1" customWidth="1"/>
    <col min="9239" max="9239" width="12" style="12" bestFit="1" customWidth="1"/>
    <col min="9240" max="9240" width="11.453125" style="12" customWidth="1"/>
    <col min="9241" max="9241" width="12.453125" style="12" bestFit="1" customWidth="1"/>
    <col min="9242" max="9478" width="11.453125" style="12"/>
    <col min="9479" max="9479" width="25.453125" style="12" customWidth="1"/>
    <col min="9480" max="9481" width="20.453125" style="12" customWidth="1"/>
    <col min="9482" max="9482" width="12.81640625" style="12" bestFit="1" customWidth="1"/>
    <col min="9483" max="9483" width="26" style="12" bestFit="1" customWidth="1"/>
    <col min="9484" max="9484" width="12.81640625" style="12" bestFit="1" customWidth="1"/>
    <col min="9485" max="9485" width="62.81640625" style="12" customWidth="1"/>
    <col min="9486" max="9487" width="14.453125" style="12" customWidth="1"/>
    <col min="9488" max="9488" width="15.453125" style="12" bestFit="1" customWidth="1"/>
    <col min="9489" max="9490" width="14.453125" style="12" customWidth="1"/>
    <col min="9491" max="9491" width="15.453125" style="12" bestFit="1" customWidth="1"/>
    <col min="9492" max="9492" width="35.453125" style="12" customWidth="1"/>
    <col min="9493" max="9493" width="15.453125" style="12" bestFit="1" customWidth="1"/>
    <col min="9494" max="9494" width="13.453125" style="12" bestFit="1" customWidth="1"/>
    <col min="9495" max="9495" width="12" style="12" bestFit="1" customWidth="1"/>
    <col min="9496" max="9496" width="11.453125" style="12" customWidth="1"/>
    <col min="9497" max="9497" width="12.453125" style="12" bestFit="1" customWidth="1"/>
    <col min="9498" max="9734" width="11.453125" style="12"/>
    <col min="9735" max="9735" width="25.453125" style="12" customWidth="1"/>
    <col min="9736" max="9737" width="20.453125" style="12" customWidth="1"/>
    <col min="9738" max="9738" width="12.81640625" style="12" bestFit="1" customWidth="1"/>
    <col min="9739" max="9739" width="26" style="12" bestFit="1" customWidth="1"/>
    <col min="9740" max="9740" width="12.81640625" style="12" bestFit="1" customWidth="1"/>
    <col min="9741" max="9741" width="62.81640625" style="12" customWidth="1"/>
    <col min="9742" max="9743" width="14.453125" style="12" customWidth="1"/>
    <col min="9744" max="9744" width="15.453125" style="12" bestFit="1" customWidth="1"/>
    <col min="9745" max="9746" width="14.453125" style="12" customWidth="1"/>
    <col min="9747" max="9747" width="15.453125" style="12" bestFit="1" customWidth="1"/>
    <col min="9748" max="9748" width="35.453125" style="12" customWidth="1"/>
    <col min="9749" max="9749" width="15.453125" style="12" bestFit="1" customWidth="1"/>
    <col min="9750" max="9750" width="13.453125" style="12" bestFit="1" customWidth="1"/>
    <col min="9751" max="9751" width="12" style="12" bestFit="1" customWidth="1"/>
    <col min="9752" max="9752" width="11.453125" style="12" customWidth="1"/>
    <col min="9753" max="9753" width="12.453125" style="12" bestFit="1" customWidth="1"/>
    <col min="9754" max="9990" width="11.453125" style="12"/>
    <col min="9991" max="9991" width="25.453125" style="12" customWidth="1"/>
    <col min="9992" max="9993" width="20.453125" style="12" customWidth="1"/>
    <col min="9994" max="9994" width="12.81640625" style="12" bestFit="1" customWidth="1"/>
    <col min="9995" max="9995" width="26" style="12" bestFit="1" customWidth="1"/>
    <col min="9996" max="9996" width="12.81640625" style="12" bestFit="1" customWidth="1"/>
    <col min="9997" max="9997" width="62.81640625" style="12" customWidth="1"/>
    <col min="9998" max="9999" width="14.453125" style="12" customWidth="1"/>
    <col min="10000" max="10000" width="15.453125" style="12" bestFit="1" customWidth="1"/>
    <col min="10001" max="10002" width="14.453125" style="12" customWidth="1"/>
    <col min="10003" max="10003" width="15.453125" style="12" bestFit="1" customWidth="1"/>
    <col min="10004" max="10004" width="35.453125" style="12" customWidth="1"/>
    <col min="10005" max="10005" width="15.453125" style="12" bestFit="1" customWidth="1"/>
    <col min="10006" max="10006" width="13.453125" style="12" bestFit="1" customWidth="1"/>
    <col min="10007" max="10007" width="12" style="12" bestFit="1" customWidth="1"/>
    <col min="10008" max="10008" width="11.453125" style="12" customWidth="1"/>
    <col min="10009" max="10009" width="12.453125" style="12" bestFit="1" customWidth="1"/>
    <col min="10010" max="10246" width="11.453125" style="12"/>
    <col min="10247" max="10247" width="25.453125" style="12" customWidth="1"/>
    <col min="10248" max="10249" width="20.453125" style="12" customWidth="1"/>
    <col min="10250" max="10250" width="12.81640625" style="12" bestFit="1" customWidth="1"/>
    <col min="10251" max="10251" width="26" style="12" bestFit="1" customWidth="1"/>
    <col min="10252" max="10252" width="12.81640625" style="12" bestFit="1" customWidth="1"/>
    <col min="10253" max="10253" width="62.81640625" style="12" customWidth="1"/>
    <col min="10254" max="10255" width="14.453125" style="12" customWidth="1"/>
    <col min="10256" max="10256" width="15.453125" style="12" bestFit="1" customWidth="1"/>
    <col min="10257" max="10258" width="14.453125" style="12" customWidth="1"/>
    <col min="10259" max="10259" width="15.453125" style="12" bestFit="1" customWidth="1"/>
    <col min="10260" max="10260" width="35.453125" style="12" customWidth="1"/>
    <col min="10261" max="10261" width="15.453125" style="12" bestFit="1" customWidth="1"/>
    <col min="10262" max="10262" width="13.453125" style="12" bestFit="1" customWidth="1"/>
    <col min="10263" max="10263" width="12" style="12" bestFit="1" customWidth="1"/>
    <col min="10264" max="10264" width="11.453125" style="12" customWidth="1"/>
    <col min="10265" max="10265" width="12.453125" style="12" bestFit="1" customWidth="1"/>
    <col min="10266" max="10502" width="11.453125" style="12"/>
    <col min="10503" max="10503" width="25.453125" style="12" customWidth="1"/>
    <col min="10504" max="10505" width="20.453125" style="12" customWidth="1"/>
    <col min="10506" max="10506" width="12.81640625" style="12" bestFit="1" customWidth="1"/>
    <col min="10507" max="10507" width="26" style="12" bestFit="1" customWidth="1"/>
    <col min="10508" max="10508" width="12.81640625" style="12" bestFit="1" customWidth="1"/>
    <col min="10509" max="10509" width="62.81640625" style="12" customWidth="1"/>
    <col min="10510" max="10511" width="14.453125" style="12" customWidth="1"/>
    <col min="10512" max="10512" width="15.453125" style="12" bestFit="1" customWidth="1"/>
    <col min="10513" max="10514" width="14.453125" style="12" customWidth="1"/>
    <col min="10515" max="10515" width="15.453125" style="12" bestFit="1" customWidth="1"/>
    <col min="10516" max="10516" width="35.453125" style="12" customWidth="1"/>
    <col min="10517" max="10517" width="15.453125" style="12" bestFit="1" customWidth="1"/>
    <col min="10518" max="10518" width="13.453125" style="12" bestFit="1" customWidth="1"/>
    <col min="10519" max="10519" width="12" style="12" bestFit="1" customWidth="1"/>
    <col min="10520" max="10520" width="11.453125" style="12" customWidth="1"/>
    <col min="10521" max="10521" width="12.453125" style="12" bestFit="1" customWidth="1"/>
    <col min="10522" max="10758" width="11.453125" style="12"/>
    <col min="10759" max="10759" width="25.453125" style="12" customWidth="1"/>
    <col min="10760" max="10761" width="20.453125" style="12" customWidth="1"/>
    <col min="10762" max="10762" width="12.81640625" style="12" bestFit="1" customWidth="1"/>
    <col min="10763" max="10763" width="26" style="12" bestFit="1" customWidth="1"/>
    <col min="10764" max="10764" width="12.81640625" style="12" bestFit="1" customWidth="1"/>
    <col min="10765" max="10765" width="62.81640625" style="12" customWidth="1"/>
    <col min="10766" max="10767" width="14.453125" style="12" customWidth="1"/>
    <col min="10768" max="10768" width="15.453125" style="12" bestFit="1" customWidth="1"/>
    <col min="10769" max="10770" width="14.453125" style="12" customWidth="1"/>
    <col min="10771" max="10771" width="15.453125" style="12" bestFit="1" customWidth="1"/>
    <col min="10772" max="10772" width="35.453125" style="12" customWidth="1"/>
    <col min="10773" max="10773" width="15.453125" style="12" bestFit="1" customWidth="1"/>
    <col min="10774" max="10774" width="13.453125" style="12" bestFit="1" customWidth="1"/>
    <col min="10775" max="10775" width="12" style="12" bestFit="1" customWidth="1"/>
    <col min="10776" max="10776" width="11.453125" style="12" customWidth="1"/>
    <col min="10777" max="10777" width="12.453125" style="12" bestFit="1" customWidth="1"/>
    <col min="10778" max="11014" width="11.453125" style="12"/>
    <col min="11015" max="11015" width="25.453125" style="12" customWidth="1"/>
    <col min="11016" max="11017" width="20.453125" style="12" customWidth="1"/>
    <col min="11018" max="11018" width="12.81640625" style="12" bestFit="1" customWidth="1"/>
    <col min="11019" max="11019" width="26" style="12" bestFit="1" customWidth="1"/>
    <col min="11020" max="11020" width="12.81640625" style="12" bestFit="1" customWidth="1"/>
    <col min="11021" max="11021" width="62.81640625" style="12" customWidth="1"/>
    <col min="11022" max="11023" width="14.453125" style="12" customWidth="1"/>
    <col min="11024" max="11024" width="15.453125" style="12" bestFit="1" customWidth="1"/>
    <col min="11025" max="11026" width="14.453125" style="12" customWidth="1"/>
    <col min="11027" max="11027" width="15.453125" style="12" bestFit="1" customWidth="1"/>
    <col min="11028" max="11028" width="35.453125" style="12" customWidth="1"/>
    <col min="11029" max="11029" width="15.453125" style="12" bestFit="1" customWidth="1"/>
    <col min="11030" max="11030" width="13.453125" style="12" bestFit="1" customWidth="1"/>
    <col min="11031" max="11031" width="12" style="12" bestFit="1" customWidth="1"/>
    <col min="11032" max="11032" width="11.453125" style="12" customWidth="1"/>
    <col min="11033" max="11033" width="12.453125" style="12" bestFit="1" customWidth="1"/>
    <col min="11034" max="11270" width="11.453125" style="12"/>
    <col min="11271" max="11271" width="25.453125" style="12" customWidth="1"/>
    <col min="11272" max="11273" width="20.453125" style="12" customWidth="1"/>
    <col min="11274" max="11274" width="12.81640625" style="12" bestFit="1" customWidth="1"/>
    <col min="11275" max="11275" width="26" style="12" bestFit="1" customWidth="1"/>
    <col min="11276" max="11276" width="12.81640625" style="12" bestFit="1" customWidth="1"/>
    <col min="11277" max="11277" width="62.81640625" style="12" customWidth="1"/>
    <col min="11278" max="11279" width="14.453125" style="12" customWidth="1"/>
    <col min="11280" max="11280" width="15.453125" style="12" bestFit="1" customWidth="1"/>
    <col min="11281" max="11282" width="14.453125" style="12" customWidth="1"/>
    <col min="11283" max="11283" width="15.453125" style="12" bestFit="1" customWidth="1"/>
    <col min="11284" max="11284" width="35.453125" style="12" customWidth="1"/>
    <col min="11285" max="11285" width="15.453125" style="12" bestFit="1" customWidth="1"/>
    <col min="11286" max="11286" width="13.453125" style="12" bestFit="1" customWidth="1"/>
    <col min="11287" max="11287" width="12" style="12" bestFit="1" customWidth="1"/>
    <col min="11288" max="11288" width="11.453125" style="12" customWidth="1"/>
    <col min="11289" max="11289" width="12.453125" style="12" bestFit="1" customWidth="1"/>
    <col min="11290" max="11526" width="11.453125" style="12"/>
    <col min="11527" max="11527" width="25.453125" style="12" customWidth="1"/>
    <col min="11528" max="11529" width="20.453125" style="12" customWidth="1"/>
    <col min="11530" max="11530" width="12.81640625" style="12" bestFit="1" customWidth="1"/>
    <col min="11531" max="11531" width="26" style="12" bestFit="1" customWidth="1"/>
    <col min="11532" max="11532" width="12.81640625" style="12" bestFit="1" customWidth="1"/>
    <col min="11533" max="11533" width="62.81640625" style="12" customWidth="1"/>
    <col min="11534" max="11535" width="14.453125" style="12" customWidth="1"/>
    <col min="11536" max="11536" width="15.453125" style="12" bestFit="1" customWidth="1"/>
    <col min="11537" max="11538" width="14.453125" style="12" customWidth="1"/>
    <col min="11539" max="11539" width="15.453125" style="12" bestFit="1" customWidth="1"/>
    <col min="11540" max="11540" width="35.453125" style="12" customWidth="1"/>
    <col min="11541" max="11541" width="15.453125" style="12" bestFit="1" customWidth="1"/>
    <col min="11542" max="11542" width="13.453125" style="12" bestFit="1" customWidth="1"/>
    <col min="11543" max="11543" width="12" style="12" bestFit="1" customWidth="1"/>
    <col min="11544" max="11544" width="11.453125" style="12" customWidth="1"/>
    <col min="11545" max="11545" width="12.453125" style="12" bestFit="1" customWidth="1"/>
    <col min="11546" max="11782" width="11.453125" style="12"/>
    <col min="11783" max="11783" width="25.453125" style="12" customWidth="1"/>
    <col min="11784" max="11785" width="20.453125" style="12" customWidth="1"/>
    <col min="11786" max="11786" width="12.81640625" style="12" bestFit="1" customWidth="1"/>
    <col min="11787" max="11787" width="26" style="12" bestFit="1" customWidth="1"/>
    <col min="11788" max="11788" width="12.81640625" style="12" bestFit="1" customWidth="1"/>
    <col min="11789" max="11789" width="62.81640625" style="12" customWidth="1"/>
    <col min="11790" max="11791" width="14.453125" style="12" customWidth="1"/>
    <col min="11792" max="11792" width="15.453125" style="12" bestFit="1" customWidth="1"/>
    <col min="11793" max="11794" width="14.453125" style="12" customWidth="1"/>
    <col min="11795" max="11795" width="15.453125" style="12" bestFit="1" customWidth="1"/>
    <col min="11796" max="11796" width="35.453125" style="12" customWidth="1"/>
    <col min="11797" max="11797" width="15.453125" style="12" bestFit="1" customWidth="1"/>
    <col min="11798" max="11798" width="13.453125" style="12" bestFit="1" customWidth="1"/>
    <col min="11799" max="11799" width="12" style="12" bestFit="1" customWidth="1"/>
    <col min="11800" max="11800" width="11.453125" style="12" customWidth="1"/>
    <col min="11801" max="11801" width="12.453125" style="12" bestFit="1" customWidth="1"/>
    <col min="11802" max="12038" width="11.453125" style="12"/>
    <col min="12039" max="12039" width="25.453125" style="12" customWidth="1"/>
    <col min="12040" max="12041" width="20.453125" style="12" customWidth="1"/>
    <col min="12042" max="12042" width="12.81640625" style="12" bestFit="1" customWidth="1"/>
    <col min="12043" max="12043" width="26" style="12" bestFit="1" customWidth="1"/>
    <col min="12044" max="12044" width="12.81640625" style="12" bestFit="1" customWidth="1"/>
    <col min="12045" max="12045" width="62.81640625" style="12" customWidth="1"/>
    <col min="12046" max="12047" width="14.453125" style="12" customWidth="1"/>
    <col min="12048" max="12048" width="15.453125" style="12" bestFit="1" customWidth="1"/>
    <col min="12049" max="12050" width="14.453125" style="12" customWidth="1"/>
    <col min="12051" max="12051" width="15.453125" style="12" bestFit="1" customWidth="1"/>
    <col min="12052" max="12052" width="35.453125" style="12" customWidth="1"/>
    <col min="12053" max="12053" width="15.453125" style="12" bestFit="1" customWidth="1"/>
    <col min="12054" max="12054" width="13.453125" style="12" bestFit="1" customWidth="1"/>
    <col min="12055" max="12055" width="12" style="12" bestFit="1" customWidth="1"/>
    <col min="12056" max="12056" width="11.453125" style="12" customWidth="1"/>
    <col min="12057" max="12057" width="12.453125" style="12" bestFit="1" customWidth="1"/>
    <col min="12058" max="12294" width="11.453125" style="12"/>
    <col min="12295" max="12295" width="25.453125" style="12" customWidth="1"/>
    <col min="12296" max="12297" width="20.453125" style="12" customWidth="1"/>
    <col min="12298" max="12298" width="12.81640625" style="12" bestFit="1" customWidth="1"/>
    <col min="12299" max="12299" width="26" style="12" bestFit="1" customWidth="1"/>
    <col min="12300" max="12300" width="12.81640625" style="12" bestFit="1" customWidth="1"/>
    <col min="12301" max="12301" width="62.81640625" style="12" customWidth="1"/>
    <col min="12302" max="12303" width="14.453125" style="12" customWidth="1"/>
    <col min="12304" max="12304" width="15.453125" style="12" bestFit="1" customWidth="1"/>
    <col min="12305" max="12306" width="14.453125" style="12" customWidth="1"/>
    <col min="12307" max="12307" width="15.453125" style="12" bestFit="1" customWidth="1"/>
    <col min="12308" max="12308" width="35.453125" style="12" customWidth="1"/>
    <col min="12309" max="12309" width="15.453125" style="12" bestFit="1" customWidth="1"/>
    <col min="12310" max="12310" width="13.453125" style="12" bestFit="1" customWidth="1"/>
    <col min="12311" max="12311" width="12" style="12" bestFit="1" customWidth="1"/>
    <col min="12312" max="12312" width="11.453125" style="12" customWidth="1"/>
    <col min="12313" max="12313" width="12.453125" style="12" bestFit="1" customWidth="1"/>
    <col min="12314" max="12550" width="11.453125" style="12"/>
    <col min="12551" max="12551" width="25.453125" style="12" customWidth="1"/>
    <col min="12552" max="12553" width="20.453125" style="12" customWidth="1"/>
    <col min="12554" max="12554" width="12.81640625" style="12" bestFit="1" customWidth="1"/>
    <col min="12555" max="12555" width="26" style="12" bestFit="1" customWidth="1"/>
    <col min="12556" max="12556" width="12.81640625" style="12" bestFit="1" customWidth="1"/>
    <col min="12557" max="12557" width="62.81640625" style="12" customWidth="1"/>
    <col min="12558" max="12559" width="14.453125" style="12" customWidth="1"/>
    <col min="12560" max="12560" width="15.453125" style="12" bestFit="1" customWidth="1"/>
    <col min="12561" max="12562" width="14.453125" style="12" customWidth="1"/>
    <col min="12563" max="12563" width="15.453125" style="12" bestFit="1" customWidth="1"/>
    <col min="12564" max="12564" width="35.453125" style="12" customWidth="1"/>
    <col min="12565" max="12565" width="15.453125" style="12" bestFit="1" customWidth="1"/>
    <col min="12566" max="12566" width="13.453125" style="12" bestFit="1" customWidth="1"/>
    <col min="12567" max="12567" width="12" style="12" bestFit="1" customWidth="1"/>
    <col min="12568" max="12568" width="11.453125" style="12" customWidth="1"/>
    <col min="12569" max="12569" width="12.453125" style="12" bestFit="1" customWidth="1"/>
    <col min="12570" max="12806" width="11.453125" style="12"/>
    <col min="12807" max="12807" width="25.453125" style="12" customWidth="1"/>
    <col min="12808" max="12809" width="20.453125" style="12" customWidth="1"/>
    <col min="12810" max="12810" width="12.81640625" style="12" bestFit="1" customWidth="1"/>
    <col min="12811" max="12811" width="26" style="12" bestFit="1" customWidth="1"/>
    <col min="12812" max="12812" width="12.81640625" style="12" bestFit="1" customWidth="1"/>
    <col min="12813" max="12813" width="62.81640625" style="12" customWidth="1"/>
    <col min="12814" max="12815" width="14.453125" style="12" customWidth="1"/>
    <col min="12816" max="12816" width="15.453125" style="12" bestFit="1" customWidth="1"/>
    <col min="12817" max="12818" width="14.453125" style="12" customWidth="1"/>
    <col min="12819" max="12819" width="15.453125" style="12" bestFit="1" customWidth="1"/>
    <col min="12820" max="12820" width="35.453125" style="12" customWidth="1"/>
    <col min="12821" max="12821" width="15.453125" style="12" bestFit="1" customWidth="1"/>
    <col min="12822" max="12822" width="13.453125" style="12" bestFit="1" customWidth="1"/>
    <col min="12823" max="12823" width="12" style="12" bestFit="1" customWidth="1"/>
    <col min="12824" max="12824" width="11.453125" style="12" customWidth="1"/>
    <col min="12825" max="12825" width="12.453125" style="12" bestFit="1" customWidth="1"/>
    <col min="12826" max="13062" width="11.453125" style="12"/>
    <col min="13063" max="13063" width="25.453125" style="12" customWidth="1"/>
    <col min="13064" max="13065" width="20.453125" style="12" customWidth="1"/>
    <col min="13066" max="13066" width="12.81640625" style="12" bestFit="1" customWidth="1"/>
    <col min="13067" max="13067" width="26" style="12" bestFit="1" customWidth="1"/>
    <col min="13068" max="13068" width="12.81640625" style="12" bestFit="1" customWidth="1"/>
    <col min="13069" max="13069" width="62.81640625" style="12" customWidth="1"/>
    <col min="13070" max="13071" width="14.453125" style="12" customWidth="1"/>
    <col min="13072" max="13072" width="15.453125" style="12" bestFit="1" customWidth="1"/>
    <col min="13073" max="13074" width="14.453125" style="12" customWidth="1"/>
    <col min="13075" max="13075" width="15.453125" style="12" bestFit="1" customWidth="1"/>
    <col min="13076" max="13076" width="35.453125" style="12" customWidth="1"/>
    <col min="13077" max="13077" width="15.453125" style="12" bestFit="1" customWidth="1"/>
    <col min="13078" max="13078" width="13.453125" style="12" bestFit="1" customWidth="1"/>
    <col min="13079" max="13079" width="12" style="12" bestFit="1" customWidth="1"/>
    <col min="13080" max="13080" width="11.453125" style="12" customWidth="1"/>
    <col min="13081" max="13081" width="12.453125" style="12" bestFit="1" customWidth="1"/>
    <col min="13082" max="13318" width="11.453125" style="12"/>
    <col min="13319" max="13319" width="25.453125" style="12" customWidth="1"/>
    <col min="13320" max="13321" width="20.453125" style="12" customWidth="1"/>
    <col min="13322" max="13322" width="12.81640625" style="12" bestFit="1" customWidth="1"/>
    <col min="13323" max="13323" width="26" style="12" bestFit="1" customWidth="1"/>
    <col min="13324" max="13324" width="12.81640625" style="12" bestFit="1" customWidth="1"/>
    <col min="13325" max="13325" width="62.81640625" style="12" customWidth="1"/>
    <col min="13326" max="13327" width="14.453125" style="12" customWidth="1"/>
    <col min="13328" max="13328" width="15.453125" style="12" bestFit="1" customWidth="1"/>
    <col min="13329" max="13330" width="14.453125" style="12" customWidth="1"/>
    <col min="13331" max="13331" width="15.453125" style="12" bestFit="1" customWidth="1"/>
    <col min="13332" max="13332" width="35.453125" style="12" customWidth="1"/>
    <col min="13333" max="13333" width="15.453125" style="12" bestFit="1" customWidth="1"/>
    <col min="13334" max="13334" width="13.453125" style="12" bestFit="1" customWidth="1"/>
    <col min="13335" max="13335" width="12" style="12" bestFit="1" customWidth="1"/>
    <col min="13336" max="13336" width="11.453125" style="12" customWidth="1"/>
    <col min="13337" max="13337" width="12.453125" style="12" bestFit="1" customWidth="1"/>
    <col min="13338" max="13574" width="11.453125" style="12"/>
    <col min="13575" max="13575" width="25.453125" style="12" customWidth="1"/>
    <col min="13576" max="13577" width="20.453125" style="12" customWidth="1"/>
    <col min="13578" max="13578" width="12.81640625" style="12" bestFit="1" customWidth="1"/>
    <col min="13579" max="13579" width="26" style="12" bestFit="1" customWidth="1"/>
    <col min="13580" max="13580" width="12.81640625" style="12" bestFit="1" customWidth="1"/>
    <col min="13581" max="13581" width="62.81640625" style="12" customWidth="1"/>
    <col min="13582" max="13583" width="14.453125" style="12" customWidth="1"/>
    <col min="13584" max="13584" width="15.453125" style="12" bestFit="1" customWidth="1"/>
    <col min="13585" max="13586" width="14.453125" style="12" customWidth="1"/>
    <col min="13587" max="13587" width="15.453125" style="12" bestFit="1" customWidth="1"/>
    <col min="13588" max="13588" width="35.453125" style="12" customWidth="1"/>
    <col min="13589" max="13589" width="15.453125" style="12" bestFit="1" customWidth="1"/>
    <col min="13590" max="13590" width="13.453125" style="12" bestFit="1" customWidth="1"/>
    <col min="13591" max="13591" width="12" style="12" bestFit="1" customWidth="1"/>
    <col min="13592" max="13592" width="11.453125" style="12" customWidth="1"/>
    <col min="13593" max="13593" width="12.453125" style="12" bestFit="1" customWidth="1"/>
    <col min="13594" max="13830" width="11.453125" style="12"/>
    <col min="13831" max="13831" width="25.453125" style="12" customWidth="1"/>
    <col min="13832" max="13833" width="20.453125" style="12" customWidth="1"/>
    <col min="13834" max="13834" width="12.81640625" style="12" bestFit="1" customWidth="1"/>
    <col min="13835" max="13835" width="26" style="12" bestFit="1" customWidth="1"/>
    <col min="13836" max="13836" width="12.81640625" style="12" bestFit="1" customWidth="1"/>
    <col min="13837" max="13837" width="62.81640625" style="12" customWidth="1"/>
    <col min="13838" max="13839" width="14.453125" style="12" customWidth="1"/>
    <col min="13840" max="13840" width="15.453125" style="12" bestFit="1" customWidth="1"/>
    <col min="13841" max="13842" width="14.453125" style="12" customWidth="1"/>
    <col min="13843" max="13843" width="15.453125" style="12" bestFit="1" customWidth="1"/>
    <col min="13844" max="13844" width="35.453125" style="12" customWidth="1"/>
    <col min="13845" max="13845" width="15.453125" style="12" bestFit="1" customWidth="1"/>
    <col min="13846" max="13846" width="13.453125" style="12" bestFit="1" customWidth="1"/>
    <col min="13847" max="13847" width="12" style="12" bestFit="1" customWidth="1"/>
    <col min="13848" max="13848" width="11.453125" style="12" customWidth="1"/>
    <col min="13849" max="13849" width="12.453125" style="12" bestFit="1" customWidth="1"/>
    <col min="13850" max="14086" width="11.453125" style="12"/>
    <col min="14087" max="14087" width="25.453125" style="12" customWidth="1"/>
    <col min="14088" max="14089" width="20.453125" style="12" customWidth="1"/>
    <col min="14090" max="14090" width="12.81640625" style="12" bestFit="1" customWidth="1"/>
    <col min="14091" max="14091" width="26" style="12" bestFit="1" customWidth="1"/>
    <col min="14092" max="14092" width="12.81640625" style="12" bestFit="1" customWidth="1"/>
    <col min="14093" max="14093" width="62.81640625" style="12" customWidth="1"/>
    <col min="14094" max="14095" width="14.453125" style="12" customWidth="1"/>
    <col min="14096" max="14096" width="15.453125" style="12" bestFit="1" customWidth="1"/>
    <col min="14097" max="14098" width="14.453125" style="12" customWidth="1"/>
    <col min="14099" max="14099" width="15.453125" style="12" bestFit="1" customWidth="1"/>
    <col min="14100" max="14100" width="35.453125" style="12" customWidth="1"/>
    <col min="14101" max="14101" width="15.453125" style="12" bestFit="1" customWidth="1"/>
    <col min="14102" max="14102" width="13.453125" style="12" bestFit="1" customWidth="1"/>
    <col min="14103" max="14103" width="12" style="12" bestFit="1" customWidth="1"/>
    <col min="14104" max="14104" width="11.453125" style="12" customWidth="1"/>
    <col min="14105" max="14105" width="12.453125" style="12" bestFit="1" customWidth="1"/>
    <col min="14106" max="14342" width="11.453125" style="12"/>
    <col min="14343" max="14343" width="25.453125" style="12" customWidth="1"/>
    <col min="14344" max="14345" width="20.453125" style="12" customWidth="1"/>
    <col min="14346" max="14346" width="12.81640625" style="12" bestFit="1" customWidth="1"/>
    <col min="14347" max="14347" width="26" style="12" bestFit="1" customWidth="1"/>
    <col min="14348" max="14348" width="12.81640625" style="12" bestFit="1" customWidth="1"/>
    <col min="14349" max="14349" width="62.81640625" style="12" customWidth="1"/>
    <col min="14350" max="14351" width="14.453125" style="12" customWidth="1"/>
    <col min="14352" max="14352" width="15.453125" style="12" bestFit="1" customWidth="1"/>
    <col min="14353" max="14354" width="14.453125" style="12" customWidth="1"/>
    <col min="14355" max="14355" width="15.453125" style="12" bestFit="1" customWidth="1"/>
    <col min="14356" max="14356" width="35.453125" style="12" customWidth="1"/>
    <col min="14357" max="14357" width="15.453125" style="12" bestFit="1" customWidth="1"/>
    <col min="14358" max="14358" width="13.453125" style="12" bestFit="1" customWidth="1"/>
    <col min="14359" max="14359" width="12" style="12" bestFit="1" customWidth="1"/>
    <col min="14360" max="14360" width="11.453125" style="12" customWidth="1"/>
    <col min="14361" max="14361" width="12.453125" style="12" bestFit="1" customWidth="1"/>
    <col min="14362" max="14598" width="11.453125" style="12"/>
    <col min="14599" max="14599" width="25.453125" style="12" customWidth="1"/>
    <col min="14600" max="14601" width="20.453125" style="12" customWidth="1"/>
    <col min="14602" max="14602" width="12.81640625" style="12" bestFit="1" customWidth="1"/>
    <col min="14603" max="14603" width="26" style="12" bestFit="1" customWidth="1"/>
    <col min="14604" max="14604" width="12.81640625" style="12" bestFit="1" customWidth="1"/>
    <col min="14605" max="14605" width="62.81640625" style="12" customWidth="1"/>
    <col min="14606" max="14607" width="14.453125" style="12" customWidth="1"/>
    <col min="14608" max="14608" width="15.453125" style="12" bestFit="1" customWidth="1"/>
    <col min="14609" max="14610" width="14.453125" style="12" customWidth="1"/>
    <col min="14611" max="14611" width="15.453125" style="12" bestFit="1" customWidth="1"/>
    <col min="14612" max="14612" width="35.453125" style="12" customWidth="1"/>
    <col min="14613" max="14613" width="15.453125" style="12" bestFit="1" customWidth="1"/>
    <col min="14614" max="14614" width="13.453125" style="12" bestFit="1" customWidth="1"/>
    <col min="14615" max="14615" width="12" style="12" bestFit="1" customWidth="1"/>
    <col min="14616" max="14616" width="11.453125" style="12" customWidth="1"/>
    <col min="14617" max="14617" width="12.453125" style="12" bestFit="1" customWidth="1"/>
    <col min="14618" max="14854" width="11.453125" style="12"/>
    <col min="14855" max="14855" width="25.453125" style="12" customWidth="1"/>
    <col min="14856" max="14857" width="20.453125" style="12" customWidth="1"/>
    <col min="14858" max="14858" width="12.81640625" style="12" bestFit="1" customWidth="1"/>
    <col min="14859" max="14859" width="26" style="12" bestFit="1" customWidth="1"/>
    <col min="14860" max="14860" width="12.81640625" style="12" bestFit="1" customWidth="1"/>
    <col min="14861" max="14861" width="62.81640625" style="12" customWidth="1"/>
    <col min="14862" max="14863" width="14.453125" style="12" customWidth="1"/>
    <col min="14864" max="14864" width="15.453125" style="12" bestFit="1" customWidth="1"/>
    <col min="14865" max="14866" width="14.453125" style="12" customWidth="1"/>
    <col min="14867" max="14867" width="15.453125" style="12" bestFit="1" customWidth="1"/>
    <col min="14868" max="14868" width="35.453125" style="12" customWidth="1"/>
    <col min="14869" max="14869" width="15.453125" style="12" bestFit="1" customWidth="1"/>
    <col min="14870" max="14870" width="13.453125" style="12" bestFit="1" customWidth="1"/>
    <col min="14871" max="14871" width="12" style="12" bestFit="1" customWidth="1"/>
    <col min="14872" max="14872" width="11.453125" style="12" customWidth="1"/>
    <col min="14873" max="14873" width="12.453125" style="12" bestFit="1" customWidth="1"/>
    <col min="14874" max="15110" width="11.453125" style="12"/>
    <col min="15111" max="15111" width="25.453125" style="12" customWidth="1"/>
    <col min="15112" max="15113" width="20.453125" style="12" customWidth="1"/>
    <col min="15114" max="15114" width="12.81640625" style="12" bestFit="1" customWidth="1"/>
    <col min="15115" max="15115" width="26" style="12" bestFit="1" customWidth="1"/>
    <col min="15116" max="15116" width="12.81640625" style="12" bestFit="1" customWidth="1"/>
    <col min="15117" max="15117" width="62.81640625" style="12" customWidth="1"/>
    <col min="15118" max="15119" width="14.453125" style="12" customWidth="1"/>
    <col min="15120" max="15120" width="15.453125" style="12" bestFit="1" customWidth="1"/>
    <col min="15121" max="15122" width="14.453125" style="12" customWidth="1"/>
    <col min="15123" max="15123" width="15.453125" style="12" bestFit="1" customWidth="1"/>
    <col min="15124" max="15124" width="35.453125" style="12" customWidth="1"/>
    <col min="15125" max="15125" width="15.453125" style="12" bestFit="1" customWidth="1"/>
    <col min="15126" max="15126" width="13.453125" style="12" bestFit="1" customWidth="1"/>
    <col min="15127" max="15127" width="12" style="12" bestFit="1" customWidth="1"/>
    <col min="15128" max="15128" width="11.453125" style="12" customWidth="1"/>
    <col min="15129" max="15129" width="12.453125" style="12" bestFit="1" customWidth="1"/>
    <col min="15130" max="15366" width="11.453125" style="12"/>
    <col min="15367" max="15367" width="25.453125" style="12" customWidth="1"/>
    <col min="15368" max="15369" width="20.453125" style="12" customWidth="1"/>
    <col min="15370" max="15370" width="12.81640625" style="12" bestFit="1" customWidth="1"/>
    <col min="15371" max="15371" width="26" style="12" bestFit="1" customWidth="1"/>
    <col min="15372" max="15372" width="12.81640625" style="12" bestFit="1" customWidth="1"/>
    <col min="15373" max="15373" width="62.81640625" style="12" customWidth="1"/>
    <col min="15374" max="15375" width="14.453125" style="12" customWidth="1"/>
    <col min="15376" max="15376" width="15.453125" style="12" bestFit="1" customWidth="1"/>
    <col min="15377" max="15378" width="14.453125" style="12" customWidth="1"/>
    <col min="15379" max="15379" width="15.453125" style="12" bestFit="1" customWidth="1"/>
    <col min="15380" max="15380" width="35.453125" style="12" customWidth="1"/>
    <col min="15381" max="15381" width="15.453125" style="12" bestFit="1" customWidth="1"/>
    <col min="15382" max="15382" width="13.453125" style="12" bestFit="1" customWidth="1"/>
    <col min="15383" max="15383" width="12" style="12" bestFit="1" customWidth="1"/>
    <col min="15384" max="15384" width="11.453125" style="12" customWidth="1"/>
    <col min="15385" max="15385" width="12.453125" style="12" bestFit="1" customWidth="1"/>
    <col min="15386" max="15622" width="11.453125" style="12"/>
    <col min="15623" max="15623" width="25.453125" style="12" customWidth="1"/>
    <col min="15624" max="15625" width="20.453125" style="12" customWidth="1"/>
    <col min="15626" max="15626" width="12.81640625" style="12" bestFit="1" customWidth="1"/>
    <col min="15627" max="15627" width="26" style="12" bestFit="1" customWidth="1"/>
    <col min="15628" max="15628" width="12.81640625" style="12" bestFit="1" customWidth="1"/>
    <col min="15629" max="15629" width="62.81640625" style="12" customWidth="1"/>
    <col min="15630" max="15631" width="14.453125" style="12" customWidth="1"/>
    <col min="15632" max="15632" width="15.453125" style="12" bestFit="1" customWidth="1"/>
    <col min="15633" max="15634" width="14.453125" style="12" customWidth="1"/>
    <col min="15635" max="15635" width="15.453125" style="12" bestFit="1" customWidth="1"/>
    <col min="15636" max="15636" width="35.453125" style="12" customWidth="1"/>
    <col min="15637" max="15637" width="15.453125" style="12" bestFit="1" customWidth="1"/>
    <col min="15638" max="15638" width="13.453125" style="12" bestFit="1" customWidth="1"/>
    <col min="15639" max="15639" width="12" style="12" bestFit="1" customWidth="1"/>
    <col min="15640" max="15640" width="11.453125" style="12" customWidth="1"/>
    <col min="15641" max="15641" width="12.453125" style="12" bestFit="1" customWidth="1"/>
    <col min="15642" max="15878" width="11.453125" style="12"/>
    <col min="15879" max="15879" width="25.453125" style="12" customWidth="1"/>
    <col min="15880" max="15881" width="20.453125" style="12" customWidth="1"/>
    <col min="15882" max="15882" width="12.81640625" style="12" bestFit="1" customWidth="1"/>
    <col min="15883" max="15883" width="26" style="12" bestFit="1" customWidth="1"/>
    <col min="15884" max="15884" width="12.81640625" style="12" bestFit="1" customWidth="1"/>
    <col min="15885" max="15885" width="62.81640625" style="12" customWidth="1"/>
    <col min="15886" max="15887" width="14.453125" style="12" customWidth="1"/>
    <col min="15888" max="15888" width="15.453125" style="12" bestFit="1" customWidth="1"/>
    <col min="15889" max="15890" width="14.453125" style="12" customWidth="1"/>
    <col min="15891" max="15891" width="15.453125" style="12" bestFit="1" customWidth="1"/>
    <col min="15892" max="15892" width="35.453125" style="12" customWidth="1"/>
    <col min="15893" max="15893" width="15.453125" style="12" bestFit="1" customWidth="1"/>
    <col min="15894" max="15894" width="13.453125" style="12" bestFit="1" customWidth="1"/>
    <col min="15895" max="15895" width="12" style="12" bestFit="1" customWidth="1"/>
    <col min="15896" max="15896" width="11.453125" style="12" customWidth="1"/>
    <col min="15897" max="15897" width="12.453125" style="12" bestFit="1" customWidth="1"/>
    <col min="15898" max="16134" width="11.453125" style="12"/>
    <col min="16135" max="16135" width="25.453125" style="12" customWidth="1"/>
    <col min="16136" max="16137" width="20.453125" style="12" customWidth="1"/>
    <col min="16138" max="16138" width="12.81640625" style="12" bestFit="1" customWidth="1"/>
    <col min="16139" max="16139" width="26" style="12" bestFit="1" customWidth="1"/>
    <col min="16140" max="16140" width="12.81640625" style="12" bestFit="1" customWidth="1"/>
    <col min="16141" max="16141" width="62.81640625" style="12" customWidth="1"/>
    <col min="16142" max="16143" width="14.453125" style="12" customWidth="1"/>
    <col min="16144" max="16144" width="15.453125" style="12" bestFit="1" customWidth="1"/>
    <col min="16145" max="16146" width="14.453125" style="12" customWidth="1"/>
    <col min="16147" max="16147" width="15.453125" style="12" bestFit="1" customWidth="1"/>
    <col min="16148" max="16148" width="35.453125" style="12" customWidth="1"/>
    <col min="16149" max="16149" width="15.453125" style="12" bestFit="1" customWidth="1"/>
    <col min="16150" max="16150" width="13.453125" style="12" bestFit="1" customWidth="1"/>
    <col min="16151" max="16151" width="12" style="12" bestFit="1" customWidth="1"/>
    <col min="16152" max="16152" width="11.453125" style="12" customWidth="1"/>
    <col min="16153" max="16153" width="12.453125" style="12" bestFit="1" customWidth="1"/>
    <col min="16154" max="16384" width="11.453125" style="12"/>
  </cols>
  <sheetData>
    <row r="1" spans="1:21" ht="15" thickBot="1" x14ac:dyDescent="0.4">
      <c r="I1" s="257" t="s">
        <v>125</v>
      </c>
      <c r="J1" s="258"/>
      <c r="K1" s="258"/>
      <c r="L1" s="258"/>
      <c r="M1" s="259"/>
      <c r="N1" s="141"/>
      <c r="O1" s="141"/>
      <c r="P1" s="141"/>
      <c r="Q1" s="141"/>
      <c r="R1" s="141"/>
    </row>
    <row r="2" spans="1:21" ht="15" thickBot="1" x14ac:dyDescent="0.4">
      <c r="I2" s="257" t="s">
        <v>126</v>
      </c>
      <c r="J2" s="258"/>
      <c r="K2" s="258"/>
      <c r="L2" s="258"/>
      <c r="M2" s="258"/>
      <c r="N2" s="258"/>
      <c r="O2" s="258"/>
      <c r="P2" s="258"/>
      <c r="Q2" s="258"/>
      <c r="R2" s="259"/>
    </row>
    <row r="3" spans="1:21" ht="29" x14ac:dyDescent="0.35">
      <c r="A3" s="7" t="s">
        <v>41</v>
      </c>
      <c r="B3" s="8" t="s">
        <v>42</v>
      </c>
      <c r="C3" s="8" t="s">
        <v>43</v>
      </c>
      <c r="D3" s="9" t="s">
        <v>0</v>
      </c>
      <c r="E3" s="9" t="s">
        <v>1</v>
      </c>
      <c r="F3" s="9" t="s">
        <v>44</v>
      </c>
      <c r="G3" s="10" t="s">
        <v>69</v>
      </c>
      <c r="H3" s="10" t="s">
        <v>124</v>
      </c>
      <c r="I3" s="9" t="s">
        <v>45</v>
      </c>
      <c r="J3" s="9" t="s">
        <v>46</v>
      </c>
      <c r="K3" s="9" t="s">
        <v>47</v>
      </c>
      <c r="L3" s="9" t="s">
        <v>48</v>
      </c>
      <c r="M3" s="9" t="s">
        <v>49</v>
      </c>
      <c r="N3" s="9" t="s">
        <v>50</v>
      </c>
      <c r="O3" s="9" t="s">
        <v>51</v>
      </c>
      <c r="P3" s="9" t="s">
        <v>52</v>
      </c>
      <c r="Q3" s="9" t="s">
        <v>53</v>
      </c>
      <c r="R3" s="9" t="s">
        <v>54</v>
      </c>
      <c r="S3" s="11" t="s">
        <v>37</v>
      </c>
    </row>
    <row r="4" spans="1:21" s="18" customFormat="1" x14ac:dyDescent="0.35">
      <c r="A4" s="264" t="s">
        <v>55</v>
      </c>
      <c r="B4" s="264" t="s">
        <v>55</v>
      </c>
      <c r="C4" s="264" t="s">
        <v>55</v>
      </c>
      <c r="D4" s="264" t="s">
        <v>234</v>
      </c>
      <c r="E4" s="13" t="s">
        <v>218</v>
      </c>
      <c r="F4" s="14" t="s">
        <v>22</v>
      </c>
      <c r="G4" s="15" t="s">
        <v>217</v>
      </c>
      <c r="H4" s="96">
        <f>SUM('M&amp;E Budget'!E4:E22)</f>
        <v>2333000</v>
      </c>
      <c r="I4" s="16">
        <f>$H$4*70%/$B$28</f>
        <v>326620</v>
      </c>
      <c r="J4" s="16">
        <f t="shared" ref="J4:M4" si="0">$H$4*70%/$B$28</f>
        <v>326620</v>
      </c>
      <c r="K4" s="16">
        <f t="shared" si="0"/>
        <v>326620</v>
      </c>
      <c r="L4" s="16">
        <f t="shared" si="0"/>
        <v>326620</v>
      </c>
      <c r="M4" s="16">
        <f t="shared" si="0"/>
        <v>326620</v>
      </c>
      <c r="N4" s="16">
        <f>$H$4*30%/$B$29</f>
        <v>139980</v>
      </c>
      <c r="O4" s="16">
        <f t="shared" ref="O4:R4" si="1">$H$4*30%/$B$29</f>
        <v>139980</v>
      </c>
      <c r="P4" s="16">
        <f t="shared" si="1"/>
        <v>139980</v>
      </c>
      <c r="Q4" s="16">
        <f t="shared" si="1"/>
        <v>139980</v>
      </c>
      <c r="R4" s="16">
        <f t="shared" si="1"/>
        <v>139980</v>
      </c>
      <c r="S4" s="16">
        <f t="shared" ref="S4:S16" si="2">SUM(I4:R4)</f>
        <v>2333000</v>
      </c>
      <c r="U4" s="19"/>
    </row>
    <row r="5" spans="1:21" s="18" customFormat="1" x14ac:dyDescent="0.35">
      <c r="A5" s="265"/>
      <c r="B5" s="265"/>
      <c r="C5" s="265"/>
      <c r="D5" s="265"/>
      <c r="E5" s="13" t="s">
        <v>214</v>
      </c>
      <c r="F5" s="14" t="s">
        <v>23</v>
      </c>
      <c r="G5" s="15" t="s">
        <v>138</v>
      </c>
      <c r="H5" s="96">
        <f>'M&amp;E Budget'!E26</f>
        <v>30000</v>
      </c>
      <c r="I5" s="16">
        <v>30000</v>
      </c>
      <c r="J5" s="16">
        <v>0</v>
      </c>
      <c r="K5" s="16">
        <v>0</v>
      </c>
      <c r="L5" s="16">
        <v>0</v>
      </c>
      <c r="M5" s="16">
        <v>0</v>
      </c>
      <c r="N5" s="16">
        <v>0</v>
      </c>
      <c r="O5" s="16">
        <v>0</v>
      </c>
      <c r="P5" s="16">
        <v>0</v>
      </c>
      <c r="Q5" s="16">
        <v>0</v>
      </c>
      <c r="R5" s="16">
        <v>0</v>
      </c>
      <c r="S5" s="16">
        <f t="shared" si="2"/>
        <v>30000</v>
      </c>
      <c r="T5" s="20"/>
    </row>
    <row r="6" spans="1:21" s="18" customFormat="1" x14ac:dyDescent="0.35">
      <c r="A6" s="265"/>
      <c r="B6" s="265"/>
      <c r="C6" s="265"/>
      <c r="D6" s="265"/>
      <c r="E6" s="13" t="s">
        <v>214</v>
      </c>
      <c r="F6" s="14" t="s">
        <v>23</v>
      </c>
      <c r="G6" s="15" t="s">
        <v>139</v>
      </c>
      <c r="H6" s="96">
        <f>'M&amp;E Budget'!E27/(B28+B29)</f>
        <v>10000.000000000002</v>
      </c>
      <c r="I6" s="16">
        <f>$H$6</f>
        <v>10000.000000000002</v>
      </c>
      <c r="J6" s="16">
        <f t="shared" ref="J6:R6" si="3">$H$6</f>
        <v>10000.000000000002</v>
      </c>
      <c r="K6" s="16">
        <f t="shared" si="3"/>
        <v>10000.000000000002</v>
      </c>
      <c r="L6" s="16">
        <f t="shared" si="3"/>
        <v>10000.000000000002</v>
      </c>
      <c r="M6" s="16">
        <f t="shared" si="3"/>
        <v>10000.000000000002</v>
      </c>
      <c r="N6" s="16">
        <f t="shared" si="3"/>
        <v>10000.000000000002</v>
      </c>
      <c r="O6" s="16">
        <f t="shared" si="3"/>
        <v>10000.000000000002</v>
      </c>
      <c r="P6" s="16">
        <f t="shared" si="3"/>
        <v>10000.000000000002</v>
      </c>
      <c r="Q6" s="16">
        <f t="shared" si="3"/>
        <v>10000.000000000002</v>
      </c>
      <c r="R6" s="16">
        <f t="shared" si="3"/>
        <v>10000.000000000002</v>
      </c>
      <c r="S6" s="16">
        <f t="shared" si="2"/>
        <v>100000.00000000001</v>
      </c>
      <c r="T6" s="20"/>
    </row>
    <row r="7" spans="1:21" s="18" customFormat="1" x14ac:dyDescent="0.35">
      <c r="A7" s="265"/>
      <c r="B7" s="265"/>
      <c r="C7" s="265"/>
      <c r="D7" s="265"/>
      <c r="E7" s="13" t="s">
        <v>214</v>
      </c>
      <c r="F7" s="14" t="s">
        <v>23</v>
      </c>
      <c r="G7" s="21" t="s">
        <v>136</v>
      </c>
      <c r="H7" s="97">
        <f>'M&amp;E Budget'!E28/(B28+B29)/2</f>
        <v>5000</v>
      </c>
      <c r="I7" s="16">
        <f t="shared" ref="I7:R7" si="4">$H$7*2</f>
        <v>10000</v>
      </c>
      <c r="J7" s="16">
        <f t="shared" si="4"/>
        <v>10000</v>
      </c>
      <c r="K7" s="16">
        <f t="shared" si="4"/>
        <v>10000</v>
      </c>
      <c r="L7" s="16">
        <f t="shared" si="4"/>
        <v>10000</v>
      </c>
      <c r="M7" s="16">
        <f t="shared" si="4"/>
        <v>10000</v>
      </c>
      <c r="N7" s="16">
        <f t="shared" si="4"/>
        <v>10000</v>
      </c>
      <c r="O7" s="16">
        <f t="shared" si="4"/>
        <v>10000</v>
      </c>
      <c r="P7" s="16">
        <f t="shared" si="4"/>
        <v>10000</v>
      </c>
      <c r="Q7" s="16">
        <f t="shared" si="4"/>
        <v>10000</v>
      </c>
      <c r="R7" s="16">
        <f t="shared" si="4"/>
        <v>10000</v>
      </c>
      <c r="S7" s="16">
        <f t="shared" si="2"/>
        <v>100000</v>
      </c>
      <c r="T7" s="20"/>
    </row>
    <row r="8" spans="1:21" s="18" customFormat="1" x14ac:dyDescent="0.35">
      <c r="A8" s="265"/>
      <c r="B8" s="265"/>
      <c r="C8" s="265"/>
      <c r="D8" s="265"/>
      <c r="E8" s="13" t="s">
        <v>214</v>
      </c>
      <c r="F8" s="14" t="s">
        <v>23</v>
      </c>
      <c r="G8" s="15" t="s">
        <v>140</v>
      </c>
      <c r="H8" s="96">
        <f>'M&amp;E Budget'!E29</f>
        <v>200000.00000000003</v>
      </c>
      <c r="I8" s="16">
        <f>$H$8/($B$28+$B$29)</f>
        <v>20000.000000000004</v>
      </c>
      <c r="J8" s="16">
        <f t="shared" ref="J8:R8" si="5">$H$8/($B$28+$B$29)</f>
        <v>20000.000000000004</v>
      </c>
      <c r="K8" s="16">
        <f t="shared" si="5"/>
        <v>20000.000000000004</v>
      </c>
      <c r="L8" s="16">
        <f t="shared" si="5"/>
        <v>20000.000000000004</v>
      </c>
      <c r="M8" s="16">
        <f t="shared" si="5"/>
        <v>20000.000000000004</v>
      </c>
      <c r="N8" s="16">
        <f t="shared" si="5"/>
        <v>20000.000000000004</v>
      </c>
      <c r="O8" s="16">
        <f t="shared" si="5"/>
        <v>20000.000000000004</v>
      </c>
      <c r="P8" s="16">
        <f t="shared" si="5"/>
        <v>20000.000000000004</v>
      </c>
      <c r="Q8" s="16">
        <f t="shared" si="5"/>
        <v>20000.000000000004</v>
      </c>
      <c r="R8" s="16">
        <f t="shared" si="5"/>
        <v>20000.000000000004</v>
      </c>
      <c r="S8" s="16">
        <f t="shared" si="2"/>
        <v>200000.00000000003</v>
      </c>
      <c r="T8" s="20"/>
    </row>
    <row r="9" spans="1:21" s="18" customFormat="1" x14ac:dyDescent="0.35">
      <c r="A9" s="265"/>
      <c r="B9" s="265"/>
      <c r="C9" s="265"/>
      <c r="D9" s="265"/>
      <c r="E9" s="13" t="s">
        <v>214</v>
      </c>
      <c r="F9" s="14" t="s">
        <v>23</v>
      </c>
      <c r="G9" s="15" t="s">
        <v>141</v>
      </c>
      <c r="H9" s="96">
        <f>'M&amp;E Budget'!E30/(B29+B28)</f>
        <v>14999.999999999996</v>
      </c>
      <c r="I9" s="16">
        <f>$H$9</f>
        <v>14999.999999999996</v>
      </c>
      <c r="J9" s="16">
        <f t="shared" ref="J9:R9" si="6">$H$9</f>
        <v>14999.999999999996</v>
      </c>
      <c r="K9" s="16">
        <f t="shared" si="6"/>
        <v>14999.999999999996</v>
      </c>
      <c r="L9" s="16">
        <f t="shared" si="6"/>
        <v>14999.999999999996</v>
      </c>
      <c r="M9" s="16">
        <f t="shared" si="6"/>
        <v>14999.999999999996</v>
      </c>
      <c r="N9" s="16">
        <f t="shared" si="6"/>
        <v>14999.999999999996</v>
      </c>
      <c r="O9" s="16">
        <f t="shared" si="6"/>
        <v>14999.999999999996</v>
      </c>
      <c r="P9" s="16">
        <f t="shared" si="6"/>
        <v>14999.999999999996</v>
      </c>
      <c r="Q9" s="16">
        <f t="shared" si="6"/>
        <v>14999.999999999996</v>
      </c>
      <c r="R9" s="16">
        <f t="shared" si="6"/>
        <v>14999.999999999996</v>
      </c>
      <c r="S9" s="16">
        <f t="shared" si="2"/>
        <v>149999.99999999997</v>
      </c>
      <c r="T9" s="20"/>
    </row>
    <row r="10" spans="1:21" s="18" customFormat="1" x14ac:dyDescent="0.35">
      <c r="A10" s="265"/>
      <c r="B10" s="265"/>
      <c r="C10" s="265"/>
      <c r="D10" s="265"/>
      <c r="E10" s="13" t="s">
        <v>214</v>
      </c>
      <c r="F10" s="14" t="s">
        <v>23</v>
      </c>
      <c r="G10" s="15" t="s">
        <v>137</v>
      </c>
      <c r="H10" s="96">
        <v>15000</v>
      </c>
      <c r="I10" s="16">
        <v>0</v>
      </c>
      <c r="J10" s="16">
        <v>0</v>
      </c>
      <c r="K10" s="16">
        <v>0</v>
      </c>
      <c r="L10" s="16">
        <v>0</v>
      </c>
      <c r="M10" s="16">
        <v>0</v>
      </c>
      <c r="N10" s="16">
        <v>0</v>
      </c>
      <c r="O10" s="16">
        <v>0</v>
      </c>
      <c r="P10" s="16">
        <v>0</v>
      </c>
      <c r="Q10" s="16">
        <v>0</v>
      </c>
      <c r="R10" s="16">
        <v>15000</v>
      </c>
      <c r="S10" s="16">
        <f t="shared" si="2"/>
        <v>15000</v>
      </c>
      <c r="T10" s="20"/>
    </row>
    <row r="11" spans="1:21" s="18" customFormat="1" x14ac:dyDescent="0.35">
      <c r="A11" s="265"/>
      <c r="B11" s="265"/>
      <c r="C11" s="265"/>
      <c r="D11" s="265"/>
      <c r="E11" s="13" t="s">
        <v>214</v>
      </c>
      <c r="F11" s="14" t="s">
        <v>23</v>
      </c>
      <c r="G11" s="15" t="s">
        <v>246</v>
      </c>
      <c r="H11" s="96">
        <v>50000</v>
      </c>
      <c r="I11" s="16">
        <v>0</v>
      </c>
      <c r="J11" s="16">
        <v>0</v>
      </c>
      <c r="K11" s="16">
        <v>0</v>
      </c>
      <c r="L11" s="16">
        <v>0</v>
      </c>
      <c r="M11" s="16">
        <v>0</v>
      </c>
      <c r="N11" s="16">
        <v>50000</v>
      </c>
      <c r="O11" s="16">
        <v>0</v>
      </c>
      <c r="P11" s="16">
        <v>0</v>
      </c>
      <c r="Q11" s="16">
        <v>0</v>
      </c>
      <c r="R11" s="16">
        <v>50000</v>
      </c>
      <c r="S11" s="16">
        <f t="shared" si="2"/>
        <v>100000</v>
      </c>
      <c r="T11" s="20"/>
    </row>
    <row r="12" spans="1:21" s="18" customFormat="1" x14ac:dyDescent="0.35">
      <c r="A12" s="265"/>
      <c r="B12" s="265"/>
      <c r="C12" s="265"/>
      <c r="D12" s="265"/>
      <c r="E12" s="13" t="s">
        <v>56</v>
      </c>
      <c r="F12" s="14" t="s">
        <v>145</v>
      </c>
      <c r="G12" s="15" t="s">
        <v>57</v>
      </c>
      <c r="H12" s="96">
        <v>113000</v>
      </c>
      <c r="I12" s="16">
        <v>0</v>
      </c>
      <c r="J12" s="16">
        <v>0</v>
      </c>
      <c r="K12" s="16">
        <v>0</v>
      </c>
      <c r="L12" s="16">
        <v>0</v>
      </c>
      <c r="M12" s="16">
        <v>0</v>
      </c>
      <c r="N12" s="16">
        <v>0</v>
      </c>
      <c r="O12" s="16">
        <v>0</v>
      </c>
      <c r="P12" s="16">
        <v>0</v>
      </c>
      <c r="Q12" s="16">
        <v>0</v>
      </c>
      <c r="R12" s="16">
        <v>113000</v>
      </c>
      <c r="S12" s="16">
        <f t="shared" si="2"/>
        <v>113000</v>
      </c>
      <c r="T12" s="20"/>
    </row>
    <row r="13" spans="1:21" s="18" customFormat="1" ht="29" x14ac:dyDescent="0.35">
      <c r="A13" s="266"/>
      <c r="B13" s="266"/>
      <c r="C13" s="266"/>
      <c r="D13" s="266"/>
      <c r="E13" s="14" t="s">
        <v>58</v>
      </c>
      <c r="F13" s="14" t="s">
        <v>145</v>
      </c>
      <c r="G13" s="21" t="s">
        <v>59</v>
      </c>
      <c r="H13" s="97"/>
      <c r="I13" s="16">
        <v>15000</v>
      </c>
      <c r="J13" s="16">
        <v>8000</v>
      </c>
      <c r="K13" s="16">
        <v>6000</v>
      </c>
      <c r="L13" s="16">
        <v>6000</v>
      </c>
      <c r="M13" s="16">
        <v>5000</v>
      </c>
      <c r="N13" s="16">
        <v>5000</v>
      </c>
      <c r="O13" s="16">
        <v>5000</v>
      </c>
      <c r="P13" s="16">
        <v>4000</v>
      </c>
      <c r="Q13" s="22">
        <v>3000</v>
      </c>
      <c r="R13" s="22">
        <v>2000</v>
      </c>
      <c r="S13" s="16">
        <f t="shared" si="2"/>
        <v>59000</v>
      </c>
    </row>
    <row r="14" spans="1:21" s="18" customFormat="1" ht="15" customHeight="1" x14ac:dyDescent="0.35">
      <c r="A14" s="262" t="s">
        <v>60</v>
      </c>
      <c r="B14" s="263"/>
      <c r="C14" s="263"/>
      <c r="D14" s="263"/>
      <c r="E14" s="263"/>
      <c r="F14" s="23"/>
      <c r="G14" s="23"/>
      <c r="H14" s="95"/>
      <c r="I14" s="24">
        <f t="shared" ref="I14:R14" si="7">SUM(I4:I13)</f>
        <v>426620</v>
      </c>
      <c r="J14" s="24">
        <f t="shared" si="7"/>
        <v>389620</v>
      </c>
      <c r="K14" s="24">
        <f t="shared" si="7"/>
        <v>387620</v>
      </c>
      <c r="L14" s="24">
        <f t="shared" si="7"/>
        <v>387620</v>
      </c>
      <c r="M14" s="24">
        <f t="shared" si="7"/>
        <v>386620</v>
      </c>
      <c r="N14" s="24">
        <f t="shared" si="7"/>
        <v>249980</v>
      </c>
      <c r="O14" s="24">
        <f t="shared" si="7"/>
        <v>199980</v>
      </c>
      <c r="P14" s="24">
        <f t="shared" si="7"/>
        <v>198980</v>
      </c>
      <c r="Q14" s="24">
        <f t="shared" si="7"/>
        <v>197980</v>
      </c>
      <c r="R14" s="24">
        <f t="shared" si="7"/>
        <v>374980</v>
      </c>
      <c r="S14" s="24">
        <f t="shared" si="2"/>
        <v>3200000</v>
      </c>
      <c r="T14" s="20"/>
      <c r="U14" s="25"/>
    </row>
    <row r="15" spans="1:21" x14ac:dyDescent="0.35">
      <c r="A15" s="26" t="s">
        <v>12</v>
      </c>
      <c r="B15" s="27"/>
      <c r="C15" s="27"/>
      <c r="D15" s="27"/>
      <c r="E15" s="27"/>
      <c r="F15" s="27"/>
      <c r="G15" s="27"/>
      <c r="H15" s="27"/>
      <c r="I15" s="28">
        <f>'Revised top-down'!$E$9*1000000/($B$28+$B$29)</f>
        <v>220000</v>
      </c>
      <c r="J15" s="28">
        <f>'Revised top-down'!$E$9*1000000/($B$28+$B$29)</f>
        <v>220000</v>
      </c>
      <c r="K15" s="28">
        <f>'Revised top-down'!$E$9*1000000/($B$28+$B$29)</f>
        <v>220000</v>
      </c>
      <c r="L15" s="28">
        <f>'Revised top-down'!$E$9*1000000/($B$28+$B$29)</f>
        <v>220000</v>
      </c>
      <c r="M15" s="28">
        <f>'Revised top-down'!$E$9*1000000/($B$28+$B$29)</f>
        <v>220000</v>
      </c>
      <c r="N15" s="28">
        <f>'Revised top-down'!$E$9*1000000/($B$28+$B$29)</f>
        <v>220000</v>
      </c>
      <c r="O15" s="28">
        <f>'Revised top-down'!$E$9*1000000/($B$28+$B$29)</f>
        <v>220000</v>
      </c>
      <c r="P15" s="28">
        <f>'Revised top-down'!$E$9*1000000/($B$28+$B$29)</f>
        <v>220000</v>
      </c>
      <c r="Q15" s="28">
        <f>'Revised top-down'!$E$9*1000000/($B$28+$B$29)</f>
        <v>220000</v>
      </c>
      <c r="R15" s="28">
        <f>'Revised top-down'!$E$9*1000000/($B$28+$B$29)</f>
        <v>220000</v>
      </c>
      <c r="S15" s="28">
        <f t="shared" si="2"/>
        <v>2200000</v>
      </c>
    </row>
    <row r="16" spans="1:21" ht="15" thickBot="1" x14ac:dyDescent="0.4">
      <c r="A16" s="29" t="s">
        <v>70</v>
      </c>
      <c r="B16" s="30"/>
      <c r="C16" s="30"/>
      <c r="D16" s="142" t="s">
        <v>33</v>
      </c>
      <c r="E16" s="30"/>
      <c r="F16" s="30"/>
      <c r="G16" s="30"/>
      <c r="H16" s="30"/>
      <c r="I16" s="31">
        <f>'Revised top-down'!$H$9*1000000/($B$28+$B$29)</f>
        <v>100000</v>
      </c>
      <c r="J16" s="31">
        <f>'Revised top-down'!$H$9*1000000/($B$28+$B$29)</f>
        <v>100000</v>
      </c>
      <c r="K16" s="31">
        <f>'Revised top-down'!$H$9*1000000/($B$28+$B$29)</f>
        <v>100000</v>
      </c>
      <c r="L16" s="31">
        <f>'Revised top-down'!$H$9*1000000/($B$28+$B$29)</f>
        <v>100000</v>
      </c>
      <c r="M16" s="31">
        <f>'Revised top-down'!$H$9*1000000/($B$28+$B$29)</f>
        <v>100000</v>
      </c>
      <c r="N16" s="31">
        <f>'Revised top-down'!$H$9*1000000/($B$28+$B$29)</f>
        <v>100000</v>
      </c>
      <c r="O16" s="31">
        <f>'Revised top-down'!$H$9*1000000/($B$28+$B$29)</f>
        <v>100000</v>
      </c>
      <c r="P16" s="31">
        <f>'Revised top-down'!$H$9*1000000/($B$28+$B$29)</f>
        <v>100000</v>
      </c>
      <c r="Q16" s="31">
        <f>'Revised top-down'!$H$9*1000000/($B$28+$B$29)</f>
        <v>100000</v>
      </c>
      <c r="R16" s="31">
        <f>'Revised top-down'!$H$9*1000000/($B$28+$B$29)</f>
        <v>100000</v>
      </c>
      <c r="S16" s="31">
        <f t="shared" si="2"/>
        <v>1000000</v>
      </c>
    </row>
    <row r="17" spans="1:22" x14ac:dyDescent="0.35">
      <c r="A17" s="32"/>
      <c r="B17" s="33"/>
      <c r="C17" s="33"/>
      <c r="D17" s="34"/>
      <c r="E17" s="35"/>
      <c r="S17" s="36"/>
      <c r="V17" s="37"/>
    </row>
    <row r="18" spans="1:22" x14ac:dyDescent="0.35">
      <c r="A18" s="32"/>
      <c r="B18" s="33"/>
      <c r="C18" s="33"/>
      <c r="D18" s="34"/>
      <c r="E18" s="35"/>
      <c r="S18" s="36"/>
      <c r="V18" s="37"/>
    </row>
    <row r="19" spans="1:22" ht="15" thickBot="1" x14ac:dyDescent="0.4">
      <c r="A19" s="32"/>
      <c r="B19" s="33"/>
      <c r="C19" s="33"/>
      <c r="D19" s="34"/>
      <c r="E19" s="35"/>
      <c r="S19" s="36"/>
      <c r="V19" s="37"/>
    </row>
    <row r="20" spans="1:22" x14ac:dyDescent="0.35">
      <c r="A20" s="260" t="s">
        <v>61</v>
      </c>
      <c r="B20" s="261"/>
      <c r="C20" s="33"/>
      <c r="D20" s="38"/>
      <c r="E20" s="35"/>
      <c r="G20" s="35"/>
      <c r="S20" s="40"/>
      <c r="V20" s="37"/>
    </row>
    <row r="21" spans="1:22" x14ac:dyDescent="0.35">
      <c r="A21" s="41" t="s">
        <v>62</v>
      </c>
      <c r="B21" s="17">
        <f>SUM(S4:S10)</f>
        <v>2928000</v>
      </c>
      <c r="C21" s="42"/>
      <c r="E21" s="35"/>
      <c r="G21" s="35"/>
      <c r="H21" s="35"/>
      <c r="I21" s="35"/>
      <c r="J21" s="35"/>
      <c r="K21" s="35"/>
      <c r="L21" s="35"/>
      <c r="M21" s="35"/>
      <c r="N21" s="35"/>
      <c r="O21" s="35"/>
      <c r="P21" s="35"/>
      <c r="Q21" s="35"/>
      <c r="R21" s="35"/>
      <c r="S21" s="40"/>
      <c r="V21" s="37"/>
    </row>
    <row r="22" spans="1:22" x14ac:dyDescent="0.35">
      <c r="A22" s="43" t="s">
        <v>63</v>
      </c>
      <c r="B22" s="44">
        <f>B21</f>
        <v>2928000</v>
      </c>
      <c r="C22" s="32"/>
      <c r="E22" s="35"/>
      <c r="G22" s="35"/>
      <c r="H22" s="35"/>
      <c r="I22" s="35"/>
      <c r="J22" s="35"/>
      <c r="K22" s="35"/>
      <c r="L22" s="35"/>
      <c r="M22" s="35"/>
      <c r="N22" s="35"/>
      <c r="O22" s="35"/>
      <c r="P22" s="35"/>
      <c r="Q22" s="35"/>
      <c r="R22" s="35"/>
    </row>
    <row r="23" spans="1:22" x14ac:dyDescent="0.35">
      <c r="A23" s="45" t="s">
        <v>64</v>
      </c>
      <c r="B23" s="44">
        <v>0</v>
      </c>
      <c r="C23" s="32"/>
      <c r="E23" s="35"/>
      <c r="G23" s="35"/>
      <c r="H23" s="35"/>
      <c r="I23" s="35"/>
      <c r="J23" s="35"/>
      <c r="K23" s="35"/>
      <c r="L23" s="35"/>
      <c r="M23" s="35"/>
      <c r="N23" s="35"/>
      <c r="O23" s="35"/>
      <c r="P23" s="35"/>
      <c r="Q23" s="35"/>
      <c r="R23" s="35"/>
    </row>
    <row r="24" spans="1:22" x14ac:dyDescent="0.35">
      <c r="A24" s="13" t="s">
        <v>142</v>
      </c>
      <c r="B24" s="17">
        <f>SUMIF(E4:E13,A24,S4:S13)</f>
        <v>0</v>
      </c>
      <c r="C24" s="38"/>
      <c r="E24" s="35"/>
      <c r="G24" s="35"/>
      <c r="H24" s="35"/>
      <c r="I24" s="35"/>
      <c r="J24" s="35"/>
      <c r="K24" s="35"/>
      <c r="L24" s="35"/>
      <c r="M24" s="35"/>
      <c r="N24" s="35"/>
      <c r="O24" s="35"/>
      <c r="P24" s="35"/>
      <c r="Q24" s="35"/>
      <c r="R24" s="35"/>
      <c r="U24" s="46"/>
    </row>
    <row r="25" spans="1:22" x14ac:dyDescent="0.35">
      <c r="A25" s="47" t="s">
        <v>65</v>
      </c>
      <c r="B25" s="17">
        <f>S12+S13+S11</f>
        <v>272000</v>
      </c>
      <c r="C25" s="38"/>
      <c r="E25" s="35"/>
      <c r="G25" s="35"/>
      <c r="H25" s="35"/>
      <c r="I25" s="35"/>
      <c r="J25" s="35"/>
      <c r="K25" s="35"/>
      <c r="L25" s="35"/>
      <c r="M25" s="35"/>
      <c r="N25" s="35"/>
      <c r="O25" s="35"/>
      <c r="P25" s="35"/>
      <c r="Q25" s="35"/>
      <c r="R25" s="35"/>
      <c r="U25" s="48"/>
    </row>
    <row r="26" spans="1:22" ht="15" thickBot="1" x14ac:dyDescent="0.4">
      <c r="A26" s="49" t="s">
        <v>66</v>
      </c>
      <c r="B26" s="50">
        <f>SUM(B22:B25)</f>
        <v>3200000</v>
      </c>
      <c r="C26" s="42"/>
      <c r="E26" s="35"/>
      <c r="G26" s="35"/>
      <c r="H26" s="35"/>
      <c r="I26" s="35"/>
      <c r="J26" s="35"/>
      <c r="K26" s="35"/>
      <c r="L26" s="35"/>
      <c r="M26" s="35"/>
      <c r="N26" s="35"/>
      <c r="O26" s="35"/>
      <c r="P26" s="35"/>
      <c r="Q26" s="35"/>
      <c r="R26" s="35"/>
    </row>
    <row r="27" spans="1:22" x14ac:dyDescent="0.35">
      <c r="A27" s="51"/>
      <c r="B27" s="51"/>
      <c r="C27" s="51"/>
      <c r="E27" s="35"/>
    </row>
    <row r="28" spans="1:22" ht="29.5" thickBot="1" x14ac:dyDescent="0.4">
      <c r="A28" s="143" t="s">
        <v>235</v>
      </c>
      <c r="B28" s="17">
        <v>5</v>
      </c>
      <c r="C28" s="32"/>
      <c r="E28" s="35"/>
    </row>
    <row r="29" spans="1:22" ht="29.5" thickBot="1" x14ac:dyDescent="0.4">
      <c r="A29" s="143" t="s">
        <v>236</v>
      </c>
      <c r="B29" s="17">
        <v>5</v>
      </c>
      <c r="C29" s="32"/>
      <c r="E29" s="35"/>
    </row>
    <row r="30" spans="1:22" x14ac:dyDescent="0.35">
      <c r="A30" s="32"/>
      <c r="B30" s="12"/>
      <c r="C30" s="35"/>
      <c r="D30" s="34"/>
      <c r="E30" s="35"/>
    </row>
    <row r="31" spans="1:22" x14ac:dyDescent="0.35">
      <c r="A31" s="32"/>
      <c r="B31" s="34"/>
      <c r="C31" s="35"/>
      <c r="D31" s="34"/>
      <c r="E31" s="35"/>
    </row>
    <row r="32" spans="1:22" x14ac:dyDescent="0.35">
      <c r="A32" s="38"/>
      <c r="B32" s="38"/>
      <c r="C32" s="38"/>
      <c r="D32" s="38"/>
      <c r="E32" s="39"/>
    </row>
    <row r="33" spans="1:5" x14ac:dyDescent="0.35">
      <c r="A33" s="38"/>
      <c r="B33" s="38"/>
      <c r="C33" s="38"/>
      <c r="D33" s="38"/>
      <c r="E33" s="39"/>
    </row>
    <row r="34" spans="1:5" x14ac:dyDescent="0.35">
      <c r="A34" s="42"/>
      <c r="B34" s="42"/>
      <c r="C34" s="42"/>
      <c r="D34" s="42"/>
      <c r="E34" s="53"/>
    </row>
    <row r="35" spans="1:5" x14ac:dyDescent="0.35">
      <c r="A35" s="51"/>
      <c r="B35" s="51"/>
      <c r="C35" s="51"/>
      <c r="D35" s="51"/>
      <c r="E35" s="54"/>
    </row>
    <row r="36" spans="1:5" x14ac:dyDescent="0.35">
      <c r="A36" s="51"/>
      <c r="B36" s="34"/>
      <c r="C36" s="34"/>
      <c r="D36" s="34"/>
      <c r="E36" s="55"/>
    </row>
    <row r="37" spans="1:5" x14ac:dyDescent="0.35">
      <c r="A37" s="38"/>
      <c r="B37" s="38"/>
      <c r="C37" s="38"/>
      <c r="D37" s="38"/>
      <c r="E37" s="52"/>
    </row>
    <row r="38" spans="1:5" x14ac:dyDescent="0.35">
      <c r="A38" s="42"/>
      <c r="B38" s="42"/>
      <c r="C38" s="42"/>
      <c r="D38" s="42"/>
      <c r="E38" s="52"/>
    </row>
    <row r="39" spans="1:5" x14ac:dyDescent="0.35">
      <c r="A39" s="34"/>
      <c r="B39" s="34"/>
      <c r="C39" s="33"/>
      <c r="D39" s="33"/>
      <c r="E39" s="33"/>
    </row>
    <row r="40" spans="1:5" x14ac:dyDescent="0.35">
      <c r="A40" s="34"/>
      <c r="B40" s="34"/>
      <c r="C40" s="33"/>
      <c r="D40" s="33"/>
      <c r="E40" s="33"/>
    </row>
  </sheetData>
  <autoFilter ref="A3:Y22"/>
  <mergeCells count="8">
    <mergeCell ref="I1:M1"/>
    <mergeCell ref="I2:R2"/>
    <mergeCell ref="A20:B20"/>
    <mergeCell ref="A14:E14"/>
    <mergeCell ref="A4:A13"/>
    <mergeCell ref="B4:B13"/>
    <mergeCell ref="C4:C13"/>
    <mergeCell ref="D4:D13"/>
  </mergeCells>
  <pageMargins left="0.7" right="0.7" top="0.75" bottom="0.75" header="0.3" footer="0.3"/>
  <pageSetup paperSize="9" orientation="portrait" r:id="rId1"/>
  <headerFooter>
    <oddHeader xml:space="preserve">&amp;CDetailed budget breakdown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zoomScale="80" zoomScaleNormal="80" workbookViewId="0">
      <selection activeCell="B8" sqref="B8"/>
    </sheetView>
  </sheetViews>
  <sheetFormatPr baseColWidth="10" defaultColWidth="9.1796875" defaultRowHeight="13" x14ac:dyDescent="0.3"/>
  <cols>
    <col min="1" max="1" width="7.26953125" style="61" customWidth="1"/>
    <col min="2" max="2" width="154" style="61" customWidth="1"/>
    <col min="3" max="16384" width="9.1796875" style="61"/>
  </cols>
  <sheetData>
    <row r="1" spans="1:2" x14ac:dyDescent="0.3">
      <c r="A1" s="60" t="s">
        <v>24</v>
      </c>
      <c r="B1" s="60"/>
    </row>
    <row r="2" spans="1:2" ht="117" x14ac:dyDescent="0.3">
      <c r="A2" s="62" t="s">
        <v>15</v>
      </c>
      <c r="B2" s="63" t="s">
        <v>240</v>
      </c>
    </row>
    <row r="3" spans="1:2" x14ac:dyDescent="0.3">
      <c r="A3" s="64" t="s">
        <v>16</v>
      </c>
      <c r="B3" s="63" t="s">
        <v>36</v>
      </c>
    </row>
    <row r="4" spans="1:2" ht="52" x14ac:dyDescent="0.3">
      <c r="A4" s="64" t="s">
        <v>17</v>
      </c>
      <c r="B4" s="63" t="s">
        <v>249</v>
      </c>
    </row>
    <row r="5" spans="1:2" ht="26" x14ac:dyDescent="0.3">
      <c r="A5" s="64" t="s">
        <v>18</v>
      </c>
      <c r="B5" s="63" t="s">
        <v>250</v>
      </c>
    </row>
    <row r="6" spans="1:2" ht="338" x14ac:dyDescent="0.3">
      <c r="A6" s="64" t="s">
        <v>19</v>
      </c>
      <c r="B6" s="63" t="s">
        <v>129</v>
      </c>
    </row>
    <row r="7" spans="1:2" x14ac:dyDescent="0.3">
      <c r="A7" s="64" t="s">
        <v>20</v>
      </c>
      <c r="B7" s="61" t="s">
        <v>130</v>
      </c>
    </row>
    <row r="8" spans="1:2" x14ac:dyDescent="0.3">
      <c r="A8" s="64" t="s">
        <v>21</v>
      </c>
      <c r="B8" s="61" t="s">
        <v>73</v>
      </c>
    </row>
    <row r="9" spans="1:2" ht="39" x14ac:dyDescent="0.3">
      <c r="A9" s="64" t="s">
        <v>22</v>
      </c>
      <c r="B9" s="63" t="s">
        <v>241</v>
      </c>
    </row>
    <row r="10" spans="1:2" x14ac:dyDescent="0.3">
      <c r="A10" s="64" t="s">
        <v>23</v>
      </c>
      <c r="B10" s="61" t="s">
        <v>143</v>
      </c>
    </row>
    <row r="11" spans="1:2" x14ac:dyDescent="0.3">
      <c r="A11" s="64" t="s">
        <v>145</v>
      </c>
      <c r="B11" s="63" t="s">
        <v>144</v>
      </c>
    </row>
  </sheetData>
  <pageMargins left="0.7" right="0.7" top="0.75" bottom="0.75" header="0.3" footer="0.3"/>
  <pageSetup paperSize="9" orientation="portrait" r:id="rId1"/>
  <headerFooter>
    <oddHeader>&amp;CDetailed budget notes</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6"/>
  <sheetViews>
    <sheetView zoomScale="90" zoomScaleNormal="90" workbookViewId="0">
      <pane xSplit="11" topLeftCell="L1" activePane="topRight" state="frozen"/>
      <selection pane="topRight" activeCell="P8" sqref="P8"/>
    </sheetView>
  </sheetViews>
  <sheetFormatPr baseColWidth="10" defaultColWidth="8.7265625" defaultRowHeight="14.5" x14ac:dyDescent="0.35"/>
  <cols>
    <col min="1" max="1" width="8.7265625" hidden="1" customWidth="1"/>
    <col min="2" max="2" width="12.1796875" hidden="1" customWidth="1"/>
    <col min="3" max="3" width="15.6328125" hidden="1" customWidth="1"/>
    <col min="4" max="6" width="8.90625" hidden="1" customWidth="1"/>
    <col min="7" max="10" width="8.7265625" hidden="1" customWidth="1"/>
    <col min="11" max="11" width="18.54296875" customWidth="1"/>
    <col min="12" max="13" width="16.453125" customWidth="1"/>
    <col min="14" max="14" width="16.7265625" bestFit="1" customWidth="1"/>
    <col min="15" max="15" width="16.7265625" customWidth="1"/>
    <col min="16" max="16" width="18.453125" bestFit="1" customWidth="1"/>
    <col min="17" max="17" width="18.453125" customWidth="1"/>
    <col min="18" max="19" width="16.08984375" bestFit="1" customWidth="1"/>
    <col min="20" max="22" width="14" bestFit="1" customWidth="1"/>
    <col min="23" max="23" width="12.54296875" bestFit="1" customWidth="1"/>
    <col min="24" max="24" width="14" bestFit="1" customWidth="1"/>
    <col min="25" max="25" width="16.08984375" bestFit="1" customWidth="1"/>
    <col min="26" max="26" width="17.54296875" bestFit="1" customWidth="1"/>
    <col min="27" max="31" width="14" bestFit="1" customWidth="1"/>
  </cols>
  <sheetData>
    <row r="1" spans="1:31" ht="15" thickBot="1" x14ac:dyDescent="0.4">
      <c r="R1" s="267" t="s">
        <v>131</v>
      </c>
      <c r="S1" s="268"/>
      <c r="T1" s="268"/>
      <c r="U1" s="268"/>
      <c r="V1" s="268"/>
      <c r="W1" s="268"/>
      <c r="X1" s="269"/>
      <c r="Y1" s="267" t="s">
        <v>135</v>
      </c>
      <c r="Z1" s="268"/>
      <c r="AA1" s="268"/>
      <c r="AB1" s="268"/>
      <c r="AC1" s="268"/>
      <c r="AD1" s="268"/>
      <c r="AE1" s="269"/>
    </row>
    <row r="2" spans="1:31" ht="15" customHeight="1" thickBot="1" x14ac:dyDescent="0.4">
      <c r="D2" s="277" t="s">
        <v>265</v>
      </c>
      <c r="E2" s="277" t="s">
        <v>263</v>
      </c>
      <c r="F2" s="277" t="s">
        <v>264</v>
      </c>
      <c r="G2" s="274" t="s">
        <v>261</v>
      </c>
      <c r="H2" s="275"/>
      <c r="I2" s="274" t="s">
        <v>262</v>
      </c>
      <c r="J2" s="275"/>
      <c r="L2" s="272" t="s">
        <v>266</v>
      </c>
      <c r="M2" s="273"/>
      <c r="N2" s="272" t="s">
        <v>259</v>
      </c>
      <c r="O2" s="273"/>
      <c r="P2" s="272" t="s">
        <v>260</v>
      </c>
      <c r="Q2" s="273"/>
      <c r="R2" s="276" t="s">
        <v>134</v>
      </c>
      <c r="S2" s="271"/>
      <c r="T2" s="271" t="s">
        <v>133</v>
      </c>
      <c r="U2" s="271"/>
      <c r="V2" s="271"/>
      <c r="W2" s="271"/>
      <c r="X2" s="101" t="s">
        <v>132</v>
      </c>
      <c r="Y2" s="270" t="s">
        <v>134</v>
      </c>
      <c r="Z2" s="271"/>
      <c r="AA2" s="271" t="s">
        <v>133</v>
      </c>
      <c r="AB2" s="271"/>
      <c r="AC2" s="271"/>
      <c r="AD2" s="271"/>
      <c r="AE2" s="101" t="s">
        <v>132</v>
      </c>
    </row>
    <row r="3" spans="1:31" ht="27.75" customHeight="1" thickBot="1" x14ac:dyDescent="0.4">
      <c r="D3" s="278"/>
      <c r="E3" s="278"/>
      <c r="F3" s="278"/>
      <c r="G3" s="208" t="s">
        <v>256</v>
      </c>
      <c r="H3" s="209" t="s">
        <v>257</v>
      </c>
      <c r="I3" s="208" t="s">
        <v>256</v>
      </c>
      <c r="J3" s="210" t="s">
        <v>257</v>
      </c>
      <c r="K3" s="219" t="s">
        <v>104</v>
      </c>
      <c r="L3" s="199" t="s">
        <v>256</v>
      </c>
      <c r="M3" s="200" t="s">
        <v>257</v>
      </c>
      <c r="N3" s="199" t="s">
        <v>256</v>
      </c>
      <c r="O3" s="200" t="s">
        <v>257</v>
      </c>
      <c r="P3" s="199" t="s">
        <v>256</v>
      </c>
      <c r="Q3" s="200" t="s">
        <v>257</v>
      </c>
      <c r="R3" s="198" t="s">
        <v>71</v>
      </c>
      <c r="S3" s="98" t="s">
        <v>7</v>
      </c>
      <c r="T3" s="98" t="s">
        <v>28</v>
      </c>
      <c r="U3" s="98" t="s">
        <v>29</v>
      </c>
      <c r="V3" s="98" t="s">
        <v>30</v>
      </c>
      <c r="W3" s="98" t="s">
        <v>31</v>
      </c>
      <c r="X3" s="103"/>
      <c r="Y3" s="102" t="s">
        <v>71</v>
      </c>
      <c r="Z3" s="98" t="s">
        <v>7</v>
      </c>
      <c r="AA3" s="98" t="s">
        <v>28</v>
      </c>
      <c r="AB3" s="98" t="s">
        <v>29</v>
      </c>
      <c r="AC3" s="98" t="s">
        <v>30</v>
      </c>
      <c r="AD3" s="98" t="s">
        <v>31</v>
      </c>
      <c r="AE3" s="103"/>
    </row>
    <row r="4" spans="1:31" x14ac:dyDescent="0.35">
      <c r="A4" t="s">
        <v>256</v>
      </c>
      <c r="B4" s="158">
        <v>15000000</v>
      </c>
      <c r="C4" s="214">
        <v>76000000</v>
      </c>
      <c r="D4" s="205">
        <f>(B4-R4-T4-U4-V4-W4-X4)/(C4-Y4-AA4-AB4-AC4-AD4-AE4)</f>
        <v>0.15274072281595288</v>
      </c>
      <c r="E4" s="205">
        <f>B4/$B$15</f>
        <v>6.8181818181818177E-2</v>
      </c>
      <c r="F4" s="205">
        <f>C4/$C$15</f>
        <v>6.7948144836835048E-2</v>
      </c>
      <c r="G4" s="204">
        <f t="shared" ref="G4:G14" si="0">IF($A4="EUR",$B4/SUMIF($A$4:$A$14,"EUR",$B$4:$B$14),0)</f>
        <v>8.5714285714285715E-2</v>
      </c>
      <c r="H4" s="205">
        <f t="shared" ref="H4:H14" si="1">IF($A4="USD",$B4/SUMIF($A$4:$A$14,"USD",$B$4:$B$14),0)</f>
        <v>0</v>
      </c>
      <c r="I4" s="204">
        <f t="shared" ref="I4:I14" si="2">IF($A4="EUR",$C4/SUMIF($A$4:$A$14,"EUR",$C$4:$C$14),0)</f>
        <v>0.10086264100862641</v>
      </c>
      <c r="J4" s="205">
        <f t="shared" ref="J4:J14" si="3">IF($A4="USD",$C4/SUMIF($A$4:$A$14,"USD",$C$4:$C$14),0)</f>
        <v>0</v>
      </c>
      <c r="K4" s="215" t="s">
        <v>105</v>
      </c>
      <c r="L4" s="224">
        <f>N4+P4</f>
        <v>99016356.045169607</v>
      </c>
      <c r="M4" s="225">
        <f>O4+Q4</f>
        <v>0</v>
      </c>
      <c r="N4" s="227">
        <f>SUM(R4:X4)</f>
        <v>14710389.610480521</v>
      </c>
      <c r="O4" s="225">
        <v>0</v>
      </c>
      <c r="P4" s="227">
        <f>SUM(Y4:AE4)</f>
        <v>84305966.43468909</v>
      </c>
      <c r="Q4" s="225">
        <v>0</v>
      </c>
      <c r="R4" s="220">
        <f>'Revised top-down'!$E$3*($E4)*1000000</f>
        <v>1554545.4545454544</v>
      </c>
      <c r="S4" s="105">
        <f>('Revised top-down'!$E$4*G4+'Revised top-down'!$F$4*H4)*1000000</f>
        <v>11228571.428571429</v>
      </c>
      <c r="T4" s="105">
        <f>ROUNDUP('Revised top-down'!$E$5/11*1000000,4)</f>
        <v>590909.0909999999</v>
      </c>
      <c r="U4" s="105">
        <f>'Revised top-down'!$E$6/11*1000000</f>
        <v>618181.81818181812</v>
      </c>
      <c r="V4" s="105">
        <f>'Revised top-down'!$E$7/11*1000000</f>
        <v>472727.27272727271</v>
      </c>
      <c r="W4" s="105">
        <f>'Revised top-down'!$E$8/11*1000000</f>
        <v>45454.545454545456</v>
      </c>
      <c r="X4" s="106">
        <f>'Revised top-down'!$E$9/11*1000000</f>
        <v>200000</v>
      </c>
      <c r="Y4" s="104">
        <f>'Revised top-down'!$H$3*F4*1000000</f>
        <v>271792.57934734022</v>
      </c>
      <c r="Z4" s="105">
        <f>('Revised top-down'!$H$4*I4+'Revised top-down'!$I$4*J4)*1000000</f>
        <v>83715992.03715992</v>
      </c>
      <c r="AA4" s="105">
        <f>'Revised top-down'!$K$5/11*1000000</f>
        <v>0</v>
      </c>
      <c r="AB4" s="105">
        <f>'Revised top-down'!$K$6/11*1000000</f>
        <v>181818.18181818182</v>
      </c>
      <c r="AC4" s="105">
        <f>'Revised top-down'!$K$7/11*1000000</f>
        <v>0</v>
      </c>
      <c r="AD4" s="105">
        <f>'Revised top-down'!$K$8/11*1000000</f>
        <v>45454.545454545456</v>
      </c>
      <c r="AE4" s="105">
        <f>'Revised top-down'!$H$9/11*1000000</f>
        <v>90909.090909090912</v>
      </c>
    </row>
    <row r="5" spans="1:31" x14ac:dyDescent="0.35">
      <c r="A5" t="s">
        <v>256</v>
      </c>
      <c r="B5" s="58">
        <v>40000000</v>
      </c>
      <c r="C5" s="100">
        <v>80500000</v>
      </c>
      <c r="D5" s="212">
        <f t="shared" ref="D5:D14" si="4">(B5-R5-T5-U5-V5-W5-X5)/(C5-Y5-AA5-AB5-AC5-AD5-AE5)</f>
        <v>0.42465393321295047</v>
      </c>
      <c r="E5" s="205">
        <f t="shared" ref="E5:E14" si="5">B5/$B$15</f>
        <v>0.18181818181818182</v>
      </c>
      <c r="F5" s="205">
        <f t="shared" ref="F5:F14" si="6">C5/$C$15</f>
        <v>7.1971390254805548E-2</v>
      </c>
      <c r="G5" s="204">
        <f t="shared" si="0"/>
        <v>0.22857142857142856</v>
      </c>
      <c r="H5" s="205">
        <f t="shared" si="1"/>
        <v>0</v>
      </c>
      <c r="I5" s="204">
        <f t="shared" si="2"/>
        <v>0.10683477106834771</v>
      </c>
      <c r="J5" s="205">
        <f t="shared" si="3"/>
        <v>0</v>
      </c>
      <c r="K5" s="216" t="s">
        <v>106</v>
      </c>
      <c r="L5" s="222">
        <f t="shared" ref="L5:L14" si="7">N5+P5</f>
        <v>125294511.78151408</v>
      </c>
      <c r="M5" s="223">
        <f t="shared" ref="M5:M14" si="8">O5+Q5</f>
        <v>0</v>
      </c>
      <c r="N5" s="104">
        <f>SUM(R5:X5)</f>
        <v>36015584.415584423</v>
      </c>
      <c r="O5" s="223">
        <v>0</v>
      </c>
      <c r="P5" s="104">
        <f>SUM(Y5:AE5)</f>
        <v>89278927.365929648</v>
      </c>
      <c r="Q5" s="223">
        <v>0</v>
      </c>
      <c r="R5" s="220">
        <f>'Revised top-down'!$E$3*($E5)*1000000</f>
        <v>4145454.5454545454</v>
      </c>
      <c r="S5" s="105">
        <f>('Revised top-down'!$E$4*G5+'Revised top-down'!$F$4*H5)*1000000</f>
        <v>29942857.142857142</v>
      </c>
      <c r="T5" s="105">
        <f>'Revised top-down'!$E$5/11*1000000</f>
        <v>590909.09090909094</v>
      </c>
      <c r="U5" s="105">
        <f>'Revised top-down'!$E$6/11*1000000</f>
        <v>618181.81818181812</v>
      </c>
      <c r="V5" s="105">
        <f>'Revised top-down'!$E$7/11*1000000</f>
        <v>472727.27272727271</v>
      </c>
      <c r="W5" s="105">
        <f>'Revised top-down'!$E$8/11*1000000</f>
        <v>45454.545454545456</v>
      </c>
      <c r="X5" s="106">
        <f>'Revised top-down'!$E$9/11*1000000</f>
        <v>200000</v>
      </c>
      <c r="Y5" s="104">
        <f>'Revised top-down'!$H$3*F5*1000000</f>
        <v>287885.56101922219</v>
      </c>
      <c r="Z5" s="105">
        <f>('Revised top-down'!$H$4*I5+'Revised top-down'!$I$4*J5)*1000000</f>
        <v>88672859.986728594</v>
      </c>
      <c r="AA5" s="105">
        <f>'Revised top-down'!$K$5/11*1000000</f>
        <v>0</v>
      </c>
      <c r="AB5" s="105">
        <f>'Revised top-down'!$K$6/11*1000000</f>
        <v>181818.18181818182</v>
      </c>
      <c r="AC5" s="105">
        <f>'Revised top-down'!$K$7/11*1000000</f>
        <v>0</v>
      </c>
      <c r="AD5" s="105">
        <f>'Revised top-down'!$K$8/11*1000000</f>
        <v>45454.545454545456</v>
      </c>
      <c r="AE5" s="105">
        <f>'Revised top-down'!$H$9/11*1000000</f>
        <v>90909.090909090912</v>
      </c>
    </row>
    <row r="6" spans="1:31" x14ac:dyDescent="0.35">
      <c r="A6" t="s">
        <v>257</v>
      </c>
      <c r="B6" s="58">
        <v>8000000</v>
      </c>
      <c r="C6" s="197">
        <v>82000000</v>
      </c>
      <c r="D6" s="212">
        <f t="shared" si="4"/>
        <v>6.4427185212573748E-2</v>
      </c>
      <c r="E6" s="205">
        <f t="shared" si="5"/>
        <v>3.6363636363636362E-2</v>
      </c>
      <c r="F6" s="205">
        <f t="shared" si="6"/>
        <v>7.3312472060795705E-2</v>
      </c>
      <c r="G6" s="204">
        <f t="shared" si="0"/>
        <v>0</v>
      </c>
      <c r="H6" s="205">
        <f t="shared" si="1"/>
        <v>0.17777777777777778</v>
      </c>
      <c r="I6" s="204">
        <f t="shared" si="2"/>
        <v>0</v>
      </c>
      <c r="J6" s="205">
        <f t="shared" si="3"/>
        <v>0.22465753424657534</v>
      </c>
      <c r="K6" s="216" t="s">
        <v>233</v>
      </c>
      <c r="L6" s="222">
        <f t="shared" si="7"/>
        <v>3367795.3427886372</v>
      </c>
      <c r="M6" s="223">
        <f t="shared" si="8"/>
        <v>71128767.123287663</v>
      </c>
      <c r="N6" s="104">
        <f>R6+SUM(T6:X6)</f>
        <v>2756363.6363636362</v>
      </c>
      <c r="O6" s="223">
        <f>S6</f>
        <v>8000000</v>
      </c>
      <c r="P6" s="104">
        <f>Y6+SUM(AA6:AE6)</f>
        <v>611431.70642500103</v>
      </c>
      <c r="Q6" s="223">
        <f>Z6</f>
        <v>63128767.123287663</v>
      </c>
      <c r="R6" s="220">
        <f>'Revised top-down'!$E$3*($E6)*1000000</f>
        <v>829090.90909090906</v>
      </c>
      <c r="S6" s="218">
        <f>('Revised top-down'!$E$4*G6+'Revised top-down'!$F$4*H6)*1000000</f>
        <v>8000000</v>
      </c>
      <c r="T6" s="105">
        <f>'Revised top-down'!$E$5/11*1000000</f>
        <v>590909.09090909094</v>
      </c>
      <c r="U6" s="105">
        <f>'Revised top-down'!$E$6/11*1000000</f>
        <v>618181.81818181812</v>
      </c>
      <c r="V6" s="105">
        <f>'Revised top-down'!$E$7/11*1000000</f>
        <v>472727.27272727271</v>
      </c>
      <c r="W6" s="105">
        <f>'Revised top-down'!$E$8/11*1000000</f>
        <v>45454.545454545456</v>
      </c>
      <c r="X6" s="106">
        <f>'Revised top-down'!$E$9/11*1000000</f>
        <v>200000</v>
      </c>
      <c r="Y6" s="104">
        <f>'Revised top-down'!$H$3*F6*1000000</f>
        <v>293249.8882431828</v>
      </c>
      <c r="Z6" s="218">
        <f>('Revised top-down'!$H$4*I6+'Revised top-down'!$I$4*J6)*1000000</f>
        <v>63128767.123287663</v>
      </c>
      <c r="AA6" s="105">
        <f>'Revised top-down'!$K$5/11*1000000</f>
        <v>0</v>
      </c>
      <c r="AB6" s="105">
        <f>'Revised top-down'!$K$6/11*1000000</f>
        <v>181818.18181818182</v>
      </c>
      <c r="AC6" s="105">
        <f>'Revised top-down'!$K$7/11*1000000</f>
        <v>0</v>
      </c>
      <c r="AD6" s="105">
        <f>'Revised top-down'!$K$8/11*1000000</f>
        <v>45454.545454545456</v>
      </c>
      <c r="AE6" s="105">
        <f>'Revised top-down'!$H$9/11*1000000</f>
        <v>90909.090909090912</v>
      </c>
    </row>
    <row r="7" spans="1:31" x14ac:dyDescent="0.35">
      <c r="A7" t="s">
        <v>257</v>
      </c>
      <c r="B7" s="58">
        <v>4000000</v>
      </c>
      <c r="C7" s="197">
        <v>26000000</v>
      </c>
      <c r="D7" s="212">
        <f t="shared" si="4"/>
        <v>6.4800985286609006E-2</v>
      </c>
      <c r="E7" s="205">
        <f t="shared" si="5"/>
        <v>1.8181818181818181E-2</v>
      </c>
      <c r="F7" s="205">
        <f t="shared" si="6"/>
        <v>2.3245417970496202E-2</v>
      </c>
      <c r="G7" s="204">
        <f t="shared" si="0"/>
        <v>0</v>
      </c>
      <c r="H7" s="205">
        <f t="shared" si="1"/>
        <v>8.8888888888888892E-2</v>
      </c>
      <c r="I7" s="204">
        <f t="shared" si="2"/>
        <v>0</v>
      </c>
      <c r="J7" s="205">
        <f t="shared" si="3"/>
        <v>7.1232876712328766E-2</v>
      </c>
      <c r="K7" s="216" t="s">
        <v>107</v>
      </c>
      <c r="L7" s="222">
        <f t="shared" si="7"/>
        <v>2752981.6718819849</v>
      </c>
      <c r="M7" s="223">
        <f t="shared" si="8"/>
        <v>24016438.356164381</v>
      </c>
      <c r="N7" s="104">
        <f>R7+SUM(T7:X7)</f>
        <v>2341818.1818181816</v>
      </c>
      <c r="O7" s="223">
        <f>S7</f>
        <v>4000000</v>
      </c>
      <c r="P7" s="104">
        <f>Y7+SUM(AA7:AE7)</f>
        <v>411163.49006380304</v>
      </c>
      <c r="Q7" s="223">
        <f>Z7</f>
        <v>20016438.356164381</v>
      </c>
      <c r="R7" s="220">
        <f>'Revised top-down'!$E$3*($E7)*1000000</f>
        <v>414545.45454545453</v>
      </c>
      <c r="S7" s="218">
        <f>('Revised top-down'!$E$4*G7+'Revised top-down'!$F$4*H7)*1000000</f>
        <v>4000000</v>
      </c>
      <c r="T7" s="105">
        <f>'Revised top-down'!$E$5/11*1000000</f>
        <v>590909.09090909094</v>
      </c>
      <c r="U7" s="105">
        <f>'Revised top-down'!$E$6/11*1000000</f>
        <v>618181.81818181812</v>
      </c>
      <c r="V7" s="105">
        <f>'Revised top-down'!$E$7/11*1000000</f>
        <v>472727.27272727271</v>
      </c>
      <c r="W7" s="105">
        <f>'Revised top-down'!$E$8/11*1000000</f>
        <v>45454.545454545456</v>
      </c>
      <c r="X7" s="106">
        <f>'Revised top-down'!$E$9/11*1000000</f>
        <v>200000</v>
      </c>
      <c r="Y7" s="104">
        <f>'Revised top-down'!$H$3*F7*1000000</f>
        <v>92981.671881984803</v>
      </c>
      <c r="Z7" s="218">
        <f>('Revised top-down'!$H$4*I7+'Revised top-down'!$I$4*J7)*1000000</f>
        <v>20016438.356164381</v>
      </c>
      <c r="AA7" s="105">
        <f>'Revised top-down'!$K$5/11*1000000</f>
        <v>0</v>
      </c>
      <c r="AB7" s="105">
        <f>'Revised top-down'!$K$6/11*1000000</f>
        <v>181818.18181818182</v>
      </c>
      <c r="AC7" s="105">
        <f>'Revised top-down'!$K$7/11*1000000</f>
        <v>0</v>
      </c>
      <c r="AD7" s="105">
        <f>'Revised top-down'!$K$8/11*1000000</f>
        <v>45454.545454545456</v>
      </c>
      <c r="AE7" s="105">
        <f>'Revised top-down'!$H$9/11*1000000</f>
        <v>90909.090909090912</v>
      </c>
    </row>
    <row r="8" spans="1:31" x14ac:dyDescent="0.35">
      <c r="A8" t="s">
        <v>256</v>
      </c>
      <c r="B8" s="58">
        <v>27000000</v>
      </c>
      <c r="C8" s="100">
        <v>223000000</v>
      </c>
      <c r="D8" s="212">
        <f t="shared" si="4"/>
        <v>0.1003880999815473</v>
      </c>
      <c r="E8" s="205">
        <f t="shared" si="5"/>
        <v>0.12272727272727273</v>
      </c>
      <c r="F8" s="205">
        <f t="shared" si="6"/>
        <v>0.19937416182387124</v>
      </c>
      <c r="G8" s="204">
        <f t="shared" si="0"/>
        <v>0.15428571428571428</v>
      </c>
      <c r="H8" s="205">
        <f t="shared" si="1"/>
        <v>0</v>
      </c>
      <c r="I8" s="204">
        <f t="shared" si="2"/>
        <v>0.29595222295952223</v>
      </c>
      <c r="J8" s="205">
        <f t="shared" si="3"/>
        <v>0</v>
      </c>
      <c r="K8" s="216" t="s">
        <v>108</v>
      </c>
      <c r="L8" s="222">
        <f t="shared" si="7"/>
        <v>271692906.63876384</v>
      </c>
      <c r="M8" s="223">
        <f t="shared" si="8"/>
        <v>0</v>
      </c>
      <c r="N8" s="104">
        <f>SUM(R8:X8)</f>
        <v>24936883.116883114</v>
      </c>
      <c r="O8" s="223">
        <v>0</v>
      </c>
      <c r="P8" s="104">
        <f>SUM(Y8:AE8)</f>
        <v>246756023.52188075</v>
      </c>
      <c r="Q8" s="223">
        <v>0</v>
      </c>
      <c r="R8" s="220">
        <f>'Revised top-down'!$E$3*($E8)*1000000</f>
        <v>2798181.8181818184</v>
      </c>
      <c r="S8" s="105">
        <f>('Revised top-down'!$E$4*G8+'Revised top-down'!$F$4*H8)*1000000</f>
        <v>20211428.571428571</v>
      </c>
      <c r="T8" s="105">
        <f>'Revised top-down'!$E$5/11*1000000</f>
        <v>590909.09090909094</v>
      </c>
      <c r="U8" s="105">
        <f>'Revised top-down'!$E$6/11*1000000</f>
        <v>618181.81818181812</v>
      </c>
      <c r="V8" s="105">
        <f>'Revised top-down'!$E$7/11*1000000</f>
        <v>472727.27272727271</v>
      </c>
      <c r="W8" s="105">
        <f>'Revised top-down'!$E$8/11*1000000</f>
        <v>45454.545454545456</v>
      </c>
      <c r="X8" s="106">
        <f>'Revised top-down'!$E$9/11*1000000</f>
        <v>200000</v>
      </c>
      <c r="Y8" s="104">
        <f>'Revised top-down'!$H$3*F8*1000000</f>
        <v>797496.64729548502</v>
      </c>
      <c r="Z8" s="105">
        <f>('Revised top-down'!$H$4*I8+'Revised top-down'!$I$4*J8)*1000000</f>
        <v>245640345.05640346</v>
      </c>
      <c r="AA8" s="105">
        <f>'Revised top-down'!$K$5/11*1000000</f>
        <v>0</v>
      </c>
      <c r="AB8" s="105">
        <f>'Revised top-down'!$K$6/11*1000000</f>
        <v>181818.18181818182</v>
      </c>
      <c r="AC8" s="105">
        <f>'Revised top-down'!$K$7/11*1000000</f>
        <v>0</v>
      </c>
      <c r="AD8" s="105">
        <f>'Revised top-down'!$K$8/11*1000000</f>
        <v>45454.545454545456</v>
      </c>
      <c r="AE8" s="105">
        <f>'Revised top-down'!$H$9/11*1000000</f>
        <v>90909.090909090912</v>
      </c>
    </row>
    <row r="9" spans="1:31" x14ac:dyDescent="0.35">
      <c r="A9" t="s">
        <v>256</v>
      </c>
      <c r="B9" s="58">
        <v>30000000</v>
      </c>
      <c r="C9" s="100">
        <v>97000000</v>
      </c>
      <c r="D9" s="212">
        <f t="shared" si="4"/>
        <v>0.2591338121466088</v>
      </c>
      <c r="E9" s="205">
        <f t="shared" si="5"/>
        <v>0.13636363636363635</v>
      </c>
      <c r="F9" s="205">
        <f t="shared" si="6"/>
        <v>8.6723290120697363E-2</v>
      </c>
      <c r="G9" s="204">
        <f t="shared" si="0"/>
        <v>0.17142857142857143</v>
      </c>
      <c r="H9" s="205">
        <f t="shared" si="1"/>
        <v>0</v>
      </c>
      <c r="I9" s="204">
        <f t="shared" si="2"/>
        <v>0.12873258128732581</v>
      </c>
      <c r="J9" s="205">
        <f t="shared" si="3"/>
        <v>0</v>
      </c>
      <c r="K9" s="216" t="s">
        <v>109</v>
      </c>
      <c r="L9" s="222">
        <f t="shared" si="7"/>
        <v>135006623.94065154</v>
      </c>
      <c r="M9" s="223">
        <f t="shared" si="8"/>
        <v>0</v>
      </c>
      <c r="N9" s="104">
        <f>SUM(R9:X9)</f>
        <v>27493506.493506495</v>
      </c>
      <c r="O9" s="223">
        <v>0</v>
      </c>
      <c r="P9" s="104">
        <f>SUM(Y9:AE9)</f>
        <v>107513117.44714504</v>
      </c>
      <c r="Q9" s="223">
        <v>0</v>
      </c>
      <c r="R9" s="220">
        <f>'Revised top-down'!$E$3*($E9)*1000000</f>
        <v>3109090.9090909087</v>
      </c>
      <c r="S9" s="105">
        <f>('Revised top-down'!$E$4*G9+'Revised top-down'!$F$4*H9)*1000000</f>
        <v>22457142.857142858</v>
      </c>
      <c r="T9" s="105">
        <f>'Revised top-down'!$E$5/11*1000000</f>
        <v>590909.09090909094</v>
      </c>
      <c r="U9" s="105">
        <f>'Revised top-down'!$E$6/11*1000000</f>
        <v>618181.81818181812</v>
      </c>
      <c r="V9" s="105">
        <f>'Revised top-down'!$E$7/11*1000000</f>
        <v>472727.27272727271</v>
      </c>
      <c r="W9" s="105">
        <f>'Revised top-down'!$E$8/11*1000000</f>
        <v>45454.545454545456</v>
      </c>
      <c r="X9" s="106">
        <f>'Revised top-down'!$E$9/11*1000000</f>
        <v>200000</v>
      </c>
      <c r="Y9" s="104">
        <f>'Revised top-down'!$H$3*F9*1000000</f>
        <v>346893.16048278945</v>
      </c>
      <c r="Z9" s="105">
        <f>('Revised top-down'!$H$4*I9+'Revised top-down'!$I$4*J9)*1000000</f>
        <v>106848042.46848042</v>
      </c>
      <c r="AA9" s="105">
        <f>'Revised top-down'!$K$5/11*1000000</f>
        <v>0</v>
      </c>
      <c r="AB9" s="105">
        <f>'Revised top-down'!$K$6/11*1000000</f>
        <v>181818.18181818182</v>
      </c>
      <c r="AC9" s="105">
        <f>'Revised top-down'!$K$7/11*1000000</f>
        <v>0</v>
      </c>
      <c r="AD9" s="105">
        <f>'Revised top-down'!$K$8/11*1000000</f>
        <v>45454.545454545456</v>
      </c>
      <c r="AE9" s="105">
        <f>'Revised top-down'!$H$9/11*1000000</f>
        <v>90909.090909090912</v>
      </c>
    </row>
    <row r="10" spans="1:31" x14ac:dyDescent="0.35">
      <c r="A10" t="s">
        <v>257</v>
      </c>
      <c r="B10" s="58">
        <v>25000000</v>
      </c>
      <c r="C10" s="197">
        <v>225000000</v>
      </c>
      <c r="D10" s="212">
        <f t="shared" si="4"/>
        <v>9.1486855333747646E-2</v>
      </c>
      <c r="E10" s="205">
        <f t="shared" si="5"/>
        <v>0.11363636363636363</v>
      </c>
      <c r="F10" s="205">
        <f t="shared" si="6"/>
        <v>0.20116227089852481</v>
      </c>
      <c r="G10" s="204">
        <f t="shared" si="0"/>
        <v>0</v>
      </c>
      <c r="H10" s="205">
        <f t="shared" si="1"/>
        <v>0.55555555555555558</v>
      </c>
      <c r="I10" s="204">
        <f t="shared" si="2"/>
        <v>0</v>
      </c>
      <c r="J10" s="205">
        <f t="shared" si="3"/>
        <v>0.61643835616438358</v>
      </c>
      <c r="K10" s="216" t="s">
        <v>110</v>
      </c>
      <c r="L10" s="222">
        <f t="shared" si="7"/>
        <v>5641012.7199577354</v>
      </c>
      <c r="M10" s="223">
        <f t="shared" si="8"/>
        <v>198219178.08219177</v>
      </c>
      <c r="N10" s="104">
        <f>R10+SUM(T10:X10)</f>
        <v>4518181.8181818184</v>
      </c>
      <c r="O10" s="223">
        <f>S10</f>
        <v>25000000</v>
      </c>
      <c r="P10" s="104">
        <f>Y10+SUM(AA10:AE10)</f>
        <v>1122830.9017759175</v>
      </c>
      <c r="Q10" s="223">
        <f>Z10</f>
        <v>173219178.08219177</v>
      </c>
      <c r="R10" s="220">
        <f>'Revised top-down'!$E$3*($E10)*1000000</f>
        <v>2590909.0909090908</v>
      </c>
      <c r="S10" s="218">
        <f>('Revised top-down'!$E$4*G10+'Revised top-down'!$F$4*H10)*1000000</f>
        <v>25000000</v>
      </c>
      <c r="T10" s="105">
        <f>'Revised top-down'!$E$5/11*1000000</f>
        <v>590909.09090909094</v>
      </c>
      <c r="U10" s="105">
        <f>'Revised top-down'!$E$6/11*1000000</f>
        <v>618181.81818181812</v>
      </c>
      <c r="V10" s="105">
        <f>'Revised top-down'!$E$7/11*1000000</f>
        <v>472727.27272727271</v>
      </c>
      <c r="W10" s="105">
        <f>'Revised top-down'!$E$8/11*1000000</f>
        <v>45454.545454545456</v>
      </c>
      <c r="X10" s="106">
        <f>'Revised top-down'!$E$9/11*1000000</f>
        <v>200000</v>
      </c>
      <c r="Y10" s="104">
        <f>'Revised top-down'!$H$3*F10*1000000</f>
        <v>804649.08359409927</v>
      </c>
      <c r="Z10" s="218">
        <f>('Revised top-down'!$H$4*I10+'Revised top-down'!$I$4*J10)*1000000</f>
        <v>173219178.08219177</v>
      </c>
      <c r="AA10" s="105">
        <f>'Revised top-down'!$K$5/11*1000000</f>
        <v>0</v>
      </c>
      <c r="AB10" s="105">
        <f>'Revised top-down'!$K$6/11*1000000</f>
        <v>181818.18181818182</v>
      </c>
      <c r="AC10" s="105">
        <f>'Revised top-down'!$K$7/11*1000000</f>
        <v>0</v>
      </c>
      <c r="AD10" s="105">
        <f>'Revised top-down'!$K$8/11*1000000</f>
        <v>45454.545454545456</v>
      </c>
      <c r="AE10" s="105">
        <f>'Revised top-down'!$H$9/11*1000000</f>
        <v>90909.090909090912</v>
      </c>
    </row>
    <row r="11" spans="1:31" x14ac:dyDescent="0.35">
      <c r="A11" t="s">
        <v>256</v>
      </c>
      <c r="B11" s="58">
        <v>14000000</v>
      </c>
      <c r="C11" s="100">
        <v>66000000</v>
      </c>
      <c r="D11" s="212">
        <f t="shared" si="4"/>
        <v>0.16229949308396638</v>
      </c>
      <c r="E11" s="205">
        <f t="shared" si="5"/>
        <v>6.363636363636363E-2</v>
      </c>
      <c r="F11" s="205">
        <f t="shared" si="6"/>
        <v>5.9007599463567276E-2</v>
      </c>
      <c r="G11" s="204">
        <f t="shared" si="0"/>
        <v>0.08</v>
      </c>
      <c r="H11" s="205">
        <f t="shared" si="1"/>
        <v>0</v>
      </c>
      <c r="I11" s="204">
        <f t="shared" si="2"/>
        <v>8.7591240875912413E-2</v>
      </c>
      <c r="J11" s="205">
        <f t="shared" si="3"/>
        <v>0</v>
      </c>
      <c r="K11" s="216" t="s">
        <v>111</v>
      </c>
      <c r="L11" s="222">
        <f t="shared" si="7"/>
        <v>87113123.961225212</v>
      </c>
      <c r="M11" s="223">
        <f t="shared" si="8"/>
        <v>0</v>
      </c>
      <c r="N11" s="104">
        <f>SUM(R11:X11)</f>
        <v>13858181.818181818</v>
      </c>
      <c r="O11" s="223">
        <v>0</v>
      </c>
      <c r="P11" s="104">
        <f>SUM(Y11:AE11)</f>
        <v>73254942.143043399</v>
      </c>
      <c r="Q11" s="223">
        <v>0</v>
      </c>
      <c r="R11" s="220">
        <f>'Revised top-down'!$E$3*($E11)*1000000</f>
        <v>1450909.0909090906</v>
      </c>
      <c r="S11" s="105">
        <f>('Revised top-down'!$E$4*G11+'Revised top-down'!$F$4*H11)*1000000</f>
        <v>10480000</v>
      </c>
      <c r="T11" s="105">
        <f>'Revised top-down'!$E$5/11*1000000</f>
        <v>590909.09090909094</v>
      </c>
      <c r="U11" s="105">
        <f>'Revised top-down'!$E$6/11*1000000</f>
        <v>618181.81818181812</v>
      </c>
      <c r="V11" s="105">
        <f>'Revised top-down'!$E$7/11*1000000</f>
        <v>472727.27272727271</v>
      </c>
      <c r="W11" s="105">
        <f>'Revised top-down'!$E$8/11*1000000</f>
        <v>45454.545454545456</v>
      </c>
      <c r="X11" s="106">
        <f>'Revised top-down'!$E$9/11*1000000</f>
        <v>200000</v>
      </c>
      <c r="Y11" s="104">
        <f>'Revised top-down'!$H$3*F11*1000000</f>
        <v>236030.3978542691</v>
      </c>
      <c r="Z11" s="105">
        <f>('Revised top-down'!$H$4*I11+'Revised top-down'!$I$4*J11)*1000000</f>
        <v>72700729.927007303</v>
      </c>
      <c r="AA11" s="105">
        <f>'Revised top-down'!$K$5/11*1000000</f>
        <v>0</v>
      </c>
      <c r="AB11" s="105">
        <f>'Revised top-down'!$K$6/11*1000000</f>
        <v>181818.18181818182</v>
      </c>
      <c r="AC11" s="105">
        <f>'Revised top-down'!$K$7/11*1000000</f>
        <v>0</v>
      </c>
      <c r="AD11" s="105">
        <f>'Revised top-down'!$K$8/11*1000000</f>
        <v>45454.545454545456</v>
      </c>
      <c r="AE11" s="105">
        <f>'Revised top-down'!$H$9/11*1000000</f>
        <v>90909.090909090912</v>
      </c>
    </row>
    <row r="12" spans="1:31" x14ac:dyDescent="0.35">
      <c r="A12" t="s">
        <v>256</v>
      </c>
      <c r="B12" s="58">
        <v>32000000</v>
      </c>
      <c r="C12" s="100">
        <v>148000000</v>
      </c>
      <c r="D12" s="212">
        <f t="shared" si="4"/>
        <v>0.18182740181704826</v>
      </c>
      <c r="E12" s="205">
        <f t="shared" si="5"/>
        <v>0.14545454545454545</v>
      </c>
      <c r="F12" s="205">
        <f t="shared" si="6"/>
        <v>0.13232007152436298</v>
      </c>
      <c r="G12" s="204">
        <f t="shared" si="0"/>
        <v>0.18285714285714286</v>
      </c>
      <c r="H12" s="205">
        <f t="shared" si="1"/>
        <v>0</v>
      </c>
      <c r="I12" s="204">
        <f t="shared" si="2"/>
        <v>0.19641672196416721</v>
      </c>
      <c r="J12" s="205">
        <f t="shared" si="3"/>
        <v>0</v>
      </c>
      <c r="K12" s="216" t="s">
        <v>112</v>
      </c>
      <c r="L12" s="222">
        <f t="shared" si="7"/>
        <v>193071263.41246012</v>
      </c>
      <c r="M12" s="223">
        <f t="shared" si="8"/>
        <v>0</v>
      </c>
      <c r="N12" s="104">
        <f>SUM(R12:X12)</f>
        <v>29197922.077922076</v>
      </c>
      <c r="O12" s="223">
        <v>0</v>
      </c>
      <c r="P12" s="104">
        <f>SUM(Y12:AE12)</f>
        <v>163873341.33453804</v>
      </c>
      <c r="Q12" s="223">
        <v>0</v>
      </c>
      <c r="R12" s="220">
        <f>'Revised top-down'!$E$3*($E12)*1000000</f>
        <v>3316363.6363636362</v>
      </c>
      <c r="S12" s="105">
        <f>('Revised top-down'!$E$4*G12+'Revised top-down'!$F$4*H12)*1000000</f>
        <v>23954285.714285713</v>
      </c>
      <c r="T12" s="105">
        <f>'Revised top-down'!$E$5/11*1000000</f>
        <v>590909.09090909094</v>
      </c>
      <c r="U12" s="105">
        <f>'Revised top-down'!$E$6/11*1000000</f>
        <v>618181.81818181812</v>
      </c>
      <c r="V12" s="105">
        <f>'Revised top-down'!$E$7/11*1000000</f>
        <v>472727.27272727271</v>
      </c>
      <c r="W12" s="105">
        <f>'Revised top-down'!$E$8/11*1000000</f>
        <v>45454.545454545456</v>
      </c>
      <c r="X12" s="106">
        <f>'Revised top-down'!$E$9/11*1000000</f>
        <v>200000</v>
      </c>
      <c r="Y12" s="104">
        <f>'Revised top-down'!$H$3*F12*1000000</f>
        <v>529280.28609745193</v>
      </c>
      <c r="Z12" s="105">
        <f>('Revised top-down'!$H$4*I12+'Revised top-down'!$I$4*J12)*1000000</f>
        <v>163025879.23025879</v>
      </c>
      <c r="AA12" s="105">
        <f>'Revised top-down'!$K$5/11*1000000</f>
        <v>0</v>
      </c>
      <c r="AB12" s="105">
        <f>'Revised top-down'!$K$6/11*1000000</f>
        <v>181818.18181818182</v>
      </c>
      <c r="AC12" s="105">
        <f>'Revised top-down'!$K$7/11*1000000</f>
        <v>0</v>
      </c>
      <c r="AD12" s="105">
        <f>'Revised top-down'!$K$8/11*1000000</f>
        <v>45454.545454545456</v>
      </c>
      <c r="AE12" s="105">
        <f>'Revised top-down'!$H$9/11*1000000</f>
        <v>90909.090909090912</v>
      </c>
    </row>
    <row r="13" spans="1:31" x14ac:dyDescent="0.35">
      <c r="A13" t="s">
        <v>257</v>
      </c>
      <c r="B13" s="58">
        <v>8000000</v>
      </c>
      <c r="C13" s="197">
        <v>32000000</v>
      </c>
      <c r="D13" s="212">
        <f t="shared" si="4"/>
        <v>0.16610933490048965</v>
      </c>
      <c r="E13" s="205">
        <f t="shared" si="5"/>
        <v>3.6363636363636362E-2</v>
      </c>
      <c r="F13" s="205">
        <f t="shared" si="6"/>
        <v>2.8609745194456863E-2</v>
      </c>
      <c r="G13" s="204">
        <f t="shared" si="0"/>
        <v>0</v>
      </c>
      <c r="H13" s="205">
        <f t="shared" si="1"/>
        <v>0.17777777777777778</v>
      </c>
      <c r="I13" s="204">
        <f t="shared" si="2"/>
        <v>0</v>
      </c>
      <c r="J13" s="205">
        <f t="shared" si="3"/>
        <v>8.7671232876712329E-2</v>
      </c>
      <c r="K13" s="216" t="s">
        <v>113</v>
      </c>
      <c r="L13" s="222">
        <f t="shared" si="7"/>
        <v>3188984.4353232821</v>
      </c>
      <c r="M13" s="223">
        <f t="shared" si="8"/>
        <v>32635616.438356165</v>
      </c>
      <c r="N13" s="104">
        <f>R13+SUM(T13:X13)</f>
        <v>2756363.6363636362</v>
      </c>
      <c r="O13" s="223">
        <f>S13</f>
        <v>8000000</v>
      </c>
      <c r="P13" s="104">
        <f>Y13+SUM(AA13:AE13)</f>
        <v>432620.79895964568</v>
      </c>
      <c r="Q13" s="223">
        <f>Z13</f>
        <v>24635616.438356165</v>
      </c>
      <c r="R13" s="220">
        <f>'Revised top-down'!$E$3*($E13)*1000000</f>
        <v>829090.90909090906</v>
      </c>
      <c r="S13" s="218">
        <f>('Revised top-down'!$E$4*G13+'Revised top-down'!$F$4*H13)*1000000</f>
        <v>8000000</v>
      </c>
      <c r="T13" s="105">
        <f>'Revised top-down'!$E$5/11*1000000</f>
        <v>590909.09090909094</v>
      </c>
      <c r="U13" s="105">
        <f>'Revised top-down'!$E$6/11*1000000</f>
        <v>618181.81818181812</v>
      </c>
      <c r="V13" s="105">
        <f>'Revised top-down'!$E$7/11*1000000</f>
        <v>472727.27272727271</v>
      </c>
      <c r="W13" s="105">
        <f>'Revised top-down'!$E$8/11*1000000</f>
        <v>45454.545454545456</v>
      </c>
      <c r="X13" s="106">
        <f>'Revised top-down'!$E$9/11*1000000</f>
        <v>200000</v>
      </c>
      <c r="Y13" s="104">
        <f>'Revised top-down'!$H$3*F13*1000000</f>
        <v>114438.98077782746</v>
      </c>
      <c r="Z13" s="218">
        <f>('Revised top-down'!$H$4*I13+'Revised top-down'!$I$4*J13)*1000000</f>
        <v>24635616.438356165</v>
      </c>
      <c r="AA13" s="105">
        <f>'Revised top-down'!$K$5/11*1000000</f>
        <v>0</v>
      </c>
      <c r="AB13" s="105">
        <f>'Revised top-down'!$K$6/11*1000000</f>
        <v>181818.18181818182</v>
      </c>
      <c r="AC13" s="105">
        <f>'Revised top-down'!$K$7/11*1000000</f>
        <v>0</v>
      </c>
      <c r="AD13" s="105">
        <f>'Revised top-down'!$K$8/11*1000000</f>
        <v>45454.545454545456</v>
      </c>
      <c r="AE13" s="105">
        <f>'Revised top-down'!$H$9/11*1000000</f>
        <v>90909.090909090912</v>
      </c>
    </row>
    <row r="14" spans="1:31" ht="15" thickBot="1" x14ac:dyDescent="0.4">
      <c r="A14" t="s">
        <v>256</v>
      </c>
      <c r="B14" s="58">
        <v>17000000</v>
      </c>
      <c r="C14" s="100">
        <v>63000000</v>
      </c>
      <c r="D14" s="213">
        <f t="shared" si="4"/>
        <v>0.21312282288486156</v>
      </c>
      <c r="E14" s="207">
        <f t="shared" si="5"/>
        <v>7.7272727272727271E-2</v>
      </c>
      <c r="F14" s="207">
        <f t="shared" si="6"/>
        <v>5.6325435851586947E-2</v>
      </c>
      <c r="G14" s="206">
        <f t="shared" si="0"/>
        <v>9.7142857142857142E-2</v>
      </c>
      <c r="H14" s="207">
        <f t="shared" si="1"/>
        <v>0</v>
      </c>
      <c r="I14" s="206">
        <f t="shared" si="2"/>
        <v>8.3609820836098206E-2</v>
      </c>
      <c r="J14" s="207">
        <f t="shared" si="3"/>
        <v>0</v>
      </c>
      <c r="K14" s="216" t="s">
        <v>114</v>
      </c>
      <c r="L14" s="222">
        <f t="shared" si="7"/>
        <v>86354440.050354868</v>
      </c>
      <c r="M14" s="223">
        <f t="shared" si="8"/>
        <v>0</v>
      </c>
      <c r="N14" s="104">
        <f>SUM(R14:X14)</f>
        <v>16414805.194805196</v>
      </c>
      <c r="O14" s="223">
        <v>0</v>
      </c>
      <c r="P14" s="104">
        <f>SUM(Y14:AE14)</f>
        <v>69939634.855549678</v>
      </c>
      <c r="Q14" s="223">
        <v>0</v>
      </c>
      <c r="R14" s="220">
        <f>'Revised top-down'!$E$3*($E14)*1000000</f>
        <v>1761818.1818181816</v>
      </c>
      <c r="S14" s="105">
        <f>('Revised top-down'!$E$4*G14+'Revised top-down'!$F$4*H14)*1000000</f>
        <v>12725714.285714285</v>
      </c>
      <c r="T14" s="105">
        <f>'Revised top-down'!$E$5/11*1000000</f>
        <v>590909.09090909094</v>
      </c>
      <c r="U14" s="105">
        <f>'Revised top-down'!$E$6/11*1000000</f>
        <v>618181.81818181812</v>
      </c>
      <c r="V14" s="105">
        <f>'Revised top-down'!$E$7/11*1000000</f>
        <v>472727.27272727271</v>
      </c>
      <c r="W14" s="105">
        <f>'Revised top-down'!$E$8/11*1000000</f>
        <v>45454.545454545456</v>
      </c>
      <c r="X14" s="106">
        <f>'Revised top-down'!$E$9/11*1000000</f>
        <v>200000</v>
      </c>
      <c r="Y14" s="104">
        <f>'Revised top-down'!$H$3*F14*1000000</f>
        <v>225301.74340634778</v>
      </c>
      <c r="Z14" s="105">
        <f>('Revised top-down'!$H$4*I14+'Revised top-down'!$I$4*J14)*1000000</f>
        <v>69396151.29396151</v>
      </c>
      <c r="AA14" s="105">
        <f>'Revised top-down'!$K$5/11*1000000</f>
        <v>0</v>
      </c>
      <c r="AB14" s="105">
        <f>'Revised top-down'!$K$6/11*1000000</f>
        <v>181818.18181818182</v>
      </c>
      <c r="AC14" s="105">
        <f>'Revised top-down'!$K$7/11*1000000</f>
        <v>0</v>
      </c>
      <c r="AD14" s="105">
        <f>'Revised top-down'!$K$8/11*1000000</f>
        <v>45454.545454545456</v>
      </c>
      <c r="AE14" s="105">
        <f>'Revised top-down'!$H$9/11*1000000</f>
        <v>90909.090909090912</v>
      </c>
    </row>
    <row r="15" spans="1:31" ht="15" thickBot="1" x14ac:dyDescent="0.4">
      <c r="B15" s="203">
        <f t="shared" ref="B15" si="9">SUM(B4:B14)</f>
        <v>220000000</v>
      </c>
      <c r="C15" s="99">
        <v>1118500000</v>
      </c>
      <c r="D15" s="211"/>
      <c r="E15" s="211"/>
      <c r="F15" s="211"/>
      <c r="K15" s="217" t="s">
        <v>103</v>
      </c>
      <c r="L15" s="229">
        <f t="shared" ref="L15:Q15" si="10">SUM(L4:L14)</f>
        <v>1012500000.0000907</v>
      </c>
      <c r="M15" s="226">
        <f t="shared" si="10"/>
        <v>326000000</v>
      </c>
      <c r="N15" s="229">
        <f t="shared" si="10"/>
        <v>175000000.0000909</v>
      </c>
      <c r="O15" s="226">
        <f t="shared" si="10"/>
        <v>45000000</v>
      </c>
      <c r="P15" s="107">
        <f t="shared" si="10"/>
        <v>837500000</v>
      </c>
      <c r="Q15" s="226">
        <f t="shared" si="10"/>
        <v>281000000</v>
      </c>
      <c r="R15" s="221">
        <f t="shared" ref="R15:AE15" si="11">SUM(R4:R14)</f>
        <v>22800000</v>
      </c>
      <c r="S15" s="108">
        <f>SUM(S4:S5,S8:S9,S11:S12,S14)</f>
        <v>131000000</v>
      </c>
      <c r="T15" s="108">
        <f t="shared" si="11"/>
        <v>6500000.0000909083</v>
      </c>
      <c r="U15" s="108">
        <f t="shared" si="11"/>
        <v>6800000.0000000009</v>
      </c>
      <c r="V15" s="108">
        <f t="shared" si="11"/>
        <v>5199999.9999999981</v>
      </c>
      <c r="W15" s="108">
        <f t="shared" si="11"/>
        <v>500000.00000000012</v>
      </c>
      <c r="X15" s="109">
        <f t="shared" si="11"/>
        <v>2200000</v>
      </c>
      <c r="Y15" s="107">
        <f t="shared" si="11"/>
        <v>4000000</v>
      </c>
      <c r="Z15" s="108">
        <f>SUM(Z4:Z5,Z8:Z9,Z11:Z12,Z14)</f>
        <v>830000000</v>
      </c>
      <c r="AA15" s="108">
        <f t="shared" si="11"/>
        <v>0</v>
      </c>
      <c r="AB15" s="108">
        <f t="shared" si="11"/>
        <v>2000000.0000000005</v>
      </c>
      <c r="AC15" s="108">
        <f t="shared" si="11"/>
        <v>0</v>
      </c>
      <c r="AD15" s="108">
        <f t="shared" si="11"/>
        <v>500000.00000000012</v>
      </c>
      <c r="AE15" s="109">
        <f t="shared" si="11"/>
        <v>1000000.0000000002</v>
      </c>
    </row>
    <row r="16" spans="1:31" ht="15" thickBot="1" x14ac:dyDescent="0.4">
      <c r="S16" s="230">
        <f>SUM(S13,S10,S6:S7)</f>
        <v>45000000</v>
      </c>
      <c r="Z16" s="230">
        <f>SUM(Z13,Z10,Z6:Z7)</f>
        <v>281000000</v>
      </c>
    </row>
  </sheetData>
  <mergeCells count="14">
    <mergeCell ref="D2:D3"/>
    <mergeCell ref="L2:M2"/>
    <mergeCell ref="N2:O2"/>
    <mergeCell ref="G2:H2"/>
    <mergeCell ref="I2:J2"/>
    <mergeCell ref="R2:S2"/>
    <mergeCell ref="T2:W2"/>
    <mergeCell ref="E2:E3"/>
    <mergeCell ref="F2:F3"/>
    <mergeCell ref="R1:X1"/>
    <mergeCell ref="Y1:AE1"/>
    <mergeCell ref="Y2:Z2"/>
    <mergeCell ref="AA2:AD2"/>
    <mergeCell ref="P2:Q2"/>
  </mergeCells>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2"/>
  <sheetViews>
    <sheetView zoomScale="70" zoomScaleNormal="70" workbookViewId="0">
      <pane xSplit="5" ySplit="3" topLeftCell="F4" activePane="bottomRight" state="frozen"/>
      <selection pane="topRight" activeCell="F1" sqref="F1"/>
      <selection pane="bottomLeft" activeCell="A4" sqref="A4"/>
      <selection pane="bottomRight" activeCell="B32" sqref="B32"/>
    </sheetView>
  </sheetViews>
  <sheetFormatPr baseColWidth="10" defaultColWidth="8.7265625" defaultRowHeight="14.5" x14ac:dyDescent="0.35"/>
  <cols>
    <col min="1" max="1" width="37.453125" customWidth="1"/>
    <col min="2" max="2" width="34.1796875" customWidth="1"/>
    <col min="3" max="3" width="18.453125" customWidth="1"/>
    <col min="4" max="4" width="20.1796875" customWidth="1"/>
    <col min="5" max="5" width="19.54296875" customWidth="1"/>
    <col min="7" max="7" width="10" bestFit="1" customWidth="1"/>
  </cols>
  <sheetData>
    <row r="1" spans="1:7" ht="15" thickBot="1" x14ac:dyDescent="0.4">
      <c r="A1" s="279" t="s">
        <v>213</v>
      </c>
      <c r="B1" s="280"/>
      <c r="C1" s="280"/>
      <c r="D1" s="280"/>
      <c r="E1" s="281"/>
    </row>
    <row r="2" spans="1:7" ht="15" thickBot="1" x14ac:dyDescent="0.4">
      <c r="A2" s="111" t="s">
        <v>146</v>
      </c>
      <c r="B2" s="112" t="s">
        <v>147</v>
      </c>
      <c r="C2" s="112" t="s">
        <v>148</v>
      </c>
      <c r="D2" s="112" t="s">
        <v>149</v>
      </c>
      <c r="E2" s="112" t="s">
        <v>150</v>
      </c>
    </row>
    <row r="3" spans="1:7" ht="25.5" customHeight="1" x14ac:dyDescent="0.35">
      <c r="A3" s="113" t="s">
        <v>151</v>
      </c>
      <c r="B3" s="114"/>
      <c r="C3" s="114"/>
      <c r="D3" s="114"/>
      <c r="E3" s="115"/>
      <c r="G3" s="116"/>
    </row>
    <row r="4" spans="1:7" ht="104" x14ac:dyDescent="0.35">
      <c r="A4" s="117" t="s">
        <v>152</v>
      </c>
      <c r="B4" s="118" t="s">
        <v>153</v>
      </c>
      <c r="C4" s="119" t="s">
        <v>154</v>
      </c>
      <c r="D4" s="120" t="s">
        <v>155</v>
      </c>
      <c r="E4" s="121">
        <v>200000</v>
      </c>
    </row>
    <row r="5" spans="1:7" ht="39" x14ac:dyDescent="0.35">
      <c r="A5" s="119" t="s">
        <v>156</v>
      </c>
      <c r="B5" s="118" t="s">
        <v>157</v>
      </c>
      <c r="C5" s="119" t="s">
        <v>158</v>
      </c>
      <c r="D5" s="120" t="s">
        <v>159</v>
      </c>
      <c r="E5" s="121">
        <v>100000</v>
      </c>
    </row>
    <row r="6" spans="1:7" ht="143" x14ac:dyDescent="0.35">
      <c r="A6" s="117" t="s">
        <v>160</v>
      </c>
      <c r="B6" s="118" t="s">
        <v>161</v>
      </c>
      <c r="C6" s="119" t="s">
        <v>158</v>
      </c>
      <c r="D6" s="120" t="s">
        <v>162</v>
      </c>
      <c r="E6" s="121">
        <v>180000</v>
      </c>
    </row>
    <row r="7" spans="1:7" ht="91" x14ac:dyDescent="0.35">
      <c r="A7" s="119" t="s">
        <v>163</v>
      </c>
      <c r="B7" s="118" t="s">
        <v>157</v>
      </c>
      <c r="C7" s="119" t="s">
        <v>154</v>
      </c>
      <c r="D7" s="120" t="s">
        <v>164</v>
      </c>
      <c r="E7" s="121">
        <v>180000</v>
      </c>
    </row>
    <row r="8" spans="1:7" x14ac:dyDescent="0.35">
      <c r="A8" s="122" t="s">
        <v>165</v>
      </c>
      <c r="B8" s="123"/>
      <c r="C8" s="123"/>
      <c r="D8" s="123"/>
      <c r="E8" s="124"/>
    </row>
    <row r="9" spans="1:7" ht="143" x14ac:dyDescent="0.35">
      <c r="A9" s="117" t="s">
        <v>166</v>
      </c>
      <c r="B9" s="118" t="s">
        <v>167</v>
      </c>
      <c r="C9" s="119" t="s">
        <v>158</v>
      </c>
      <c r="D9" s="120" t="s">
        <v>168</v>
      </c>
      <c r="E9" s="125">
        <v>135000</v>
      </c>
    </row>
    <row r="10" spans="1:7" ht="130" x14ac:dyDescent="0.35">
      <c r="A10" s="119" t="s">
        <v>169</v>
      </c>
      <c r="B10" s="118" t="s">
        <v>167</v>
      </c>
      <c r="C10" s="119" t="s">
        <v>170</v>
      </c>
      <c r="D10" s="120" t="s">
        <v>171</v>
      </c>
      <c r="E10" s="125">
        <v>70000</v>
      </c>
    </row>
    <row r="11" spans="1:7" ht="15" customHeight="1" thickBot="1" x14ac:dyDescent="0.4">
      <c r="A11" s="126" t="s">
        <v>172</v>
      </c>
      <c r="B11" s="127"/>
      <c r="C11" s="127"/>
      <c r="D11" s="127"/>
      <c r="E11" s="128"/>
    </row>
    <row r="12" spans="1:7" x14ac:dyDescent="0.35">
      <c r="A12" s="129" t="s">
        <v>173</v>
      </c>
      <c r="B12" s="130"/>
      <c r="C12" s="130"/>
      <c r="D12" s="130"/>
      <c r="E12" s="131"/>
    </row>
    <row r="13" spans="1:7" ht="62.5" x14ac:dyDescent="0.35">
      <c r="A13" s="119" t="s">
        <v>174</v>
      </c>
      <c r="B13" s="118" t="s">
        <v>157</v>
      </c>
      <c r="C13" s="119" t="s">
        <v>175</v>
      </c>
      <c r="D13" s="132" t="s">
        <v>176</v>
      </c>
      <c r="E13" s="125">
        <v>550000</v>
      </c>
    </row>
    <row r="14" spans="1:7" ht="50" x14ac:dyDescent="0.35">
      <c r="A14" s="119" t="s">
        <v>177</v>
      </c>
      <c r="B14" s="118" t="s">
        <v>157</v>
      </c>
      <c r="C14" s="119" t="s">
        <v>175</v>
      </c>
      <c r="D14" s="132" t="s">
        <v>178</v>
      </c>
      <c r="E14" s="125">
        <v>700000</v>
      </c>
    </row>
    <row r="15" spans="1:7" x14ac:dyDescent="0.35">
      <c r="A15" s="133" t="s">
        <v>179</v>
      </c>
      <c r="B15" s="134"/>
      <c r="C15" s="134"/>
      <c r="D15" s="134"/>
      <c r="E15" s="135"/>
    </row>
    <row r="16" spans="1:7" ht="52" x14ac:dyDescent="0.35">
      <c r="A16" s="119" t="s">
        <v>180</v>
      </c>
      <c r="B16" s="118" t="s">
        <v>157</v>
      </c>
      <c r="C16" s="119" t="s">
        <v>181</v>
      </c>
      <c r="D16" s="132" t="s">
        <v>182</v>
      </c>
      <c r="E16" s="125">
        <v>35000</v>
      </c>
      <c r="F16" s="74"/>
    </row>
    <row r="17" spans="1:5" ht="78" x14ac:dyDescent="0.35">
      <c r="A17" s="117" t="s">
        <v>183</v>
      </c>
      <c r="B17" s="118" t="s">
        <v>157</v>
      </c>
      <c r="C17" s="119" t="s">
        <v>181</v>
      </c>
      <c r="D17" s="132" t="s">
        <v>184</v>
      </c>
      <c r="E17" s="125">
        <v>35000</v>
      </c>
    </row>
    <row r="18" spans="1:5" ht="39" x14ac:dyDescent="0.35">
      <c r="A18" s="119" t="s">
        <v>185</v>
      </c>
      <c r="B18" s="118" t="s">
        <v>186</v>
      </c>
      <c r="C18" s="119" t="s">
        <v>181</v>
      </c>
      <c r="D18" s="132" t="s">
        <v>187</v>
      </c>
      <c r="E18" s="125">
        <v>35000</v>
      </c>
    </row>
    <row r="19" spans="1:5" ht="52" x14ac:dyDescent="0.35">
      <c r="A19" s="119" t="s">
        <v>188</v>
      </c>
      <c r="B19" s="118" t="s">
        <v>157</v>
      </c>
      <c r="C19" s="119" t="s">
        <v>181</v>
      </c>
      <c r="D19" s="118" t="s">
        <v>189</v>
      </c>
      <c r="E19" s="125">
        <v>35000</v>
      </c>
    </row>
    <row r="20" spans="1:5" x14ac:dyDescent="0.35">
      <c r="A20" s="133" t="s">
        <v>190</v>
      </c>
      <c r="B20" s="134"/>
      <c r="C20" s="134"/>
      <c r="D20" s="134"/>
      <c r="E20" s="135"/>
    </row>
    <row r="21" spans="1:5" ht="39" x14ac:dyDescent="0.35">
      <c r="A21" s="117" t="s">
        <v>191</v>
      </c>
      <c r="B21" s="118" t="s">
        <v>157</v>
      </c>
      <c r="C21" s="119" t="s">
        <v>192</v>
      </c>
      <c r="D21" s="119" t="s">
        <v>193</v>
      </c>
      <c r="E21" s="125">
        <v>78000</v>
      </c>
    </row>
    <row r="24" spans="1:5" x14ac:dyDescent="0.35">
      <c r="A24" s="282" t="s">
        <v>214</v>
      </c>
      <c r="B24" s="282"/>
      <c r="C24" s="282"/>
      <c r="D24" s="282"/>
    </row>
    <row r="25" spans="1:5" ht="25" x14ac:dyDescent="0.35">
      <c r="A25" s="136" t="s">
        <v>195</v>
      </c>
      <c r="B25" s="136" t="s">
        <v>196</v>
      </c>
      <c r="C25" s="136" t="s">
        <v>197</v>
      </c>
      <c r="D25" s="136" t="s">
        <v>150</v>
      </c>
    </row>
    <row r="26" spans="1:5" ht="50.25" customHeight="1" x14ac:dyDescent="0.35">
      <c r="A26" s="137" t="s">
        <v>198</v>
      </c>
      <c r="B26" s="132" t="s">
        <v>199</v>
      </c>
      <c r="C26" s="132" t="s">
        <v>200</v>
      </c>
      <c r="D26" s="138" t="s">
        <v>219</v>
      </c>
      <c r="E26" s="74">
        <v>30000</v>
      </c>
    </row>
    <row r="27" spans="1:5" ht="50" x14ac:dyDescent="0.35">
      <c r="A27" s="137" t="s">
        <v>201</v>
      </c>
      <c r="B27" s="132" t="s">
        <v>202</v>
      </c>
      <c r="C27" s="132" t="s">
        <v>200</v>
      </c>
      <c r="D27" s="132" t="s">
        <v>237</v>
      </c>
      <c r="E27" s="74">
        <v>100000.00000000001</v>
      </c>
    </row>
    <row r="28" spans="1:5" ht="50.25" customHeight="1" x14ac:dyDescent="0.35">
      <c r="A28" s="137" t="s">
        <v>201</v>
      </c>
      <c r="B28" s="132" t="s">
        <v>203</v>
      </c>
      <c r="C28" s="132" t="s">
        <v>200</v>
      </c>
      <c r="D28" s="132" t="s">
        <v>237</v>
      </c>
      <c r="E28" s="74">
        <v>100000</v>
      </c>
    </row>
    <row r="29" spans="1:5" ht="48" customHeight="1" x14ac:dyDescent="0.35">
      <c r="A29" s="137" t="s">
        <v>201</v>
      </c>
      <c r="B29" s="132" t="s">
        <v>204</v>
      </c>
      <c r="C29" s="132" t="s">
        <v>200</v>
      </c>
      <c r="D29" s="132" t="s">
        <v>238</v>
      </c>
      <c r="E29" s="74">
        <v>200000.00000000003</v>
      </c>
    </row>
    <row r="30" spans="1:5" ht="35.25" customHeight="1" x14ac:dyDescent="0.35">
      <c r="A30" s="137" t="s">
        <v>201</v>
      </c>
      <c r="B30" s="132" t="s">
        <v>205</v>
      </c>
      <c r="C30" s="132" t="s">
        <v>200</v>
      </c>
      <c r="D30" s="132" t="s">
        <v>239</v>
      </c>
      <c r="E30" s="74">
        <v>149999.99999999997</v>
      </c>
    </row>
    <row r="31" spans="1:5" ht="35.25" customHeight="1" x14ac:dyDescent="0.35">
      <c r="A31" s="137" t="s">
        <v>206</v>
      </c>
      <c r="B31" s="132" t="s">
        <v>207</v>
      </c>
      <c r="C31" s="132" t="s">
        <v>200</v>
      </c>
      <c r="D31" s="138" t="s">
        <v>208</v>
      </c>
      <c r="E31" s="74">
        <v>15000</v>
      </c>
    </row>
    <row r="32" spans="1:5" ht="62.5" x14ac:dyDescent="0.35">
      <c r="A32" s="137" t="s">
        <v>243</v>
      </c>
      <c r="B32" s="132" t="s">
        <v>244</v>
      </c>
      <c r="C32" s="132" t="s">
        <v>211</v>
      </c>
      <c r="D32" s="138" t="s">
        <v>245</v>
      </c>
      <c r="E32" s="74">
        <v>100000</v>
      </c>
    </row>
    <row r="33" spans="1:10" ht="22.5" customHeight="1" x14ac:dyDescent="0.35">
      <c r="E33" s="74"/>
    </row>
    <row r="34" spans="1:10" ht="22.5" customHeight="1" x14ac:dyDescent="0.35">
      <c r="D34" s="94" t="s">
        <v>215</v>
      </c>
      <c r="E34" s="74">
        <f>SUM(E4:E32)</f>
        <v>3028000</v>
      </c>
      <c r="J34" s="144">
        <f>(E34+E40)/220000000</f>
        <v>1.6036363636363637E-2</v>
      </c>
    </row>
    <row r="35" spans="1:10" ht="22.5" customHeight="1" x14ac:dyDescent="0.35">
      <c r="E35" s="74"/>
    </row>
    <row r="36" spans="1:10" ht="22.5" customHeight="1" x14ac:dyDescent="0.35">
      <c r="A36" s="282" t="s">
        <v>194</v>
      </c>
      <c r="B36" s="282"/>
      <c r="C36" s="282"/>
      <c r="D36" s="282"/>
      <c r="E36" s="74"/>
    </row>
    <row r="37" spans="1:10" ht="25" x14ac:dyDescent="0.35">
      <c r="A37" s="137" t="s">
        <v>209</v>
      </c>
      <c r="B37" s="132" t="s">
        <v>210</v>
      </c>
      <c r="C37" s="132" t="s">
        <v>211</v>
      </c>
      <c r="D37" s="138" t="s">
        <v>242</v>
      </c>
      <c r="E37" s="74">
        <v>250000</v>
      </c>
    </row>
    <row r="38" spans="1:10" ht="63" customHeight="1" x14ac:dyDescent="0.35">
      <c r="A38" s="137" t="s">
        <v>206</v>
      </c>
      <c r="B38" s="132" t="s">
        <v>212</v>
      </c>
      <c r="C38" s="132" t="s">
        <v>211</v>
      </c>
      <c r="D38" s="138" t="s">
        <v>242</v>
      </c>
      <c r="E38" s="74">
        <v>250000</v>
      </c>
      <c r="F38" s="116"/>
    </row>
    <row r="39" spans="1:10" x14ac:dyDescent="0.35">
      <c r="E39" s="116"/>
    </row>
    <row r="40" spans="1:10" x14ac:dyDescent="0.35">
      <c r="D40" t="s">
        <v>216</v>
      </c>
      <c r="E40" s="116">
        <f>E38+E37</f>
        <v>500000</v>
      </c>
    </row>
    <row r="41" spans="1:10" x14ac:dyDescent="0.35">
      <c r="E41" s="74"/>
    </row>
    <row r="42" spans="1:10" x14ac:dyDescent="0.35">
      <c r="E42" s="116"/>
    </row>
  </sheetData>
  <mergeCells count="3">
    <mergeCell ref="A1:E1"/>
    <mergeCell ref="A24:D24"/>
    <mergeCell ref="A36:D36"/>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O45"/>
  <sheetViews>
    <sheetView topLeftCell="B2" zoomScale="70" zoomScaleNormal="70" workbookViewId="0">
      <selection activeCell="L23" sqref="L23"/>
    </sheetView>
  </sheetViews>
  <sheetFormatPr baseColWidth="10" defaultRowHeight="14.5" x14ac:dyDescent="0.35"/>
  <cols>
    <col min="1" max="1" width="10.90625" hidden="1" customWidth="1"/>
    <col min="2" max="2" width="16.26953125" bestFit="1" customWidth="1"/>
    <col min="3" max="3" width="10.6328125" bestFit="1" customWidth="1"/>
    <col min="4" max="4" width="12.7265625" style="139" hidden="1" customWidth="1"/>
    <col min="5" max="5" width="12.90625" style="139" hidden="1" customWidth="1"/>
    <col min="6" max="6" width="14.90625" style="139" customWidth="1"/>
    <col min="7" max="7" width="13.81640625" style="139" customWidth="1"/>
    <col min="8" max="8" width="11" style="139" customWidth="1"/>
    <col min="9" max="9" width="11.6328125" style="139" customWidth="1"/>
    <col min="10" max="10" width="15.6328125" style="139" customWidth="1"/>
    <col min="11" max="11" width="16.90625" style="139" customWidth="1"/>
    <col min="12" max="12" width="19.6328125" bestFit="1" customWidth="1"/>
    <col min="14" max="14" width="33.26953125" bestFit="1" customWidth="1"/>
    <col min="15" max="15" width="10.90625" customWidth="1"/>
  </cols>
  <sheetData>
    <row r="1" spans="1:15" s="201" customFormat="1" ht="44.5" customHeight="1" x14ac:dyDescent="0.35">
      <c r="A1"/>
      <c r="B1" s="231" t="s">
        <v>251</v>
      </c>
      <c r="C1" s="231" t="s">
        <v>9</v>
      </c>
      <c r="D1" s="232" t="s">
        <v>267</v>
      </c>
      <c r="E1" s="232" t="s">
        <v>268</v>
      </c>
      <c r="F1" s="232" t="s">
        <v>269</v>
      </c>
      <c r="G1" s="232" t="s">
        <v>270</v>
      </c>
      <c r="H1" s="233" t="s">
        <v>271</v>
      </c>
      <c r="I1" s="233" t="s">
        <v>272</v>
      </c>
      <c r="J1" s="233" t="s">
        <v>273</v>
      </c>
      <c r="K1" s="233" t="s">
        <v>274</v>
      </c>
      <c r="L1" s="231" t="s">
        <v>220</v>
      </c>
    </row>
    <row r="2" spans="1:15" x14ac:dyDescent="0.35">
      <c r="A2">
        <v>1</v>
      </c>
      <c r="B2" t="s">
        <v>222</v>
      </c>
      <c r="C2" t="s">
        <v>116</v>
      </c>
      <c r="D2" s="140">
        <f>SUMIF('Detailed Budget'!$D$5:$D$39,'Disbursement schedule'!C2,'Detailed Budget'!$G$5:$G$39)/1000000</f>
        <v>7.0916199999999998</v>
      </c>
      <c r="E2" s="140">
        <f>SUMIF('Detailed Budget'!$D$5:$D$39,'Disbursement schedule'!C2,'Detailed Budget'!$H$5:$H$39)/1000000</f>
        <v>0</v>
      </c>
      <c r="F2" s="140">
        <f>SUMIFS('Detailed Budget'!$G$5:$G$40,'Detailed Budget'!$D$5:$D$40,'Disbursement schedule'!$C2,'Detailed Budget'!$C$5:$C$40,'Disbursement schedule'!$M$7)/1000000</f>
        <v>6.0583012500000004</v>
      </c>
      <c r="G2" s="140">
        <f>SUMIFS('Detailed Budget'!$H$5:$H$40,'Detailed Budget'!$D$5:$D$40,'Disbursement schedule'!$C2,'Detailed Budget'!$C$5:$C$40,'Disbursement schedule'!$M$7)/1000000</f>
        <v>0</v>
      </c>
      <c r="H2" s="140">
        <f>D2</f>
        <v>7.0916199999999998</v>
      </c>
      <c r="I2" s="140">
        <f>E2</f>
        <v>0</v>
      </c>
      <c r="J2" s="140">
        <f>F2</f>
        <v>6.0583012500000004</v>
      </c>
      <c r="K2" s="140">
        <f>G2</f>
        <v>0</v>
      </c>
      <c r="L2" t="s">
        <v>221</v>
      </c>
      <c r="N2" t="s">
        <v>232</v>
      </c>
      <c r="O2">
        <f>SUMIF($C$2:$C$41,"Grant",$H$2:$H$41)</f>
        <v>51.500000000000014</v>
      </c>
    </row>
    <row r="3" spans="1:15" x14ac:dyDescent="0.35">
      <c r="A3">
        <v>1</v>
      </c>
      <c r="C3" t="s">
        <v>121</v>
      </c>
      <c r="D3" s="140">
        <f>SUMIF('Detailed Budget'!$D$5:$D$39,'Disbursement schedule'!C3,'Detailed Budget'!$G$5:$G$40)/1000000</f>
        <v>10.571</v>
      </c>
      <c r="E3" s="140">
        <f>SUMIF('Detailed Budget'!$D$5:$D$39,'Disbursement schedule'!C3,'Detailed Budget'!$H$5:$H$39)/1000000</f>
        <v>3.5859999999999999</v>
      </c>
      <c r="F3" s="140">
        <f>SUMIFS('Detailed Budget'!$G$5:$G$40,'Detailed Budget'!$D$5:$D$40,'Disbursement schedule'!$C3,'Detailed Budget'!$C$5:$C$40,'Disbursement schedule'!$M$7)/1000000</f>
        <v>1.4410000000000001</v>
      </c>
      <c r="G3" s="140">
        <f>SUMIFS('Detailed Budget'!$H$5:$H$40,'Detailed Budget'!$D$5:$D$40,'Disbursement schedule'!$C3,'Detailed Budget'!$C$5:$C$40,'Disbursement schedule'!$M$7)/1000000</f>
        <v>0.495</v>
      </c>
      <c r="H3" s="140">
        <f>D3+D4</f>
        <v>19.22</v>
      </c>
      <c r="I3" s="140">
        <f>E3+E4</f>
        <v>6.52</v>
      </c>
      <c r="J3" s="140">
        <f>F3+F4</f>
        <v>2.62</v>
      </c>
      <c r="K3" s="140">
        <f>G3+G4</f>
        <v>0.9</v>
      </c>
      <c r="N3" t="s">
        <v>275</v>
      </c>
      <c r="O3">
        <f>SUMIF($C$2:$C$41,"Loan",$H$2:$H$41)</f>
        <v>960.99999999999989</v>
      </c>
    </row>
    <row r="4" spans="1:15" hidden="1" x14ac:dyDescent="0.35">
      <c r="A4">
        <v>1</v>
      </c>
      <c r="C4" t="s">
        <v>120</v>
      </c>
      <c r="D4" s="140">
        <f>SUMIF('Detailed Budget'!$D$5:$D$39,'Disbursement schedule'!C4,'Detailed Budget'!$G$5:$G$40)/1000000</f>
        <v>8.6489999999999991</v>
      </c>
      <c r="E4" s="140">
        <f>SUMIF('Detailed Budget'!$D$5:$D$39,'Disbursement schedule'!C4,'Detailed Budget'!$H$5:$H$39)/1000000</f>
        <v>2.9340000000000002</v>
      </c>
      <c r="F4" s="140">
        <f>SUMIFS('Detailed Budget'!$G$5:$G$40,'Detailed Budget'!$D$5:$D$40,'Disbursement schedule'!$C4,'Detailed Budget'!$C$5:$C$40,'Disbursement schedule'!$M$7)/1000000</f>
        <v>1.179</v>
      </c>
      <c r="G4" s="140">
        <f>SUMIFS('Detailed Budget'!$H$5:$H$40,'Detailed Budget'!$D$5:$D$40,'Disbursement schedule'!$C4,'Detailed Budget'!$C$5:$C$40,'Disbursement schedule'!$M$7)/1000000</f>
        <v>0.40500000000000003</v>
      </c>
      <c r="H4" s="140"/>
      <c r="I4" s="140"/>
      <c r="J4" s="140"/>
      <c r="K4" s="140"/>
    </row>
    <row r="5" spans="1:15" x14ac:dyDescent="0.35">
      <c r="A5">
        <v>1</v>
      </c>
      <c r="C5" t="s">
        <v>103</v>
      </c>
      <c r="D5" s="140">
        <f>SUM(D2:D4)</f>
        <v>26.311619999999998</v>
      </c>
      <c r="E5" s="140">
        <f>SUM(E2:E4)</f>
        <v>6.52</v>
      </c>
      <c r="F5" s="140">
        <f>SUM(F2:F4)</f>
        <v>8.6783012500000005</v>
      </c>
      <c r="G5" s="140">
        <f>SUM(G2:G4)</f>
        <v>0.9</v>
      </c>
      <c r="H5" s="140">
        <f t="shared" ref="H5:K6" si="0">D5</f>
        <v>26.311619999999998</v>
      </c>
      <c r="I5" s="140">
        <f t="shared" si="0"/>
        <v>6.52</v>
      </c>
      <c r="J5" s="140">
        <f t="shared" si="0"/>
        <v>8.6783012500000005</v>
      </c>
      <c r="K5" s="140">
        <f t="shared" si="0"/>
        <v>0.9</v>
      </c>
      <c r="N5" t="s">
        <v>276</v>
      </c>
      <c r="O5">
        <f>SUMIF($C$2:$C$41,"Loan",$I$2:$I$41)</f>
        <v>326</v>
      </c>
    </row>
    <row r="6" spans="1:15" x14ac:dyDescent="0.35">
      <c r="A6">
        <v>2</v>
      </c>
      <c r="B6" t="s">
        <v>223</v>
      </c>
      <c r="C6" t="s">
        <v>116</v>
      </c>
      <c r="D6" s="140">
        <f>SUMIF('Detailed Budget'!$D$5:$D$39,'Disbursement schedule'!C6,'Detailed Budget'!$I$5:$I$40)/1000000</f>
        <v>10.10962</v>
      </c>
      <c r="E6" s="140">
        <f>SUMIF('Detailed Budget'!$D$5:$D$39,'Disbursement schedule'!C6,'Detailed Budget'!$J$5:$J$39)/1000000</f>
        <v>0</v>
      </c>
      <c r="F6" s="140">
        <f>SUMIFS('Detailed Budget'!$I$5:$I$40,'Detailed Budget'!$D$5:$D$40,'Disbursement schedule'!$C6,'Detailed Budget'!$C$5:$C$40,'Disbursement schedule'!$M$7)/1000000</f>
        <v>8.7378637500000007</v>
      </c>
      <c r="G6" s="140">
        <f>SUMIFS('Detailed Budget'!$J$5:$J$40,'Detailed Budget'!$D$5:$D$40,'Disbursement schedule'!$C6,'Detailed Budget'!$C$5:$C$40,'Disbursement schedule'!$M$7)/1000000</f>
        <v>0</v>
      </c>
      <c r="H6" s="140">
        <f t="shared" si="0"/>
        <v>10.10962</v>
      </c>
      <c r="I6" s="140">
        <f t="shared" si="0"/>
        <v>0</v>
      </c>
      <c r="J6" s="140">
        <f t="shared" si="0"/>
        <v>8.7378637500000007</v>
      </c>
      <c r="K6" s="140">
        <f t="shared" si="0"/>
        <v>0</v>
      </c>
      <c r="M6" t="s">
        <v>252</v>
      </c>
    </row>
    <row r="7" spans="1:15" x14ac:dyDescent="0.35">
      <c r="A7">
        <v>2</v>
      </c>
      <c r="C7" t="s">
        <v>121</v>
      </c>
      <c r="D7" s="140">
        <f>SUMIF('Detailed Budget'!$D$5:$D$39,'Disbursement schedule'!C7,'Detailed Budget'!$I$5:$I$40)/1000000</f>
        <v>42.283999999999999</v>
      </c>
      <c r="E7" s="140">
        <f>SUMIF('Detailed Budget'!$D$5:$D$39,'Disbursement schedule'!C7,'Detailed Budget'!$J$5:$J$39)/1000000</f>
        <v>14.343999999999999</v>
      </c>
      <c r="F7" s="140">
        <f>SUMIFS('Detailed Budget'!$I$5:$I$40,'Detailed Budget'!$D$5:$D$40,'Disbursement schedule'!$C7,'Detailed Budget'!$C$5:$C$40,'Disbursement schedule'!$M$7)/1000000</f>
        <v>5.7640000000000002</v>
      </c>
      <c r="G7" s="140">
        <f>SUMIFS('Detailed Budget'!$J$5:$J$40,'Detailed Budget'!$D$5:$D$40,'Disbursement schedule'!$C7,'Detailed Budget'!$C$5:$C$40,'Disbursement schedule'!$M$7)/1000000</f>
        <v>1.98</v>
      </c>
      <c r="H7" s="140">
        <f>D7+D8</f>
        <v>76.88</v>
      </c>
      <c r="I7" s="140">
        <f>E7+E8</f>
        <v>26.08</v>
      </c>
      <c r="J7" s="140">
        <f>F7+F8</f>
        <v>10.48</v>
      </c>
      <c r="K7" s="140">
        <f>G7+G8</f>
        <v>3.6</v>
      </c>
      <c r="M7" s="145" t="s">
        <v>2</v>
      </c>
    </row>
    <row r="8" spans="1:15" hidden="1" x14ac:dyDescent="0.35">
      <c r="A8">
        <v>2</v>
      </c>
      <c r="C8" t="s">
        <v>120</v>
      </c>
      <c r="D8" s="140">
        <f>SUMIF('Detailed Budget'!$D$5:$D$39,'Disbursement schedule'!C8,'Detailed Budget'!$I$5:$I$40)/1000000</f>
        <v>34.595999999999997</v>
      </c>
      <c r="E8" s="140">
        <f>SUMIF('Detailed Budget'!$D$5:$D$39,'Disbursement schedule'!C8,'Detailed Budget'!$J$5:$J$39)/1000000</f>
        <v>11.736000000000001</v>
      </c>
      <c r="F8" s="140">
        <f>SUMIFS('Detailed Budget'!$I$5:$I$40,'Detailed Budget'!$D$5:$D$40,'Disbursement schedule'!$C8,'Detailed Budget'!$C$5:$C$40,'Disbursement schedule'!$M$7)/1000000</f>
        <v>4.7160000000000002</v>
      </c>
      <c r="G8" s="140">
        <f>SUMIFS('Detailed Budget'!$J$5:$J$40,'Detailed Budget'!$D$5:$D$40,'Disbursement schedule'!$C8,'Detailed Budget'!$C$5:$C$40,'Disbursement schedule'!$M$7)/1000000</f>
        <v>1.62</v>
      </c>
      <c r="H8" s="140"/>
      <c r="I8" s="140"/>
      <c r="J8" s="140"/>
      <c r="K8" s="140"/>
    </row>
    <row r="9" spans="1:15" x14ac:dyDescent="0.35">
      <c r="A9">
        <v>2</v>
      </c>
      <c r="C9" t="s">
        <v>103</v>
      </c>
      <c r="D9" s="140">
        <f>SUM(D6:D8)</f>
        <v>86.989620000000002</v>
      </c>
      <c r="E9" s="140">
        <f>SUM(E6:E8)</f>
        <v>26.08</v>
      </c>
      <c r="F9" s="140">
        <f>SUM(F6:F8)</f>
        <v>19.217863750000003</v>
      </c>
      <c r="G9" s="140">
        <f>SUM(G6:G8)</f>
        <v>3.6</v>
      </c>
      <c r="H9" s="140">
        <f t="shared" ref="H9:K10" si="1">D9</f>
        <v>86.989620000000002</v>
      </c>
      <c r="I9" s="140">
        <f t="shared" si="1"/>
        <v>26.08</v>
      </c>
      <c r="J9" s="140">
        <f t="shared" si="1"/>
        <v>19.217863750000003</v>
      </c>
      <c r="K9" s="140">
        <f t="shared" si="1"/>
        <v>3.6</v>
      </c>
      <c r="N9" t="s">
        <v>253</v>
      </c>
      <c r="O9">
        <f>SUMIF($C$2:$C$41,"Grant",$J$2:$J$41)</f>
        <v>43.999999999999993</v>
      </c>
    </row>
    <row r="10" spans="1:15" x14ac:dyDescent="0.35">
      <c r="A10">
        <v>3</v>
      </c>
      <c r="B10" t="s">
        <v>224</v>
      </c>
      <c r="C10" t="s">
        <v>116</v>
      </c>
      <c r="D10" s="140">
        <f>SUMIF('Detailed Budget'!$D$5:$D$39,'Disbursement schedule'!C10,'Detailed Budget'!$K$5:$K$40)/1000000</f>
        <v>9.6176200000000005</v>
      </c>
      <c r="E10" s="140">
        <f>SUMIF('Detailed Budget'!$D$5:$D$39,'Disbursement schedule'!C10,'Detailed Budget'!$L$5:$L$40)/1000000</f>
        <v>0</v>
      </c>
      <c r="F10" s="140">
        <f>SUMIFS('Detailed Budget'!$K$5:$K$40,'Detailed Budget'!$D$5:$D$40,'Disbursement schedule'!$C10,'Detailed Budget'!$C$5:$C$40,'Disbursement schedule'!$M$7)/1000000</f>
        <v>8.3464887500000007</v>
      </c>
      <c r="G10" s="140">
        <f>SUMIFS('Detailed Budget'!$L$5:$L$40,'Detailed Budget'!$D$5:$D$40,'Disbursement schedule'!$C10,'Detailed Budget'!$C$5:$C$40,'Disbursement schedule'!$M$7)/1000000</f>
        <v>0</v>
      </c>
      <c r="H10" s="140">
        <f t="shared" si="1"/>
        <v>9.6176200000000005</v>
      </c>
      <c r="I10" s="140">
        <f t="shared" si="1"/>
        <v>0</v>
      </c>
      <c r="J10" s="140">
        <f t="shared" si="1"/>
        <v>8.3464887500000007</v>
      </c>
      <c r="K10" s="140">
        <f t="shared" si="1"/>
        <v>0</v>
      </c>
      <c r="N10" t="s">
        <v>277</v>
      </c>
      <c r="O10">
        <f>SUMIF($C$2:$C$41,"Loan",$J$2:$J$41)</f>
        <v>131</v>
      </c>
    </row>
    <row r="11" spans="1:15" x14ac:dyDescent="0.35">
      <c r="A11">
        <v>3</v>
      </c>
      <c r="C11" t="s">
        <v>121</v>
      </c>
      <c r="D11" s="140">
        <f>SUMIF('Detailed Budget'!$D$5:$D$39,'Disbursement schedule'!C11,'Detailed Budget'!$K$5:$K$40)/1000000</f>
        <v>47.569499999999998</v>
      </c>
      <c r="E11" s="140">
        <f>SUMIF('Detailed Budget'!$D$5:$D$39,'Disbursement schedule'!C11,'Detailed Budget'!$L$5:$L$40)/1000000</f>
        <v>16.137</v>
      </c>
      <c r="F11" s="140">
        <f>SUMIFS('Detailed Budget'!$K$5:$K$40,'Detailed Budget'!$D$5:$D$40,'Disbursement schedule'!$C11,'Detailed Budget'!$C$5:$C$40,'Disbursement schedule'!$M$7)/1000000</f>
        <v>6.4844999999999997</v>
      </c>
      <c r="G11" s="140">
        <f>SUMIFS('Detailed Budget'!$L$5:$L$40,'Detailed Budget'!$D$5:$D$40,'Disbursement schedule'!$C11,'Detailed Budget'!$C$5:$C$40,'Disbursement schedule'!$M$7)/1000000</f>
        <v>2.2275</v>
      </c>
      <c r="H11" s="140">
        <f>D11+D12</f>
        <v>86.49</v>
      </c>
      <c r="I11" s="140">
        <f>E11+E12</f>
        <v>29.34</v>
      </c>
      <c r="J11" s="140">
        <f>F11+F12</f>
        <v>11.79</v>
      </c>
      <c r="K11" s="140">
        <f>G11+G12</f>
        <v>4.05</v>
      </c>
      <c r="N11" t="s">
        <v>278</v>
      </c>
      <c r="O11">
        <f>SUMIF($C$2:$C$41,"Loan",$K$2:$K$41)</f>
        <v>45</v>
      </c>
    </row>
    <row r="12" spans="1:15" hidden="1" x14ac:dyDescent="0.35">
      <c r="A12">
        <f t="shared" ref="A12" si="2">A9+1</f>
        <v>3</v>
      </c>
      <c r="C12" t="s">
        <v>120</v>
      </c>
      <c r="D12" s="140">
        <f>SUMIF('Detailed Budget'!$D$5:$D$39,'Disbursement schedule'!C12,'Detailed Budget'!$K$5:$K$40)/1000000</f>
        <v>38.920499999999997</v>
      </c>
      <c r="E12" s="140">
        <f>SUMIF('Detailed Budget'!$D$5:$D$39,'Disbursement schedule'!C12,'Detailed Budget'!$L$5:$L$40)/1000000</f>
        <v>13.202999999999999</v>
      </c>
      <c r="F12" s="140">
        <f>SUMIFS('Detailed Budget'!$K$5:$K$40,'Detailed Budget'!$D$5:$D$40,'Disbursement schedule'!$C12,'Detailed Budget'!$C$5:$C$40,'Disbursement schedule'!$M$7)/1000000</f>
        <v>5.3055000000000003</v>
      </c>
      <c r="G12" s="140">
        <f>SUMIFS('Detailed Budget'!$L$5:$L$40,'Detailed Budget'!$D$5:$D$40,'Disbursement schedule'!$C12,'Detailed Budget'!$C$5:$C$40,'Disbursement schedule'!$M$7)/1000000</f>
        <v>1.8225</v>
      </c>
      <c r="H12" s="140"/>
      <c r="I12" s="140"/>
      <c r="J12" s="140"/>
      <c r="K12" s="140"/>
    </row>
    <row r="13" spans="1:15" x14ac:dyDescent="0.35">
      <c r="A13">
        <v>3</v>
      </c>
      <c r="C13" t="s">
        <v>103</v>
      </c>
      <c r="D13" s="140">
        <f>SUM(D10:D12)</f>
        <v>96.107619999999997</v>
      </c>
      <c r="E13" s="140">
        <f>SUM(E10:E12)</f>
        <v>29.34</v>
      </c>
      <c r="F13" s="140">
        <f>SUM(F10:F12)</f>
        <v>20.136488749999998</v>
      </c>
      <c r="G13" s="140">
        <f>SUM(G10:G12)</f>
        <v>4.05</v>
      </c>
      <c r="H13" s="140">
        <f t="shared" ref="H13:K14" si="3">D13</f>
        <v>96.107619999999997</v>
      </c>
      <c r="I13" s="140">
        <f t="shared" si="3"/>
        <v>29.34</v>
      </c>
      <c r="J13" s="140">
        <f t="shared" si="3"/>
        <v>20.136488749999998</v>
      </c>
      <c r="K13" s="140">
        <f t="shared" si="3"/>
        <v>4.05</v>
      </c>
    </row>
    <row r="14" spans="1:15" x14ac:dyDescent="0.35">
      <c r="A14">
        <v>4</v>
      </c>
      <c r="B14" t="s">
        <v>225</v>
      </c>
      <c r="C14" t="s">
        <v>116</v>
      </c>
      <c r="D14" s="140">
        <f>SUMIF('Detailed Budget'!$D$5:$D$39,'Disbursement schedule'!C14,'Detailed Budget'!$M$5:$M$40)/1000000</f>
        <v>8.91662</v>
      </c>
      <c r="E14" s="140">
        <f>SUMIF('Detailed Budget'!$D$5:$D$39,'Disbursement schedule'!C14,'Detailed Budget'!$N$5:$N$40)/1000000</f>
        <v>0</v>
      </c>
      <c r="F14" s="140">
        <f>SUMIFS('Detailed Budget'!$M$5:$M$40,'Detailed Budget'!$D$5:$D$40,'Disbursement schedule'!$C14,'Detailed Budget'!$C$5:$C$40,'Disbursement schedule'!$M$7)/1000000</f>
        <v>7.6354887500000004</v>
      </c>
      <c r="G14" s="140">
        <f>SUMIFS('Detailed Budget'!$N$5:$N$40,'Detailed Budget'!$D$5:$D$40,'Disbursement schedule'!$C14,'Detailed Budget'!$C$5:$C$40,'Disbursement schedule'!$M$7)/1000000</f>
        <v>0</v>
      </c>
      <c r="H14" s="140">
        <f t="shared" si="3"/>
        <v>8.91662</v>
      </c>
      <c r="I14" s="140">
        <f t="shared" si="3"/>
        <v>0</v>
      </c>
      <c r="J14" s="140">
        <f t="shared" si="3"/>
        <v>7.6354887500000004</v>
      </c>
      <c r="K14" s="140">
        <f t="shared" si="3"/>
        <v>0</v>
      </c>
    </row>
    <row r="15" spans="1:15" x14ac:dyDescent="0.35">
      <c r="A15">
        <v>4</v>
      </c>
      <c r="C15" t="s">
        <v>121</v>
      </c>
      <c r="D15" s="140">
        <f>SUMIF('Detailed Budget'!$D$5:$D$39,'Disbursement schedule'!C15,'Detailed Budget'!$M$5:$M$40)/1000000</f>
        <v>52.854999999999997</v>
      </c>
      <c r="E15" s="140">
        <f>SUMIF('Detailed Budget'!$D$5:$D$39,'Disbursement schedule'!C15,'Detailed Budget'!$N$5:$N$40)/1000000</f>
        <v>17.93</v>
      </c>
      <c r="F15" s="140">
        <f>SUMIFS('Detailed Budget'!$M$5:$M$40,'Detailed Budget'!$D$5:$D$40,'Disbursement schedule'!$C15,'Detailed Budget'!$C$5:$C$40,'Disbursement schedule'!$M$7)/1000000</f>
        <v>7.205000000000001</v>
      </c>
      <c r="G15" s="140">
        <f>SUMIFS('Detailed Budget'!$N$5:$N$40,'Detailed Budget'!$D$5:$D$40,'Disbursement schedule'!$C15,'Detailed Budget'!$C$5:$C$40,'Disbursement schedule'!$M$7)/1000000</f>
        <v>2.4750000000000001</v>
      </c>
      <c r="H15" s="140">
        <f>D15+D16</f>
        <v>96.1</v>
      </c>
      <c r="I15" s="140">
        <f>E15+E16</f>
        <v>32.6</v>
      </c>
      <c r="J15" s="140">
        <f>F15+F16</f>
        <v>13.100000000000001</v>
      </c>
      <c r="K15" s="140">
        <f>G15+G16</f>
        <v>4.5</v>
      </c>
    </row>
    <row r="16" spans="1:15" hidden="1" x14ac:dyDescent="0.35">
      <c r="A16">
        <f t="shared" ref="A16" si="4">A13+1</f>
        <v>4</v>
      </c>
      <c r="C16" t="s">
        <v>120</v>
      </c>
      <c r="D16" s="140">
        <f>SUMIF('Detailed Budget'!$D$5:$D$39,'Disbursement schedule'!C16,'Detailed Budget'!$M$5:$M$40)/1000000</f>
        <v>43.244999999999997</v>
      </c>
      <c r="E16" s="140">
        <f>SUMIF('Detailed Budget'!$D$5:$D$39,'Disbursement schedule'!C16,'Detailed Budget'!$N$5:$N$40)/1000000</f>
        <v>14.67</v>
      </c>
      <c r="F16" s="140">
        <f>SUMIFS('Detailed Budget'!$M$5:$M$40,'Detailed Budget'!$D$5:$D$40,'Disbursement schedule'!$C16,'Detailed Budget'!$C$5:$C$40,'Disbursement schedule'!$M$7)/1000000</f>
        <v>5.8950000000000014</v>
      </c>
      <c r="G16" s="140">
        <f>SUMIFS('Detailed Budget'!$N$5:$N$40,'Detailed Budget'!$D$5:$D$40,'Disbursement schedule'!$C16,'Detailed Budget'!$C$5:$C$40,'Disbursement schedule'!$M$7)/1000000</f>
        <v>2.0249999999999999</v>
      </c>
      <c r="H16" s="140"/>
      <c r="I16" s="140"/>
      <c r="J16" s="140"/>
      <c r="K16" s="140"/>
    </row>
    <row r="17" spans="1:11" x14ac:dyDescent="0.35">
      <c r="A17">
        <v>4</v>
      </c>
      <c r="C17" t="s">
        <v>103</v>
      </c>
      <c r="D17" s="140">
        <f>SUM(D14:D16)</f>
        <v>105.01661999999999</v>
      </c>
      <c r="E17" s="140">
        <f>SUM(E14:E16)</f>
        <v>32.6</v>
      </c>
      <c r="F17" s="140">
        <f>SUM(F14:F16)</f>
        <v>20.735488750000002</v>
      </c>
      <c r="G17" s="140">
        <f>SUM(G14:G16)</f>
        <v>4.5</v>
      </c>
      <c r="H17" s="140">
        <f t="shared" ref="H17:K18" si="5">D17</f>
        <v>105.01661999999999</v>
      </c>
      <c r="I17" s="140">
        <f t="shared" si="5"/>
        <v>32.6</v>
      </c>
      <c r="J17" s="140">
        <f t="shared" si="5"/>
        <v>20.735488750000002</v>
      </c>
      <c r="K17" s="140">
        <f t="shared" si="5"/>
        <v>4.5</v>
      </c>
    </row>
    <row r="18" spans="1:11" x14ac:dyDescent="0.35">
      <c r="A18">
        <v>5</v>
      </c>
      <c r="B18" t="s">
        <v>226</v>
      </c>
      <c r="C18" t="s">
        <v>116</v>
      </c>
      <c r="D18" s="140">
        <f>SUMIF('Detailed Budget'!$D$5:$D$39,'Disbursement schedule'!C18,'Detailed Budget'!$O$5:$O$40)/1000000</f>
        <v>7.8426200000000001</v>
      </c>
      <c r="E18" s="140">
        <f>SUMIF('Detailed Budget'!$D$5:$D$39,'Disbursement schedule'!C18,'Detailed Budget'!$P$5:$P$40)/1000000</f>
        <v>0</v>
      </c>
      <c r="F18" s="140">
        <f>SUMIFS('Detailed Budget'!$O$5:$O$40,'Detailed Budget'!$D$5:$D$40,'Disbursement schedule'!$C18,'Detailed Budget'!$C$5:$C$40,'Disbursement schedule'!$M$7)/1000000</f>
        <v>6.6818012500000004</v>
      </c>
      <c r="G18" s="140">
        <f>SUMIFS('Detailed Budget'!$P$5:$P$40,'Detailed Budget'!$D$5:$D$40,'Disbursement schedule'!$C18,'Detailed Budget'!$C$5:$C$40,'Disbursement schedule'!$M$7)/1000000</f>
        <v>0</v>
      </c>
      <c r="H18" s="140">
        <f t="shared" si="5"/>
        <v>7.8426200000000001</v>
      </c>
      <c r="I18" s="140">
        <f t="shared" si="5"/>
        <v>0</v>
      </c>
      <c r="J18" s="140">
        <f t="shared" si="5"/>
        <v>6.6818012500000004</v>
      </c>
      <c r="K18" s="140">
        <f t="shared" si="5"/>
        <v>0</v>
      </c>
    </row>
    <row r="19" spans="1:11" x14ac:dyDescent="0.35">
      <c r="A19">
        <v>5</v>
      </c>
      <c r="C19" t="s">
        <v>121</v>
      </c>
      <c r="D19" s="140">
        <f>SUMIF('Detailed Budget'!$D$5:$D$39,'Disbursement schedule'!C19,'Detailed Budget'!$O$5:$O$40)/1000000</f>
        <v>52.854999999999997</v>
      </c>
      <c r="E19" s="140">
        <f>SUMIF('Detailed Budget'!$D$5:$D$39,'Disbursement schedule'!C19,'Detailed Budget'!$P$5:$P$40)/1000000</f>
        <v>17.93</v>
      </c>
      <c r="F19" s="140">
        <f>SUMIFS('Detailed Budget'!$O$5:$O$40,'Detailed Budget'!$D$5:$D$40,'Disbursement schedule'!$C19,'Detailed Budget'!$C$5:$C$40,'Disbursement schedule'!$M$7)/1000000</f>
        <v>7.205000000000001</v>
      </c>
      <c r="G19" s="140">
        <f>SUMIFS('Detailed Budget'!$P$5:$P$40,'Detailed Budget'!$D$5:$D$40,'Disbursement schedule'!$C19,'Detailed Budget'!$C$5:$C$40,'Disbursement schedule'!$M$7)/1000000</f>
        <v>2.4750000000000001</v>
      </c>
      <c r="H19" s="140">
        <f>D19+D20</f>
        <v>96.1</v>
      </c>
      <c r="I19" s="140">
        <f>E19+E20</f>
        <v>32.6</v>
      </c>
      <c r="J19" s="140">
        <f>F19+F20</f>
        <v>13.100000000000001</v>
      </c>
      <c r="K19" s="140">
        <f>G19+G20</f>
        <v>4.5</v>
      </c>
    </row>
    <row r="20" spans="1:11" hidden="1" x14ac:dyDescent="0.35">
      <c r="A20">
        <f t="shared" ref="A20" si="6">A17+1</f>
        <v>5</v>
      </c>
      <c r="C20" t="s">
        <v>120</v>
      </c>
      <c r="D20" s="140">
        <f>SUMIF('Detailed Budget'!$D$5:$D$39,'Disbursement schedule'!C20,'Detailed Budget'!$O$5:$O$40)/1000000</f>
        <v>43.244999999999997</v>
      </c>
      <c r="E20" s="140">
        <f>SUMIF('Detailed Budget'!$D$5:$D$39,'Disbursement schedule'!C20,'Detailed Budget'!$P$5:$P$40)/1000000</f>
        <v>14.67</v>
      </c>
      <c r="F20" s="140">
        <f>SUMIFS('Detailed Budget'!$O$5:$O$40,'Detailed Budget'!$D$5:$D$40,'Disbursement schedule'!$C20,'Detailed Budget'!$C$5:$C$40,'Disbursement schedule'!$M$7)/1000000</f>
        <v>5.8950000000000014</v>
      </c>
      <c r="G20" s="140">
        <f>SUMIFS('Detailed Budget'!$P$5:$P$40,'Detailed Budget'!$D$5:$D$40,'Disbursement schedule'!$C20,'Detailed Budget'!$C$5:$C$40,'Disbursement schedule'!$M$7)/1000000</f>
        <v>2.0249999999999999</v>
      </c>
      <c r="H20" s="140"/>
      <c r="I20" s="140"/>
      <c r="J20" s="140"/>
      <c r="K20" s="140"/>
    </row>
    <row r="21" spans="1:11" x14ac:dyDescent="0.35">
      <c r="A21">
        <v>5</v>
      </c>
      <c r="C21" t="s">
        <v>103</v>
      </c>
      <c r="D21" s="140">
        <f>SUM(D18:D20)</f>
        <v>103.94262000000001</v>
      </c>
      <c r="E21" s="140">
        <f>SUM(E18:E20)</f>
        <v>32.6</v>
      </c>
      <c r="F21" s="140">
        <f>SUM(F18:F20)</f>
        <v>19.781801250000001</v>
      </c>
      <c r="G21" s="140">
        <f>SUM(G18:G20)</f>
        <v>4.5</v>
      </c>
      <c r="H21" s="140">
        <f t="shared" ref="H21:K22" si="7">D21</f>
        <v>103.94262000000001</v>
      </c>
      <c r="I21" s="140">
        <f t="shared" si="7"/>
        <v>32.6</v>
      </c>
      <c r="J21" s="140">
        <f t="shared" si="7"/>
        <v>19.781801250000001</v>
      </c>
      <c r="K21" s="140">
        <f t="shared" si="7"/>
        <v>4.5</v>
      </c>
    </row>
    <row r="22" spans="1:11" x14ac:dyDescent="0.35">
      <c r="A22">
        <v>6</v>
      </c>
      <c r="B22" t="s">
        <v>227</v>
      </c>
      <c r="C22" t="s">
        <v>116</v>
      </c>
      <c r="D22" s="140">
        <f>SUMIF('Detailed Budget'!$D$5:$D$39,'Disbursement schedule'!C22,'Detailed Budget'!$Q$5:$Q$40)/1000000</f>
        <v>2.39398</v>
      </c>
      <c r="E22" s="140">
        <f>SUMIF('Detailed Budget'!$D$5:$D$39,'Disbursement schedule'!C22,'Detailed Budget'!$R$5:$R$40)/1000000</f>
        <v>0</v>
      </c>
      <c r="F22" s="140">
        <f>SUMIFS('Detailed Budget'!$Q$5:$Q$40,'Detailed Budget'!$D$5:$D$40,'Disbursement schedule'!$C22,'Detailed Budget'!$C$5:$C$40,'Disbursement schedule'!$M$7)/1000000</f>
        <v>1.9958612499999999</v>
      </c>
      <c r="G22" s="140">
        <f>SUMIFS('Detailed Budget'!$R$5:$R$40,'Detailed Budget'!$D$5:$D$40,'Disbursement schedule'!$C22,'Detailed Budget'!$C$5:$C$40,'Disbursement schedule'!$M$7)/1000000</f>
        <v>0</v>
      </c>
      <c r="H22" s="140">
        <f t="shared" si="7"/>
        <v>2.39398</v>
      </c>
      <c r="I22" s="140">
        <f t="shared" si="7"/>
        <v>0</v>
      </c>
      <c r="J22" s="140">
        <f t="shared" si="7"/>
        <v>1.9958612499999999</v>
      </c>
      <c r="K22" s="140">
        <f t="shared" si="7"/>
        <v>0</v>
      </c>
    </row>
    <row r="23" spans="1:11" x14ac:dyDescent="0.35">
      <c r="A23">
        <v>6</v>
      </c>
      <c r="C23" t="s">
        <v>121</v>
      </c>
      <c r="D23" s="140">
        <f>SUMIF('Detailed Budget'!$D$5:$D$39,'Disbursement schedule'!C23,'Detailed Budget'!$Q$5:$Q$40)/1000000</f>
        <v>63.426000000000002</v>
      </c>
      <c r="E23" s="140">
        <f>SUMIF('Detailed Budget'!$D$5:$D$39,'Disbursement schedule'!C23,'Detailed Budget'!$R$5:$R$40)/1000000</f>
        <v>21.515999999999998</v>
      </c>
      <c r="F23" s="140">
        <f>SUMIFS('Detailed Budget'!$Q$5:$Q$40,'Detailed Budget'!$D$5:$D$40,'Disbursement schedule'!$C23,'Detailed Budget'!$C$5:$C$40,'Disbursement schedule'!$M$7)/1000000</f>
        <v>8.645999999999999</v>
      </c>
      <c r="G23" s="140">
        <f>SUMIFS('Detailed Budget'!$R$5:$R$40,'Detailed Budget'!$D$5:$D$40,'Disbursement schedule'!$C23,'Detailed Budget'!$C$5:$C$40,'Disbursement schedule'!$M$7)/1000000</f>
        <v>2.9699999999999998</v>
      </c>
      <c r="H23" s="140">
        <f>D23+D24</f>
        <v>115.32</v>
      </c>
      <c r="I23" s="140">
        <f>E23+E24</f>
        <v>39.119999999999997</v>
      </c>
      <c r="J23" s="140">
        <f>F23+F24</f>
        <v>15.719999999999999</v>
      </c>
      <c r="K23" s="140">
        <f>G23+G24</f>
        <v>5.3999999999999995</v>
      </c>
    </row>
    <row r="24" spans="1:11" hidden="1" x14ac:dyDescent="0.35">
      <c r="A24">
        <f t="shared" ref="A24" si="8">A21+1</f>
        <v>6</v>
      </c>
      <c r="C24" t="s">
        <v>120</v>
      </c>
      <c r="D24" s="140">
        <f>SUMIF('Detailed Budget'!$D$5:$D$39,'Disbursement schedule'!C24,'Detailed Budget'!$Q$5:$Q$40)/1000000</f>
        <v>51.893999999999998</v>
      </c>
      <c r="E24" s="140">
        <f>SUMIF('Detailed Budget'!$D$5:$D$39,'Disbursement schedule'!C24,'Detailed Budget'!$R$5:$R$40)/1000000</f>
        <v>17.603999999999999</v>
      </c>
      <c r="F24" s="140">
        <f>SUMIFS('Detailed Budget'!$Q$5:$Q$40,'Detailed Budget'!$D$5:$D$40,'Disbursement schedule'!$C24,'Detailed Budget'!$C$5:$C$40,'Disbursement schedule'!$M$7)/1000000</f>
        <v>7.073999999999999</v>
      </c>
      <c r="G24" s="140">
        <f>SUMIFS('Detailed Budget'!$R$5:$R$40,'Detailed Budget'!$D$5:$D$40,'Disbursement schedule'!$C24,'Detailed Budget'!$C$5:$C$40,'Disbursement schedule'!$M$7)/1000000</f>
        <v>2.4299999999999997</v>
      </c>
      <c r="H24" s="140"/>
      <c r="I24" s="140"/>
      <c r="J24" s="140"/>
      <c r="K24" s="140"/>
    </row>
    <row r="25" spans="1:11" x14ac:dyDescent="0.35">
      <c r="A25">
        <v>6</v>
      </c>
      <c r="C25" t="s">
        <v>103</v>
      </c>
      <c r="D25" s="140">
        <f>SUM(D22:D24)</f>
        <v>117.71397999999999</v>
      </c>
      <c r="E25" s="140">
        <f>SUM(E22:E24)</f>
        <v>39.119999999999997</v>
      </c>
      <c r="F25" s="140">
        <f>SUM(F22:F24)</f>
        <v>17.715861249999996</v>
      </c>
      <c r="G25" s="140">
        <f>SUM(G22:G24)</f>
        <v>5.3999999999999995</v>
      </c>
      <c r="H25" s="140">
        <f t="shared" ref="H25:K26" si="9">D25</f>
        <v>117.71397999999999</v>
      </c>
      <c r="I25" s="140">
        <f t="shared" si="9"/>
        <v>39.119999999999997</v>
      </c>
      <c r="J25" s="140">
        <f t="shared" si="9"/>
        <v>17.715861249999996</v>
      </c>
      <c r="K25" s="140">
        <f t="shared" si="9"/>
        <v>5.3999999999999995</v>
      </c>
    </row>
    <row r="26" spans="1:11" x14ac:dyDescent="0.35">
      <c r="A26">
        <f>A22+1</f>
        <v>7</v>
      </c>
      <c r="B26" t="s">
        <v>228</v>
      </c>
      <c r="C26" t="s">
        <v>116</v>
      </c>
      <c r="D26" s="140">
        <f>SUMIF('Detailed Budget'!$D$5:$D$39,'Disbursement schedule'!C26,'Detailed Budget'!$S$5:$S$40)/1000000</f>
        <v>2.0759800000000004</v>
      </c>
      <c r="E26" s="140">
        <f>SUMIF('Detailed Budget'!$D$5:$D$39,'Disbursement schedule'!C26,'Detailed Budget'!$T$5:$T$40)/1000000</f>
        <v>0</v>
      </c>
      <c r="F26" s="140">
        <f>SUMIFS('Detailed Budget'!$S$5:$S$40,'Detailed Budget'!$D$5:$D$40,'Disbursement schedule'!$C26,'Detailed Budget'!$C$5:$C$40,'Disbursement schedule'!$M$7)/1000000</f>
        <v>1.7334862500000006</v>
      </c>
      <c r="G26" s="140">
        <f>SUMIFS('Detailed Budget'!$T$5:$T$40,'Detailed Budget'!$D$5:$D$40,'Disbursement schedule'!$C26,'Detailed Budget'!$C$5:$C$40,'Disbursement schedule'!$M$7)/1000000</f>
        <v>0</v>
      </c>
      <c r="H26" s="140">
        <f t="shared" si="9"/>
        <v>2.0759800000000004</v>
      </c>
      <c r="I26" s="140">
        <f t="shared" si="9"/>
        <v>0</v>
      </c>
      <c r="J26" s="140">
        <f t="shared" si="9"/>
        <v>1.7334862500000006</v>
      </c>
      <c r="K26" s="140">
        <f t="shared" si="9"/>
        <v>0</v>
      </c>
    </row>
    <row r="27" spans="1:11" x14ac:dyDescent="0.35">
      <c r="A27">
        <f>A23+1</f>
        <v>7</v>
      </c>
      <c r="C27" t="s">
        <v>121</v>
      </c>
      <c r="D27" s="140">
        <f>SUMIF('Detailed Budget'!$D$5:$D$39,'Disbursement schedule'!C27,'Detailed Budget'!$S$5:$S$40)/1000000</f>
        <v>73.997000000000014</v>
      </c>
      <c r="E27" s="140">
        <f>SUMIF('Detailed Budget'!$D$5:$D$39,'Disbursement schedule'!C27,'Detailed Budget'!$T$5:$T$40)/1000000</f>
        <v>25.102</v>
      </c>
      <c r="F27" s="140">
        <f>SUMIFS('Detailed Budget'!$S$5:$S$40,'Detailed Budget'!$D$5:$D$40,'Disbursement schedule'!$C27,'Detailed Budget'!$C$5:$C$40,'Disbursement schedule'!$M$7)/1000000</f>
        <v>10.087000000000002</v>
      </c>
      <c r="G27" s="140">
        <f>SUMIFS('Detailed Budget'!$T$5:$T$40,'Detailed Budget'!$D$5:$D$40,'Disbursement schedule'!$C27,'Detailed Budget'!$C$5:$C$40,'Disbursement schedule'!$M$7)/1000000</f>
        <v>3.4650000000000003</v>
      </c>
      <c r="H27" s="140">
        <f>D27+D28</f>
        <v>134.54000000000002</v>
      </c>
      <c r="I27" s="140">
        <f>E27+E28</f>
        <v>45.64</v>
      </c>
      <c r="J27" s="140">
        <f>F27+F28</f>
        <v>18.340000000000003</v>
      </c>
      <c r="K27" s="140">
        <f>G27+G28</f>
        <v>6.3000000000000007</v>
      </c>
    </row>
    <row r="28" spans="1:11" hidden="1" x14ac:dyDescent="0.35">
      <c r="A28">
        <f t="shared" ref="A28" si="10">A25+1</f>
        <v>7</v>
      </c>
      <c r="C28" t="s">
        <v>120</v>
      </c>
      <c r="D28" s="140">
        <f>SUMIF('Detailed Budget'!$D$5:$D$39,'Disbursement schedule'!C28,'Detailed Budget'!$S$5:$S$40)/1000000</f>
        <v>60.543000000000006</v>
      </c>
      <c r="E28" s="140">
        <f>SUMIF('Detailed Budget'!$D$5:$D$39,'Disbursement schedule'!C28,'Detailed Budget'!$T$5:$T$40)/1000000</f>
        <v>20.538</v>
      </c>
      <c r="F28" s="140">
        <f>SUMIFS('Detailed Budget'!$S$5:$S$40,'Detailed Budget'!$D$5:$D$40,'Disbursement schedule'!$C28,'Detailed Budget'!$C$5:$C$40,'Disbursement schedule'!$M$7)/1000000</f>
        <v>8.2530000000000019</v>
      </c>
      <c r="G28" s="140">
        <f>SUMIFS('Detailed Budget'!$T$5:$T$40,'Detailed Budget'!$D$5:$D$40,'Disbursement schedule'!$C28,'Detailed Budget'!$C$5:$C$40,'Disbursement schedule'!$M$7)/1000000</f>
        <v>2.8350000000000004</v>
      </c>
      <c r="H28" s="140"/>
      <c r="I28" s="140"/>
      <c r="J28" s="140"/>
      <c r="K28" s="140"/>
    </row>
    <row r="29" spans="1:11" x14ac:dyDescent="0.35">
      <c r="A29">
        <f t="shared" ref="A29" si="11">A25+1</f>
        <v>7</v>
      </c>
      <c r="C29" t="s">
        <v>103</v>
      </c>
      <c r="D29" s="140">
        <f>SUM(D26:D28)</f>
        <v>136.61598000000004</v>
      </c>
      <c r="E29" s="140">
        <f>SUM(E26:E28)</f>
        <v>45.64</v>
      </c>
      <c r="F29" s="140">
        <f>SUM(F26:F28)</f>
        <v>20.073486250000002</v>
      </c>
      <c r="G29" s="140">
        <f>SUM(G26:G28)</f>
        <v>6.3000000000000007</v>
      </c>
      <c r="H29" s="140">
        <f t="shared" ref="H29:K30" si="12">D29</f>
        <v>136.61598000000004</v>
      </c>
      <c r="I29" s="140">
        <f t="shared" si="12"/>
        <v>45.64</v>
      </c>
      <c r="J29" s="140">
        <f t="shared" si="12"/>
        <v>20.073486250000002</v>
      </c>
      <c r="K29" s="140">
        <f t="shared" si="12"/>
        <v>6.3000000000000007</v>
      </c>
    </row>
    <row r="30" spans="1:11" x14ac:dyDescent="0.35">
      <c r="A30">
        <f>A26+1</f>
        <v>8</v>
      </c>
      <c r="B30" t="s">
        <v>229</v>
      </c>
      <c r="C30" t="s">
        <v>116</v>
      </c>
      <c r="D30" s="140">
        <f>SUMIF('Detailed Budget'!$D$5:$D$39,'Disbursement schedule'!C30,'Detailed Budget'!$U$5:$U$40)/1000000</f>
        <v>1.5389800000000002</v>
      </c>
      <c r="E30" s="140">
        <f>SUMIF('Detailed Budget'!$D$5:$D$39,'Disbursement schedule'!C30,'Detailed Budget'!$V$5:$V$40)/1000000</f>
        <v>0</v>
      </c>
      <c r="F30" s="140">
        <f>SUMIFS('Detailed Budget'!$U$5:$U$40,'Detailed Budget'!$D$5:$D$40,'Disbursement schedule'!$C30,'Detailed Budget'!$C$5:$C$40,'Disbursement schedule'!$M$7)/1000000</f>
        <v>1.2767987500000002</v>
      </c>
      <c r="G30" s="140">
        <f>SUMIFS('Detailed Budget'!$V$5:$V$40,'Detailed Budget'!$D$5:$D$40,'Disbursement schedule'!$C30,'Detailed Budget'!$C$5:$C$40,'Disbursement schedule'!$M$7)/1000000</f>
        <v>0</v>
      </c>
      <c r="H30" s="140">
        <f t="shared" si="12"/>
        <v>1.5389800000000002</v>
      </c>
      <c r="I30" s="140">
        <f t="shared" si="12"/>
        <v>0</v>
      </c>
      <c r="J30" s="140">
        <f t="shared" si="12"/>
        <v>1.2767987500000002</v>
      </c>
      <c r="K30" s="140">
        <f t="shared" si="12"/>
        <v>0</v>
      </c>
    </row>
    <row r="31" spans="1:11" x14ac:dyDescent="0.35">
      <c r="A31">
        <f>A27+1</f>
        <v>8</v>
      </c>
      <c r="C31" t="s">
        <v>121</v>
      </c>
      <c r="D31" s="140">
        <f>SUMIF('Detailed Budget'!$D$5:$D$39,'Disbursement schedule'!C31,'Detailed Budget'!$U$5:$U$40)/1000000</f>
        <v>68.711500000000001</v>
      </c>
      <c r="E31" s="140">
        <f>SUMIF('Detailed Budget'!$D$5:$D$39,'Disbursement schedule'!C31,'Detailed Budget'!$V$5:$V$40)/1000000</f>
        <v>23.309000000000001</v>
      </c>
      <c r="F31" s="140">
        <f>SUMIFS('Detailed Budget'!$U$5:$U$40,'Detailed Budget'!$D$5:$D$40,'Disbursement schedule'!$C31,'Detailed Budget'!$C$5:$C$40,'Disbursement schedule'!$M$7)/1000000</f>
        <v>9.3665000000000003</v>
      </c>
      <c r="G31" s="140">
        <f>SUMIFS('Detailed Budget'!$V$5:$V$40,'Detailed Budget'!$D$5:$D$40,'Disbursement schedule'!$C31,'Detailed Budget'!$C$5:$C$40,'Disbursement schedule'!$M$7)/1000000</f>
        <v>3.2175000000000002</v>
      </c>
      <c r="H31" s="140">
        <f>D31+D32</f>
        <v>124.93</v>
      </c>
      <c r="I31" s="140">
        <f>E31+E32</f>
        <v>42.38</v>
      </c>
      <c r="J31" s="140">
        <f>F31+F32</f>
        <v>17.03</v>
      </c>
      <c r="K31" s="140">
        <f>G31+G32</f>
        <v>5.8500000000000005</v>
      </c>
    </row>
    <row r="32" spans="1:11" hidden="1" x14ac:dyDescent="0.35">
      <c r="A32">
        <f t="shared" ref="A32" si="13">A29+1</f>
        <v>8</v>
      </c>
      <c r="C32" t="s">
        <v>120</v>
      </c>
      <c r="D32" s="140">
        <f>SUMIF('Detailed Budget'!$D$5:$D$39,'Disbursement schedule'!C32,'Detailed Budget'!$U$5:$U$40)/1000000</f>
        <v>56.218499999999999</v>
      </c>
      <c r="E32" s="140">
        <f>SUMIF('Detailed Budget'!$D$5:$D$39,'Disbursement schedule'!C32,'Detailed Budget'!$V$5:$V$40)/1000000</f>
        <v>19.071000000000002</v>
      </c>
      <c r="F32" s="140">
        <f>SUMIFS('Detailed Budget'!$U$5:$U$40,'Detailed Budget'!$D$5:$D$40,'Disbursement schedule'!$C32,'Detailed Budget'!$C$5:$C$40,'Disbursement schedule'!$M$7)/1000000</f>
        <v>7.6635</v>
      </c>
      <c r="G32" s="140">
        <f>SUMIFS('Detailed Budget'!$V$5:$V$40,'Detailed Budget'!$D$5:$D$40,'Disbursement schedule'!$C32,'Detailed Budget'!$C$5:$C$40,'Disbursement schedule'!$M$7)/1000000</f>
        <v>2.6325000000000003</v>
      </c>
      <c r="H32" s="140"/>
      <c r="I32" s="140"/>
      <c r="J32" s="140"/>
      <c r="K32" s="140"/>
    </row>
    <row r="33" spans="1:11" x14ac:dyDescent="0.35">
      <c r="A33">
        <f>A29+1</f>
        <v>8</v>
      </c>
      <c r="C33" t="s">
        <v>103</v>
      </c>
      <c r="D33" s="140">
        <f>SUM(D30:D32)</f>
        <v>126.46897999999999</v>
      </c>
      <c r="E33" s="140">
        <f>SUM(E30:E32)</f>
        <v>42.38</v>
      </c>
      <c r="F33" s="140">
        <f>SUM(F30:F32)</f>
        <v>18.306798749999999</v>
      </c>
      <c r="G33" s="140">
        <f>SUM(G30:G32)</f>
        <v>5.8500000000000005</v>
      </c>
      <c r="H33" s="140">
        <f t="shared" ref="H33:K34" si="14">D33</f>
        <v>126.46897999999999</v>
      </c>
      <c r="I33" s="140">
        <f t="shared" si="14"/>
        <v>42.38</v>
      </c>
      <c r="J33" s="140">
        <f t="shared" si="14"/>
        <v>18.306798749999999</v>
      </c>
      <c r="K33" s="140">
        <f t="shared" si="14"/>
        <v>5.8500000000000005</v>
      </c>
    </row>
    <row r="34" spans="1:11" x14ac:dyDescent="0.35">
      <c r="A34">
        <f>A30+1</f>
        <v>9</v>
      </c>
      <c r="B34" t="s">
        <v>230</v>
      </c>
      <c r="C34" t="s">
        <v>116</v>
      </c>
      <c r="D34" s="140">
        <f>SUMIF('Detailed Budget'!$D$5:$D$39,'Disbursement schedule'!C34,'Detailed Budget'!$W$5:$W$40)/1000000</f>
        <v>1.0019799999999999</v>
      </c>
      <c r="E34" s="140">
        <f>SUMIF('Detailed Budget'!$D$5:$D$39,'Disbursement schedule'!C34,'Detailed Budget'!$X$5:$X$40)/1000000</f>
        <v>0</v>
      </c>
      <c r="F34" s="140">
        <f>SUMIFS('Detailed Budget'!$W$5:$W$40,'Detailed Budget'!$D$5:$D$40,'Disbursement schedule'!$C34,'Detailed Budget'!$C$5:$C$40,'Disbursement schedule'!$M$7)/1000000</f>
        <v>0.82011124999999985</v>
      </c>
      <c r="G34" s="140">
        <f>SUMIFS('Detailed Budget'!$X$5:$X$40,'Detailed Budget'!$D$5:$D$40,'Disbursement schedule'!$C34,'Detailed Budget'!$C$5:$C$40,'Disbursement schedule'!$M$7)/1000000</f>
        <v>0</v>
      </c>
      <c r="H34" s="140">
        <f t="shared" si="14"/>
        <v>1.0019799999999999</v>
      </c>
      <c r="I34" s="140">
        <f t="shared" si="14"/>
        <v>0</v>
      </c>
      <c r="J34" s="140">
        <f t="shared" si="14"/>
        <v>0.82011124999999985</v>
      </c>
      <c r="K34" s="140">
        <f t="shared" si="14"/>
        <v>0</v>
      </c>
    </row>
    <row r="35" spans="1:11" x14ac:dyDescent="0.35">
      <c r="A35">
        <f>A31+1</f>
        <v>9</v>
      </c>
      <c r="C35" t="s">
        <v>121</v>
      </c>
      <c r="D35" s="140">
        <f>SUMIF('Detailed Budget'!$D$5:$D$39,'Disbursement schedule'!C35,'Detailed Budget'!$W$5:$W$40)/1000000</f>
        <v>63.426000000000002</v>
      </c>
      <c r="E35" s="140">
        <f>SUMIF('Detailed Budget'!$D$5:$D$39,'Disbursement schedule'!C35,'Detailed Budget'!$X$5:$X$40)/1000000</f>
        <v>21.515999999999998</v>
      </c>
      <c r="F35" s="140">
        <f>SUMIFS('Detailed Budget'!$W$5:$W$40,'Detailed Budget'!$D$5:$D$40,'Disbursement schedule'!$C35,'Detailed Budget'!$C$5:$C$40,'Disbursement schedule'!$M$7)/1000000</f>
        <v>8.645999999999999</v>
      </c>
      <c r="G35" s="140">
        <f>SUMIFS('Detailed Budget'!$X$5:$X$40,'Detailed Budget'!$D$5:$D$40,'Disbursement schedule'!$C35,'Detailed Budget'!$C$5:$C$40,'Disbursement schedule'!$M$7)/1000000</f>
        <v>2.9699999999999998</v>
      </c>
      <c r="H35" s="140">
        <f>D35+D36</f>
        <v>115.32</v>
      </c>
      <c r="I35" s="140">
        <f>E35+E36</f>
        <v>39.119999999999997</v>
      </c>
      <c r="J35" s="140">
        <f>F35+F36</f>
        <v>15.719999999999999</v>
      </c>
      <c r="K35" s="140">
        <f>G35+G36</f>
        <v>5.3999999999999995</v>
      </c>
    </row>
    <row r="36" spans="1:11" hidden="1" x14ac:dyDescent="0.35">
      <c r="A36">
        <f t="shared" ref="A36" si="15">A33+1</f>
        <v>9</v>
      </c>
      <c r="C36" t="s">
        <v>120</v>
      </c>
      <c r="D36" s="140">
        <f>SUMIF('Detailed Budget'!$D$5:$D$39,'Disbursement schedule'!C36,'Detailed Budget'!$W$5:$W$40)/1000000</f>
        <v>51.893999999999998</v>
      </c>
      <c r="E36" s="140">
        <f>SUMIF('Detailed Budget'!$D$5:$D$39,'Disbursement schedule'!C36,'Detailed Budget'!$X$5:$X$40)/1000000</f>
        <v>17.603999999999999</v>
      </c>
      <c r="F36" s="140">
        <f>SUMIFS('Detailed Budget'!$W$5:$W$40,'Detailed Budget'!$D$5:$D$40,'Disbursement schedule'!$C36,'Detailed Budget'!$C$5:$C$40,'Disbursement schedule'!$M$7)/1000000</f>
        <v>7.073999999999999</v>
      </c>
      <c r="G36" s="140">
        <f>SUMIFS('Detailed Budget'!$X$5:$X$40,'Detailed Budget'!$D$5:$D$40,'Disbursement schedule'!$C36,'Detailed Budget'!$C$5:$C$40,'Disbursement schedule'!$M$7)/1000000</f>
        <v>2.4299999999999997</v>
      </c>
      <c r="H36" s="140"/>
      <c r="I36" s="140"/>
      <c r="J36" s="140"/>
      <c r="K36" s="140"/>
    </row>
    <row r="37" spans="1:11" x14ac:dyDescent="0.35">
      <c r="A37">
        <f t="shared" ref="A37" si="16">A33+1</f>
        <v>9</v>
      </c>
      <c r="C37" t="s">
        <v>103</v>
      </c>
      <c r="D37" s="140">
        <f>SUM(D34:D36)</f>
        <v>116.32198</v>
      </c>
      <c r="E37" s="140">
        <f>SUM(E34:E36)</f>
        <v>39.119999999999997</v>
      </c>
      <c r="F37" s="140">
        <f>SUM(F34:F36)</f>
        <v>16.540111249999999</v>
      </c>
      <c r="G37" s="140">
        <f>SUM(G34:G36)</f>
        <v>5.3999999999999995</v>
      </c>
      <c r="H37" s="140">
        <f t="shared" ref="H37:K38" si="17">D37</f>
        <v>116.32198</v>
      </c>
      <c r="I37" s="140">
        <f t="shared" si="17"/>
        <v>39.119999999999997</v>
      </c>
      <c r="J37" s="140">
        <f t="shared" si="17"/>
        <v>16.540111249999999</v>
      </c>
      <c r="K37" s="140">
        <f t="shared" si="17"/>
        <v>5.3999999999999995</v>
      </c>
    </row>
    <row r="38" spans="1:11" x14ac:dyDescent="0.35">
      <c r="A38">
        <f>A34+1</f>
        <v>10</v>
      </c>
      <c r="B38" t="s">
        <v>231</v>
      </c>
      <c r="C38" t="s">
        <v>116</v>
      </c>
      <c r="D38" s="140">
        <f>SUMIF('Detailed Budget'!$D$5:$D$39,'Disbursement schedule'!C38,'Detailed Budget'!$Y$5:$Y$40)/1000000</f>
        <v>0.91098000000000001</v>
      </c>
      <c r="E38" s="140">
        <f>SUMIF('Detailed Budget'!$D$5:$D$39,'Disbursement schedule'!C38,'Detailed Budget'!$Z$5:$Z$40)/1000000</f>
        <v>0</v>
      </c>
      <c r="F38" s="140">
        <f>SUMIFS('Detailed Budget'!$Y$5:$Y$40,'Detailed Budget'!$D$5:$D$40,'Disbursement schedule'!$C38,'Detailed Budget'!$C$5:$C$40,'Disbursement schedule'!$M$7)/1000000</f>
        <v>0.71379875000000004</v>
      </c>
      <c r="G38" s="140">
        <f>SUMIFS('Detailed Budget'!$Z$5:$Z$40,'Detailed Budget'!$D$5:$D$40,'Disbursement schedule'!$C38,'Detailed Budget'!$C$5:$C$40,'Disbursement schedule'!$M$7)/1000000</f>
        <v>0</v>
      </c>
      <c r="H38" s="140">
        <f t="shared" si="17"/>
        <v>0.91098000000000001</v>
      </c>
      <c r="I38" s="140">
        <f t="shared" si="17"/>
        <v>0</v>
      </c>
      <c r="J38" s="140">
        <f t="shared" si="17"/>
        <v>0.71379875000000004</v>
      </c>
      <c r="K38" s="140">
        <f t="shared" si="17"/>
        <v>0</v>
      </c>
    </row>
    <row r="39" spans="1:11" x14ac:dyDescent="0.35">
      <c r="A39">
        <f>A35+1</f>
        <v>10</v>
      </c>
      <c r="C39" t="s">
        <v>121</v>
      </c>
      <c r="D39" s="140">
        <f>SUMIF('Detailed Budget'!$D$5:$D$39,'Disbursement schedule'!C39,'Detailed Budget'!$Y$5:$Y$40)/1000000</f>
        <v>52.854999999999997</v>
      </c>
      <c r="E39" s="140">
        <f>SUMIF('Detailed Budget'!$D$5:$D$39,'Disbursement schedule'!C39,'Detailed Budget'!$Z$5:$Z$40)/1000000</f>
        <v>17.93</v>
      </c>
      <c r="F39" s="140">
        <f>SUMIFS('Detailed Budget'!$Y$5:$Y$40,'Detailed Budget'!$D$5:$D$40,'Disbursement schedule'!$C39,'Detailed Budget'!$C$5:$C$40,'Disbursement schedule'!$M$7)/1000000</f>
        <v>7.205000000000001</v>
      </c>
      <c r="G39" s="140">
        <f>SUMIFS('Detailed Budget'!$Z$5:$Z$40,'Detailed Budget'!$D$5:$D$40,'Disbursement schedule'!$C39,'Detailed Budget'!$C$5:$C$40,'Disbursement schedule'!$M$7)/1000000</f>
        <v>2.4750000000000001</v>
      </c>
      <c r="H39" s="140">
        <f>D39+D40</f>
        <v>96.1</v>
      </c>
      <c r="I39" s="140">
        <f>E39+E40</f>
        <v>32.6</v>
      </c>
      <c r="J39" s="140">
        <f>F39+F40</f>
        <v>13.100000000000001</v>
      </c>
      <c r="K39" s="140">
        <f>G39+G40</f>
        <v>4.5</v>
      </c>
    </row>
    <row r="40" spans="1:11" hidden="1" x14ac:dyDescent="0.35">
      <c r="A40">
        <f t="shared" ref="A40" si="18">A37+1</f>
        <v>10</v>
      </c>
      <c r="C40" t="s">
        <v>120</v>
      </c>
      <c r="D40" s="140">
        <f>SUMIF('Detailed Budget'!$D$5:$D$39,'Disbursement schedule'!C40,'Detailed Budget'!$Y$5:$Y$40)/1000000</f>
        <v>43.244999999999997</v>
      </c>
      <c r="E40" s="140">
        <f>SUMIF('Detailed Budget'!$D$5:$D$39,'Disbursement schedule'!C40,'Detailed Budget'!$Z$5:$Z$40)/1000000</f>
        <v>14.67</v>
      </c>
      <c r="F40" s="140">
        <f>SUMIFS('Detailed Budget'!$Y$5:$Y$40,'Detailed Budget'!$D$5:$D$40,'Disbursement schedule'!$C40,'Detailed Budget'!$C$5:$C$40,'Disbursement schedule'!$M$7)/1000000</f>
        <v>5.8950000000000014</v>
      </c>
      <c r="G40" s="140">
        <f>SUMIFS('Detailed Budget'!$Z$5:$Z$40,'Detailed Budget'!$D$5:$D$40,'Disbursement schedule'!$C40,'Detailed Budget'!$C$5:$C$40,'Disbursement schedule'!$M$7)/1000000</f>
        <v>2.0249999999999999</v>
      </c>
      <c r="H40" s="140"/>
      <c r="I40" s="140"/>
      <c r="J40" s="140"/>
      <c r="K40" s="140"/>
    </row>
    <row r="41" spans="1:11" x14ac:dyDescent="0.35">
      <c r="A41">
        <f t="shared" ref="A41" si="19">A37+1</f>
        <v>10</v>
      </c>
      <c r="C41" t="s">
        <v>103</v>
      </c>
      <c r="D41" s="140">
        <f>SUM(D38:D40)</f>
        <v>97.010979999999989</v>
      </c>
      <c r="E41" s="140">
        <f>SUM(E38:E40)</f>
        <v>32.6</v>
      </c>
      <c r="F41" s="140">
        <f>SUM(F38:F40)</f>
        <v>13.813798750000002</v>
      </c>
      <c r="G41" s="140">
        <f>SUM(G38:G40)</f>
        <v>4.5</v>
      </c>
      <c r="H41" s="140">
        <f>D41</f>
        <v>97.010979999999989</v>
      </c>
      <c r="I41" s="140">
        <f>E41</f>
        <v>32.6</v>
      </c>
      <c r="J41" s="140">
        <f>F41</f>
        <v>13.813798750000002</v>
      </c>
      <c r="K41" s="140">
        <f>G41</f>
        <v>4.5</v>
      </c>
    </row>
    <row r="42" spans="1:11" hidden="1" x14ac:dyDescent="0.35">
      <c r="A42">
        <f t="shared" ref="A42" si="20">A41+1</f>
        <v>11</v>
      </c>
      <c r="C42" t="s">
        <v>120</v>
      </c>
      <c r="D42" s="140" t="e">
        <f>SUMIF('Detailed Budget'!$D$5:$D$39,'Disbursement schedule'!C42,'Detailed Budget'!#REF!)/1000000</f>
        <v>#REF!</v>
      </c>
      <c r="E42" s="140"/>
      <c r="F42" s="140"/>
      <c r="G42" s="140"/>
      <c r="H42" s="140"/>
      <c r="I42" s="140"/>
      <c r="J42" s="140"/>
      <c r="K42" s="140"/>
    </row>
    <row r="43" spans="1:11" x14ac:dyDescent="0.35">
      <c r="A43" t="e">
        <f>#REF!+1</f>
        <v>#REF!</v>
      </c>
      <c r="D43" s="140"/>
      <c r="E43" s="140"/>
      <c r="F43" s="140"/>
      <c r="G43" s="140"/>
      <c r="H43" s="140"/>
      <c r="I43" s="140"/>
      <c r="J43" s="140"/>
      <c r="K43" s="140"/>
    </row>
    <row r="44" spans="1:11" x14ac:dyDescent="0.35">
      <c r="A44" t="e">
        <f>#REF!+1</f>
        <v>#REF!</v>
      </c>
      <c r="D44" s="140"/>
      <c r="E44" s="140"/>
      <c r="F44" s="140"/>
      <c r="G44" s="140"/>
      <c r="H44" s="140"/>
      <c r="I44" s="140"/>
      <c r="J44" s="140"/>
      <c r="K44" s="140"/>
    </row>
    <row r="45" spans="1:11" x14ac:dyDescent="0.35">
      <c r="A45" t="e">
        <f>#REF!+1</f>
        <v>#REF!</v>
      </c>
      <c r="D45" s="140"/>
      <c r="G45" s="140"/>
      <c r="H45" s="140"/>
      <c r="J45" s="140"/>
      <c r="K45" s="140"/>
    </row>
  </sheetData>
  <autoFilter ref="B1:L45">
    <filterColumn colId="1">
      <filters>
        <filter val="Grant"/>
        <filter val="Loan"/>
        <filter val="Total"/>
      </filters>
    </filterColumn>
  </autoFilter>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8" ma:contentTypeDescription="Create a new document." ma:contentTypeScope="" ma:versionID="495cd79217b99afa72b9ee5eaa6991a8">
  <xsd:schema xmlns:xsd="http://www.w3.org/2001/XMLSchema" xmlns:xs="http://www.w3.org/2001/XMLSchema" xmlns:p="http://schemas.microsoft.com/office/2006/metadata/properties" xmlns:ns2="366ae72f-6d51-4737-8f6b-a9169c366b64" xmlns:ns3="a3cd7b71-671d-4139-9a97-5d1a7380fae4" xmlns:ns4="50c9b839-8b53-4ddb-9b24-b96221f2bda6" targetNamespace="http://schemas.microsoft.com/office/2006/metadata/properties" ma:root="true" ma:fieldsID="163074be616c017a06b81a72cc3842b3" ns2:_="" ns3:_="" ns4:_="">
    <xsd:import namespace="366ae72f-6d51-4737-8f6b-a9169c366b64"/>
    <xsd:import namespace="a3cd7b71-671d-4139-9a97-5d1a7380fae4"/>
    <xsd:import namespace="50c9b839-8b53-4ddb-9b24-b96221f2bda6"/>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Image Tags" ma:readOnly="false" ma:fieldId="{5cf76f15-5ced-4ddc-b409-7134ff3c332f}" ma:taxonomyMulti="true" ma:sspId="3a5397d5-9543-4dbc-8fcb-23c3638b1d43"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0c9b839-8b53-4ddb-9b24-b96221f2bda6" elementFormDefault="qualified">
    <xsd:import namespace="http://schemas.microsoft.com/office/2006/documentManagement/types"/>
    <xsd:import namespace="http://schemas.microsoft.com/office/infopath/2007/PartnerControls"/>
    <xsd:element name="TaxCatchAll" ma:index="25" nillable="true" ma:displayName="Taxonomy Catch All Column" ma:hidden="true" ma:list="{5fd50e79-fa69-4ed5-b0f8-bdacc103d93a}" ma:internalName="TaxCatchAll" ma:showField="CatchAllData" ma:web="a3cd7b71-671d-4139-9a97-5d1a7380fae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TaxCatchAll xmlns="50c9b839-8b53-4ddb-9b24-b96221f2bda6" xsi:nil="true"/>
    <file_x0020_ xmlns="366ae72f-6d51-4737-8f6b-a9169c366b64" xsi:nil="true"/>
    <lcf76f155ced4ddcb4097134ff3c332f xmlns="366ae72f-6d51-4737-8f6b-a9169c366b64">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1D7F62D-B316-4588-BA5E-10CC032B1163}"/>
</file>

<file path=customXml/itemProps2.xml><?xml version="1.0" encoding="utf-8"?>
<ds:datastoreItem xmlns:ds="http://schemas.openxmlformats.org/officeDocument/2006/customXml" ds:itemID="{2872DC3B-D38A-4944-A3E2-F408E10C7A44}"/>
</file>

<file path=customXml/itemProps3.xml><?xml version="1.0" encoding="utf-8"?>
<ds:datastoreItem xmlns:ds="http://schemas.openxmlformats.org/officeDocument/2006/customXml" ds:itemID="{7E0CF0F5-0B80-4514-9A60-9A504295A28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Introduction</vt:lpstr>
      <vt:lpstr>Detailed Budget</vt:lpstr>
      <vt:lpstr>Revised top-down</vt:lpstr>
      <vt:lpstr>PMC</vt:lpstr>
      <vt:lpstr>Notes and Assumptions</vt:lpstr>
      <vt:lpstr>Country budget</vt:lpstr>
      <vt:lpstr>M&amp;E Budget</vt:lpstr>
      <vt:lpstr>Disbursement schedule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Mara Baviera</dc:creator>
  <cp:lastModifiedBy>LAFOND Remi</cp:lastModifiedBy>
  <dcterms:created xsi:type="dcterms:W3CDTF">2016-04-04T05:39:24Z</dcterms:created>
  <dcterms:modified xsi:type="dcterms:W3CDTF">2022-09-23T19:36:32Z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