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chart20.xml" ContentType="application/vnd.openxmlformats-officedocument.drawingml.chart+xml"/>
  <Override PartName="/xl/charts/chart19.xml" ContentType="application/vnd.openxmlformats-officedocument.drawingml.chart+xml"/>
  <Override PartName="/xl/charts/chart18.xml" ContentType="application/vnd.openxmlformats-officedocument.drawingml.chart+xml"/>
  <Override PartName="/xl/charts/chart10.xml" ContentType="application/vnd.openxmlformats-officedocument.drawingml.chart+xml"/>
  <Override PartName="/xl/charts/chart9.xml" ContentType="application/vnd.openxmlformats-officedocument.drawingml.chart+xml"/>
  <Override PartName="/xl/drawings/drawing20.xml" ContentType="application/vnd.openxmlformats-officedocument.drawing+xml"/>
  <Override PartName="/xl/worksheets/sheet1.xml" ContentType="application/vnd.openxmlformats-officedocument.spreadsheetml.worksheet+xml"/>
  <Override PartName="/xl/charts/chart7.xml" ContentType="application/vnd.openxmlformats-officedocument.drawingml.chart+xml"/>
  <Override PartName="/xl/drawings/drawing19.xml" ContentType="application/vnd.openxmlformats-officedocument.drawing+xml"/>
  <Override PartName="/xl/charts/chart11.xml" ContentType="application/vnd.openxmlformats-officedocument.drawingml.chart+xml"/>
  <Override PartName="/xl/charts/chart12.xml" ContentType="application/vnd.openxmlformats-officedocument.drawingml.chart+xml"/>
  <Override PartName="/xl/drawings/drawing21.xml" ContentType="application/vnd.openxmlformats-officedocument.drawing+xml"/>
  <Override PartName="/xl/charts/chart17.xml" ContentType="application/vnd.openxmlformats-officedocument.drawingml.chart+xml"/>
  <Override PartName="/xl/charts/chart16.xml" ContentType="application/vnd.openxmlformats-officedocument.drawingml.chart+xml"/>
  <Override PartName="/xl/charts/chart15.xml" ContentType="application/vnd.openxmlformats-officedocument.drawingml.chart+xml"/>
  <Override PartName="/xl/charts/chart14.xml" ContentType="application/vnd.openxmlformats-officedocument.drawingml.chart+xml"/>
  <Override PartName="/xl/charts/chart13.xml" ContentType="application/vnd.openxmlformats-officedocument.drawingml.chart+xml"/>
  <Override PartName="/xl/charts/chart6.xml" ContentType="application/vnd.openxmlformats-officedocument.drawingml.chart+xml"/>
  <Override PartName="/xl/charts/chart8.xml" ContentType="application/vnd.openxmlformats-officedocument.drawingml.chart+xml"/>
  <Override PartName="/xl/drawings/drawing18.xml" ContentType="application/vnd.openxmlformats-officedocument.drawing+xml"/>
  <Override PartName="/xl/worksheets/sheet27.xml" ContentType="application/vnd.openxmlformats-officedocument.spreadsheetml.worksheet+xml"/>
  <Override PartName="/xl/worksheets/sheet26.xml" ContentType="application/vnd.openxmlformats-officedocument.spreadsheetml.worksheet+xml"/>
  <Override PartName="/xl/worksheets/sheet25.xml" ContentType="application/vnd.openxmlformats-officedocument.spreadsheetml.worksheet+xml"/>
  <Override PartName="/xl/worksheets/sheet24.xml" ContentType="application/vnd.openxmlformats-officedocument.spreadsheetml.worksheet+xml"/>
  <Override PartName="/xl/worksheets/sheet23.xml" ContentType="application/vnd.openxmlformats-officedocument.spreadsheetml.worksheet+xml"/>
  <Override PartName="/xl/worksheets/sheet22.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21.xml" ContentType="application/vnd.openxmlformats-officedocument.spreadsheetml.worksheet+xml"/>
  <Override PartName="/xl/worksheets/sheet20.xml" ContentType="application/vnd.openxmlformats-officedocument.spreadsheetml.worksheet+xml"/>
  <Override PartName="/xl/worksheets/sheet19.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8.xml" ContentType="application/vnd.openxmlformats-officedocument.spreadsheetml.worksheet+xml"/>
  <Override PartName="/xl/worksheets/sheet17.xml" ContentType="application/vnd.openxmlformats-officedocument.spreadsheetml.worksheet+xml"/>
  <Override PartName="/xl/worksheets/sheet16.xml" ContentType="application/vnd.openxmlformats-officedocument.spreadsheetml.worksheet+xml"/>
  <Override PartName="/xl/worksheets/sheet15.xml" ContentType="application/vnd.openxmlformats-officedocument.spreadsheetml.worksheet+xml"/>
  <Override PartName="/xl/worksheets/sheet14.xml" ContentType="application/vnd.openxmlformats-officedocument.spreadsheetml.worksheet+xml"/>
  <Override PartName="/xl/drawings/drawing2.xml" ContentType="application/vnd.openxmlformats-officedocument.drawing+xml"/>
  <Override PartName="/xl/charts/chart5.xml" ContentType="application/vnd.openxmlformats-officedocument.drawingml.chart+xml"/>
  <Override PartName="/xl/drawings/drawing3.xml" ContentType="application/vnd.openxmlformats-officedocument.drawing+xml"/>
  <Override PartName="/xl/drawings/drawing16.xml" ContentType="application/vnd.openxmlformats-officedocument.drawing+xml"/>
  <Override PartName="/xl/drawings/drawing15.xml" ContentType="application/vnd.openxmlformats-officedocument.drawing+xml"/>
  <Override PartName="/xl/drawings/drawing14.xml" ContentType="application/vnd.openxmlformats-officedocument.drawing+xml"/>
  <Override PartName="/xl/drawings/drawing13.xml" ContentType="application/vnd.openxmlformats-officedocument.drawing+xml"/>
  <Override PartName="/xl/drawings/drawing12.xml" ContentType="application/vnd.openxmlformats-officedocument.drawing+xml"/>
  <Override PartName="/xl/drawings/drawing1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4.xml" ContentType="application/vnd.openxmlformats-officedocument.drawingml.chart+xml"/>
  <Override PartName="/xl/charts/chart3.xml" ContentType="application/vnd.openxmlformats-officedocument.drawingml.chart+xml"/>
  <Override PartName="/xl/charts/colors2.xml" ContentType="application/vnd.ms-office.chartcolorstyle+xml"/>
  <Override PartName="/xl/charts/style2.xml" ContentType="application/vnd.ms-office.chartstyle+xml"/>
  <Override PartName="/xl/charts/chart2.xml" ContentType="application/vnd.openxmlformats-officedocument.drawingml.chart+xml"/>
  <Override PartName="/xl/drawings/drawing17.xml" ContentType="application/vnd.openxmlformats-officedocument.drawing+xml"/>
  <Override PartName="/xl/drawings/drawing10.xml" ContentType="application/vnd.openxmlformats-officedocument.drawing+xml"/>
  <Override PartName="/xl/drawings/drawing9.xml" ContentType="application/vnd.openxmlformats-officedocument.drawing+xml"/>
  <Override PartName="/xl/drawings/drawing6.xml" ContentType="application/vnd.openxmlformats-officedocument.drawing+xml"/>
  <Override PartName="/xl/drawings/drawing5.xml" ContentType="application/vnd.openxmlformats-officedocument.drawing+xml"/>
  <Override PartName="/xl/drawings/drawing4.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xl/externalLinks/externalLink3.xml" ContentType="application/vnd.openxmlformats-officedocument.spreadsheetml.externalLink+xml"/>
  <Override PartName="/xl/externalLinks/externalLink2.xml" ContentType="application/vnd.openxmlformats-officedocument.spreadsheetml.externalLink+xml"/>
  <Override PartName="/xl/externalLinks/externalLink1.xml" ContentType="application/vnd.openxmlformats-officedocument.spreadsheetml.externalLink+xml"/>
  <Override PartName="/xl/metadata" ContentType="application/binary"/>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AFONDR\Desktop\14. PEEB Cool FP v11_TC\Annexes\"/>
    </mc:Choice>
  </mc:AlternateContent>
  <bookViews>
    <workbookView xWindow="-120" yWindow="-120" windowWidth="19320" windowHeight="6880"/>
  </bookViews>
  <sheets>
    <sheet name="Impacts Summary" sheetId="10" r:id="rId1"/>
    <sheet name="Beneficiaries" sheetId="33" r:id="rId2"/>
    <sheet name="DJ-Office" sheetId="12" r:id="rId3"/>
    <sheet name="MAR-Residential" sheetId="35" r:id="rId4"/>
    <sheet name="MAR-Edu" sheetId="36" r:id="rId5"/>
    <sheet name="NGA-Residential" sheetId="16" r:id="rId6"/>
    <sheet name="NGA-Retail" sheetId="44" r:id="rId7"/>
    <sheet name="TUN-Residential" sheetId="19" r:id="rId8"/>
    <sheet name="TUN-Hospital" sheetId="20" r:id="rId9"/>
    <sheet name="ARG-Residential" sheetId="21" r:id="rId10"/>
    <sheet name="MEX-Residential" sheetId="39" r:id="rId11"/>
    <sheet name="MEX-Office" sheetId="41" r:id="rId12"/>
    <sheet name="IDN-Residential" sheetId="42" r:id="rId13"/>
    <sheet name="LKA-Office" sheetId="43" r:id="rId14"/>
    <sheet name="ALB-Hospital" sheetId="26" r:id="rId15"/>
    <sheet name="CRI-Edu" sheetId="45" r:id="rId16"/>
    <sheet name="NMKD-Retail" sheetId="38" r:id="rId17"/>
    <sheet name="Energy use" sheetId="9" r:id="rId18"/>
    <sheet name="Sector emissions" sheetId="31" r:id="rId19"/>
    <sheet name="Country emissions" sheetId="32" r:id="rId20"/>
    <sheet name="ReadMe" sheetId="1" r:id="rId21"/>
    <sheet name="General Inputs&amp;Outputs" sheetId="2" r:id="rId22"/>
    <sheet name="Input_Area and Costs" sheetId="3" r:id="rId23"/>
    <sheet name="Fuel factors" sheetId="30" state="hidden" r:id="rId24"/>
    <sheet name="Output_Financial savings" sheetId="8" r:id="rId25"/>
    <sheet name="Input_Energy Context" sheetId="4" r:id="rId26"/>
    <sheet name="Input_EDGE energy savings" sheetId="5" r:id="rId27"/>
    <sheet name="Input_LC Materials" sheetId="6" r:id="rId28"/>
    <sheet name="Output_Carbon savings" sheetId="7" r:id="rId29"/>
    <sheet name="Système outil" sheetId="29" state="hidden" r:id="rId30"/>
  </sheets>
  <externalReferences>
    <externalReference r:id="rId31"/>
    <externalReference r:id="rId32"/>
    <externalReference r:id="rId33"/>
  </externalReferences>
  <definedNames>
    <definedName name="_bookmark21" localSheetId="17">'Energy use'!$A$35</definedName>
    <definedName name="_Toc44610683" localSheetId="17">'Energy use'!$A$40</definedName>
    <definedName name="_Toc44610684" localSheetId="17">'Energy use'!$A$98</definedName>
    <definedName name="_Toc44610685" localSheetId="17">'Energy use'!#REF!</definedName>
    <definedName name="_Toc44610687" localSheetId="17">'Energy use'!$A$306</definedName>
    <definedName name="_Toc44610688" localSheetId="17">'Energy use'!#REF!</definedName>
    <definedName name="_Toc52817360" localSheetId="17">'Energy use'!$A$35</definedName>
    <definedName name="Annexes">'Système outil'!$V$3:$V$7</definedName>
    <definedName name="AppuiDAT">'Système outil'!$R$29:$R$31</definedName>
    <definedName name="AvenantAFD">'Système outil'!$S$29:$S$33</definedName>
    <definedName name="AvenantUE">'Système outil'!$K$29:$K$33</definedName>
    <definedName name="Chargé_d_appui_GFD" localSheetId="15">#REF!</definedName>
    <definedName name="Chargé_d_appui_GFD" localSheetId="17">#REF!</definedName>
    <definedName name="Chargé_d_appui_GFD">#REF!</definedName>
    <definedName name="ChargéappuiDAT">'Système outil'!$B$3:$B$9</definedName>
    <definedName name="ChargéappuiGFD" localSheetId="15">#REF!</definedName>
    <definedName name="ChargéappuiGFD" localSheetId="17">#REF!</definedName>
    <definedName name="ChargéappuiGFD">#REF!</definedName>
    <definedName name="Conventionfin">'Système outil'!$X$3:$X$6</definedName>
    <definedName name="CPs">'Système outil'!$U$3:$U$7</definedName>
    <definedName name="CRA1ValidéUE">'Système outil'!$L$29:$L$30</definedName>
    <definedName name="CRA2ValidéUE">'Système outil'!$M$29:$M$30</definedName>
    <definedName name="CRA3ValidéUE">'Système outil'!$N$29:$N$30</definedName>
    <definedName name="CRA4ValidéUE">'Système outil'!$O$29:$O$30</definedName>
    <definedName name="CRA5ValidéUE">'Système outil'!$P$29:$P$30</definedName>
    <definedName name="CRFValidéUE">'Système outil'!$Q$29:$Q$30</definedName>
    <definedName name="DivisionTech">'Système outil'!$C$3:$C$20</definedName>
    <definedName name="DT">'Système outil'!$C$3:$C$25</definedName>
    <definedName name="Ficheprojet">'Système outil'!$J$3:$J$5</definedName>
    <definedName name="FIP">'Système outil'!$P$3:$P$7</definedName>
    <definedName name="FPP">'Système outil'!$R$3:$R$6</definedName>
    <definedName name="FSECUE">'Système outil'!$W$3:$W$5</definedName>
    <definedName name="MoAdirecte">'Système outil'!$G$3:$G$5</definedName>
    <definedName name="ModèleConventiondél">'Système outil'!$F$3:$F$7</definedName>
    <definedName name="MWhperGJ" localSheetId="15">'[1]Fuel factors'!$B$4</definedName>
    <definedName name="MWhperGJ" localSheetId="12">'Fuel factors'!$B$4</definedName>
    <definedName name="MWhperGJ" localSheetId="13">'Fuel factors'!$B$4</definedName>
    <definedName name="MWhperGJ" localSheetId="4">'Fuel factors'!$B$4</definedName>
    <definedName name="MWhperGJ" localSheetId="3">'Fuel factors'!$B$4</definedName>
    <definedName name="MWhperGJ" localSheetId="11">'Fuel factors'!$B$4</definedName>
    <definedName name="MWhperGJ" localSheetId="16">'Fuel factors'!$B$4</definedName>
    <definedName name="MWhperGJ">'Fuel factors'!$B$4</definedName>
    <definedName name="Opération">'Système outil'!$E$3:$E$15</definedName>
    <definedName name="PPT">'Système outil'!$L$3:$L$5</definedName>
    <definedName name="Présenceautrecomité">'Système outil'!$O$3:$O$4</definedName>
    <definedName name="PrésenceBoard">'Système outil'!$N$3:$N$4</definedName>
    <definedName name="PrésenceCCR">'Système outil'!$S$3:$S$4</definedName>
    <definedName name="PrésenceCID">'Système outil'!$Q$3:$Q$4</definedName>
    <definedName name="PrésenceTAM">'Système outil'!$M$3:$M$4</definedName>
    <definedName name="QR">'Système outil'!$K$3:$K$5</definedName>
    <definedName name="RelectureDAT">'Système outil'!$R$29:$R$30</definedName>
    <definedName name="Résolution">'Système outil'!$T$3:$T$5</definedName>
    <definedName name="ROMAppuiGFD" localSheetId="15">#REF!</definedName>
    <definedName name="ROMAppuiGFD" localSheetId="17">#REF!</definedName>
    <definedName name="ROMAppuiGFD">#REF!</definedName>
    <definedName name="ROMRapportreçu" localSheetId="15">#REF!</definedName>
    <definedName name="ROMRapportreçu" localSheetId="17">#REF!</definedName>
    <definedName name="ROMRapportreçu">#REF!</definedName>
    <definedName name="ROMRapportrevu" localSheetId="15">#REF!</definedName>
    <definedName name="ROMRapportrevu" localSheetId="17">#REF!</definedName>
    <definedName name="ROMRapportrevu">#REF!</definedName>
    <definedName name="ROMStatut" localSheetId="15">#REF!</definedName>
    <definedName name="ROMStatut" localSheetId="17">#REF!</definedName>
    <definedName name="ROMStatut">#REF!</definedName>
    <definedName name="Statut">'Système outil'!$A$3:$A$4</definedName>
    <definedName name="Statutconcours">'Système outil'!$A$3:$A$14</definedName>
    <definedName name="TOEperGJ" localSheetId="15">'[1]Fuel factors'!$B$3</definedName>
    <definedName name="TOEperGJ" localSheetId="12">'Fuel factors'!$B$3</definedName>
    <definedName name="TOEperGJ" localSheetId="13">'Fuel factors'!$B$3</definedName>
    <definedName name="TOEperGJ" localSheetId="4">'Fuel factors'!$B$3</definedName>
    <definedName name="TOEperGJ" localSheetId="3">'Fuel factors'!$B$3</definedName>
    <definedName name="TOEperGJ" localSheetId="11">'Fuel factors'!$B$3</definedName>
    <definedName name="TOEperGJ" localSheetId="16">'Fuel factors'!$B$3</definedName>
    <definedName name="TOEperGJ">'Fuel factors'!$B$3</definedName>
    <definedName name="TOEperMWh" localSheetId="15">'[1]Fuel factors'!$B$2</definedName>
    <definedName name="TOEperMWh" localSheetId="12">'Fuel factors'!$B$2</definedName>
    <definedName name="TOEperMWh" localSheetId="13">'Fuel factors'!$B$2</definedName>
    <definedName name="TOEperMWh" localSheetId="4">'Fuel factors'!$B$2</definedName>
    <definedName name="TOEperMWh" localSheetId="3">'Fuel factors'!$B$2</definedName>
    <definedName name="TOEperMWh" localSheetId="11">'Fuel factors'!$B$2</definedName>
    <definedName name="TOEperMWh" localSheetId="16">'Fuel factors'!$B$2</definedName>
    <definedName name="TOEperMWh">'Fuel factors'!$B$2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uri="GoogleSheetsCustomDataVersion1">
      <go:sheetsCustomData xmlns:go="http://customooxmlschemas.google.com/" r:id="rId38" roundtripDataSignature="AMtx7mgPqT3WcBkMLeHqdAmIy9UAi+SW9w=="/>
    </ext>
  </extLst>
</workbook>
</file>

<file path=xl/calcChain.xml><?xml version="1.0" encoding="utf-8"?>
<calcChain xmlns="http://schemas.openxmlformats.org/spreadsheetml/2006/main">
  <c r="D2" i="10" l="1"/>
  <c r="D65" i="10"/>
  <c r="D64" i="10"/>
  <c r="D63" i="10"/>
  <c r="E46" i="10"/>
  <c r="AB44" i="10"/>
  <c r="AA44" i="10"/>
  <c r="Z44" i="10"/>
  <c r="Y44" i="10"/>
  <c r="X44" i="10"/>
  <c r="W44" i="10"/>
  <c r="V44" i="10"/>
  <c r="U44" i="10"/>
  <c r="T44" i="10"/>
  <c r="S44" i="10"/>
  <c r="R44" i="10"/>
  <c r="Q44" i="10"/>
  <c r="P44" i="10"/>
  <c r="O44" i="10"/>
  <c r="N44" i="10"/>
  <c r="M44" i="10"/>
  <c r="L44" i="10"/>
  <c r="K44" i="10"/>
  <c r="J44" i="10"/>
  <c r="I44" i="10"/>
  <c r="H44" i="10"/>
  <c r="G44" i="10"/>
  <c r="C11" i="2"/>
  <c r="C2" i="10" l="1"/>
  <c r="I33" i="33" l="1"/>
  <c r="I32" i="33"/>
  <c r="I31" i="33"/>
  <c r="I30" i="33"/>
  <c r="I29" i="33"/>
  <c r="I28" i="33"/>
  <c r="I27" i="33"/>
  <c r="I26" i="33"/>
  <c r="I25" i="33"/>
  <c r="I24" i="33"/>
  <c r="I23" i="33"/>
  <c r="I22" i="33"/>
  <c r="K79" i="8" l="1"/>
  <c r="K78" i="8"/>
  <c r="K77" i="8"/>
  <c r="K76" i="8"/>
  <c r="K75" i="8"/>
  <c r="K74" i="8"/>
  <c r="K73" i="8"/>
  <c r="D27" i="45"/>
  <c r="E109" i="10" l="1"/>
  <c r="D25" i="10"/>
  <c r="D109" i="10" s="1"/>
  <c r="C25" i="10"/>
  <c r="D13" i="45"/>
  <c r="G24" i="33"/>
  <c r="H6" i="33"/>
  <c r="H7" i="33" l="1"/>
  <c r="G7" i="33"/>
  <c r="F7" i="33"/>
  <c r="E7" i="33"/>
  <c r="D7" i="33"/>
  <c r="C7" i="33"/>
  <c r="B7" i="33"/>
  <c r="I7" i="33" s="1"/>
  <c r="A12" i="45"/>
  <c r="D60" i="45"/>
  <c r="D59" i="45" s="1"/>
  <c r="D40" i="45"/>
  <c r="D39" i="45"/>
  <c r="D23" i="45"/>
  <c r="D22" i="45"/>
  <c r="D20" i="45"/>
  <c r="D19" i="45"/>
  <c r="D15" i="45"/>
  <c r="D14" i="45"/>
  <c r="J14" i="31"/>
  <c r="A65" i="31"/>
  <c r="B52" i="31"/>
  <c r="AD7" i="33" l="1"/>
  <c r="AT7" i="33"/>
  <c r="AE7" i="33"/>
  <c r="C24" i="33" s="1"/>
  <c r="J7" i="33"/>
  <c r="AV7" i="33"/>
  <c r="AF7" i="33"/>
  <c r="D24" i="33" s="1"/>
  <c r="K7" i="33"/>
  <c r="AZ7" i="33"/>
  <c r="O7" i="33"/>
  <c r="AJ7" i="33"/>
  <c r="H24" i="33" s="1"/>
  <c r="AW7" i="33"/>
  <c r="L7" i="33"/>
  <c r="AG7" i="33"/>
  <c r="E24" i="33" s="1"/>
  <c r="AX7" i="33"/>
  <c r="M7" i="33"/>
  <c r="AH7" i="33"/>
  <c r="F24" i="33" s="1"/>
  <c r="I28" i="31"/>
  <c r="K69" i="8"/>
  <c r="K68" i="8"/>
  <c r="K66" i="7"/>
  <c r="K10" i="7" s="1"/>
  <c r="K65" i="7"/>
  <c r="K64" i="7"/>
  <c r="K46" i="8"/>
  <c r="K45" i="8"/>
  <c r="K36" i="8"/>
  <c r="K35" i="8"/>
  <c r="K55" i="8" s="1"/>
  <c r="K23" i="8"/>
  <c r="K22" i="8"/>
  <c r="K21" i="8"/>
  <c r="K20" i="8"/>
  <c r="K19" i="8"/>
  <c r="K18" i="8"/>
  <c r="K17" i="8"/>
  <c r="K10" i="8"/>
  <c r="K9" i="8"/>
  <c r="K8" i="8"/>
  <c r="K7" i="8"/>
  <c r="K6" i="8"/>
  <c r="K5" i="8"/>
  <c r="K4" i="8"/>
  <c r="K33" i="3"/>
  <c r="K32" i="3"/>
  <c r="K21" i="3"/>
  <c r="K20" i="3"/>
  <c r="K19" i="3"/>
  <c r="K18" i="3"/>
  <c r="K17" i="3"/>
  <c r="K16" i="3"/>
  <c r="K15" i="3"/>
  <c r="B112" i="45"/>
  <c r="B110" i="45"/>
  <c r="B109" i="45"/>
  <c r="D47" i="45"/>
  <c r="D43" i="45"/>
  <c r="D42" i="45"/>
  <c r="D25" i="45"/>
  <c r="D29" i="45" s="1"/>
  <c r="B104" i="45"/>
  <c r="C98" i="45"/>
  <c r="C97" i="45"/>
  <c r="C96" i="45"/>
  <c r="C95" i="45"/>
  <c r="C90" i="45"/>
  <c r="C89" i="45"/>
  <c r="C88" i="45"/>
  <c r="C87" i="45"/>
  <c r="C82" i="45"/>
  <c r="C81" i="45"/>
  <c r="C80" i="45"/>
  <c r="C79" i="45"/>
  <c r="C74" i="45"/>
  <c r="C73" i="45"/>
  <c r="C72" i="45"/>
  <c r="C71" i="45"/>
  <c r="A66" i="45"/>
  <c r="A70" i="45" s="1"/>
  <c r="A65" i="45"/>
  <c r="A69" i="45" s="1"/>
  <c r="A63" i="45"/>
  <c r="A62" i="45"/>
  <c r="C54" i="45"/>
  <c r="C53" i="45"/>
  <c r="C52" i="45"/>
  <c r="C51" i="45"/>
  <c r="A46" i="45"/>
  <c r="A50" i="45" s="1"/>
  <c r="A52" i="45" s="1"/>
  <c r="A43" i="45"/>
  <c r="A42" i="45"/>
  <c r="A45" i="45" s="1"/>
  <c r="A49" i="45" s="1"/>
  <c r="A51" i="45" s="1"/>
  <c r="A25" i="45"/>
  <c r="A31" i="45" s="1"/>
  <c r="A23" i="45"/>
  <c r="A26" i="45" s="1"/>
  <c r="A22" i="45"/>
  <c r="K27" i="6"/>
  <c r="K26" i="6"/>
  <c r="K25" i="6"/>
  <c r="K24" i="6"/>
  <c r="K23" i="6"/>
  <c r="K22" i="6"/>
  <c r="K21" i="6"/>
  <c r="L2" i="7"/>
  <c r="K2" i="7"/>
  <c r="J2" i="7"/>
  <c r="I2" i="7"/>
  <c r="H2" i="7"/>
  <c r="G2" i="7"/>
  <c r="F2" i="7"/>
  <c r="E2" i="7"/>
  <c r="D2" i="7"/>
  <c r="C2" i="7"/>
  <c r="AK7" i="33" l="1"/>
  <c r="N24" i="33"/>
  <c r="B24" i="33"/>
  <c r="L24" i="33" s="1"/>
  <c r="K24" i="33"/>
  <c r="Q24" i="33" s="1"/>
  <c r="K56" i="8"/>
  <c r="K88" i="8"/>
  <c r="K63" i="7"/>
  <c r="K89" i="8"/>
  <c r="BA7" i="33"/>
  <c r="K31" i="7"/>
  <c r="K32" i="7"/>
  <c r="K9" i="7"/>
  <c r="B116" i="45"/>
  <c r="B124" i="45" s="1"/>
  <c r="D62" i="45"/>
  <c r="D65" i="45" s="1"/>
  <c r="D69" i="45" s="1"/>
  <c r="D71" i="45" s="1"/>
  <c r="D45" i="45"/>
  <c r="D49" i="45" s="1"/>
  <c r="D51" i="45" s="1"/>
  <c r="D63" i="45"/>
  <c r="D66" i="45" s="1"/>
  <c r="D70" i="45" s="1"/>
  <c r="D72" i="45" s="1"/>
  <c r="D46" i="45"/>
  <c r="D50" i="45" s="1"/>
  <c r="D52" i="45" s="1"/>
  <c r="B115" i="45"/>
  <c r="B123" i="45" s="1"/>
  <c r="D26" i="45"/>
  <c r="D30" i="45" s="1"/>
  <c r="B113" i="45"/>
  <c r="D31" i="45"/>
  <c r="D53" i="45"/>
  <c r="D67" i="45"/>
  <c r="D73" i="45" s="1"/>
  <c r="A32" i="45"/>
  <c r="A30" i="45"/>
  <c r="A29" i="45"/>
  <c r="D33" i="45"/>
  <c r="B106" i="45"/>
  <c r="B120" i="45" s="1"/>
  <c r="B107" i="45"/>
  <c r="B121" i="45" s="1"/>
  <c r="O24" i="33" l="1"/>
  <c r="T24" i="33" s="1"/>
  <c r="S24" i="33"/>
  <c r="M24" i="33"/>
  <c r="R24" i="33"/>
  <c r="D78" i="45"/>
  <c r="D80" i="45" s="1"/>
  <c r="D32" i="45"/>
  <c r="D34" i="45" s="1"/>
  <c r="B128" i="45"/>
  <c r="D77" i="45"/>
  <c r="D79" i="45" s="1"/>
  <c r="D82" i="45" s="1"/>
  <c r="B7" i="45" s="1"/>
  <c r="D54" i="45"/>
  <c r="B129" i="45"/>
  <c r="D74" i="45"/>
  <c r="B6" i="45" s="1"/>
  <c r="G25" i="10" s="1"/>
  <c r="D85" i="45"/>
  <c r="D93" i="45" s="1"/>
  <c r="D95" i="45" s="1"/>
  <c r="D89" i="45"/>
  <c r="D81" i="45"/>
  <c r="D86" i="45"/>
  <c r="P24" i="33" l="1"/>
  <c r="B4" i="45"/>
  <c r="E25" i="10"/>
  <c r="B5" i="45"/>
  <c r="F25" i="10"/>
  <c r="D87" i="45"/>
  <c r="D97" i="45"/>
  <c r="D94" i="45"/>
  <c r="D96" i="45" s="1"/>
  <c r="D88" i="45"/>
  <c r="D98" i="45" l="1"/>
  <c r="D90" i="45"/>
  <c r="B8" i="45" s="1"/>
  <c r="B9" i="45"/>
  <c r="H25" i="10" s="1"/>
  <c r="I25" i="10" s="1"/>
  <c r="D100" i="45"/>
  <c r="B17" i="8" l="1"/>
  <c r="B4" i="8"/>
  <c r="B30" i="10" l="1"/>
  <c r="B26" i="3" l="1"/>
  <c r="C26" i="3"/>
  <c r="D26" i="3"/>
  <c r="E26" i="3"/>
  <c r="F26" i="3"/>
  <c r="G26" i="3"/>
  <c r="H26" i="3"/>
  <c r="I26" i="3"/>
  <c r="J26" i="3"/>
  <c r="L26" i="3"/>
  <c r="B27" i="3"/>
  <c r="C27" i="3"/>
  <c r="D27" i="3"/>
  <c r="E27" i="3"/>
  <c r="F27" i="3"/>
  <c r="G27" i="3"/>
  <c r="H27" i="3"/>
  <c r="I27" i="3"/>
  <c r="J27" i="3"/>
  <c r="L27" i="3"/>
  <c r="B28" i="3"/>
  <c r="C28" i="3"/>
  <c r="D28" i="3"/>
  <c r="E28" i="3"/>
  <c r="F28" i="3"/>
  <c r="G28" i="3"/>
  <c r="H28" i="3"/>
  <c r="I28" i="3"/>
  <c r="J28" i="3"/>
  <c r="L28" i="3"/>
  <c r="B29" i="3"/>
  <c r="C29" i="3"/>
  <c r="D29" i="3"/>
  <c r="E29" i="3"/>
  <c r="F29" i="3"/>
  <c r="G29" i="3"/>
  <c r="H29" i="3"/>
  <c r="I29" i="3"/>
  <c r="J29" i="3"/>
  <c r="L29" i="3"/>
  <c r="B30" i="3"/>
  <c r="C30" i="3"/>
  <c r="D30" i="3"/>
  <c r="E30" i="3"/>
  <c r="F30" i="3"/>
  <c r="G30" i="3"/>
  <c r="H30" i="3"/>
  <c r="I30" i="3"/>
  <c r="J30" i="3"/>
  <c r="L30" i="3"/>
  <c r="B31" i="3"/>
  <c r="C31" i="3"/>
  <c r="D31" i="3"/>
  <c r="E31" i="3"/>
  <c r="F31" i="3"/>
  <c r="G31" i="3"/>
  <c r="H31" i="3"/>
  <c r="I31" i="3"/>
  <c r="J31" i="3"/>
  <c r="L31" i="3"/>
  <c r="C25" i="3"/>
  <c r="D25" i="3"/>
  <c r="E25" i="3"/>
  <c r="F25" i="3"/>
  <c r="G25" i="3"/>
  <c r="H25" i="3"/>
  <c r="I25" i="3"/>
  <c r="J25" i="3"/>
  <c r="L25" i="3"/>
  <c r="B25" i="3"/>
  <c r="G10" i="8" l="1"/>
  <c r="G23" i="8"/>
  <c r="F10" i="8"/>
  <c r="F23" i="8"/>
  <c r="H9" i="8"/>
  <c r="H22" i="8"/>
  <c r="J8" i="8"/>
  <c r="J21" i="8"/>
  <c r="B21" i="8"/>
  <c r="B8" i="8"/>
  <c r="D20" i="8"/>
  <c r="D7" i="8"/>
  <c r="F19" i="8"/>
  <c r="F6" i="8"/>
  <c r="H18" i="8"/>
  <c r="H5" i="8"/>
  <c r="C21" i="8"/>
  <c r="C8" i="8"/>
  <c r="E4" i="8"/>
  <c r="E17" i="8"/>
  <c r="E10" i="8"/>
  <c r="E23" i="8"/>
  <c r="E19" i="8"/>
  <c r="E6" i="8"/>
  <c r="C4" i="8"/>
  <c r="C17" i="8"/>
  <c r="F9" i="8"/>
  <c r="F22" i="8"/>
  <c r="B7" i="8"/>
  <c r="B20" i="8"/>
  <c r="F18" i="8"/>
  <c r="F5" i="8"/>
  <c r="L10" i="8"/>
  <c r="L23" i="8"/>
  <c r="C10" i="8"/>
  <c r="C23" i="8"/>
  <c r="E9" i="8"/>
  <c r="E22" i="8"/>
  <c r="G8" i="8"/>
  <c r="G21" i="8"/>
  <c r="I7" i="8"/>
  <c r="I20" i="8"/>
  <c r="L6" i="8"/>
  <c r="L19" i="8"/>
  <c r="C6" i="8"/>
  <c r="C19" i="8"/>
  <c r="E18" i="8"/>
  <c r="E5" i="8"/>
  <c r="L21" i="8"/>
  <c r="L8" i="8"/>
  <c r="G19" i="8"/>
  <c r="G6" i="8"/>
  <c r="D4" i="8"/>
  <c r="D17" i="8"/>
  <c r="I8" i="8"/>
  <c r="I21" i="8"/>
  <c r="G18" i="8"/>
  <c r="G5" i="8"/>
  <c r="J7" i="8"/>
  <c r="J20" i="8"/>
  <c r="D19" i="8"/>
  <c r="D6" i="8"/>
  <c r="J4" i="8"/>
  <c r="J17" i="8"/>
  <c r="I17" i="8"/>
  <c r="I4" i="8"/>
  <c r="J23" i="8"/>
  <c r="J10" i="8"/>
  <c r="B10" i="8"/>
  <c r="B23" i="8"/>
  <c r="D22" i="8"/>
  <c r="D9" i="8"/>
  <c r="F8" i="8"/>
  <c r="F21" i="8"/>
  <c r="H7" i="8"/>
  <c r="H20" i="8"/>
  <c r="J19" i="8"/>
  <c r="J6" i="8"/>
  <c r="B6" i="8"/>
  <c r="B19" i="8"/>
  <c r="D5" i="8"/>
  <c r="D18" i="8"/>
  <c r="I22" i="8"/>
  <c r="I9" i="8"/>
  <c r="I18" i="8"/>
  <c r="I5" i="8"/>
  <c r="L7" i="8"/>
  <c r="L20" i="8"/>
  <c r="L17" i="8"/>
  <c r="L4" i="8"/>
  <c r="H8" i="8"/>
  <c r="H21" i="8"/>
  <c r="H17" i="8"/>
  <c r="H4" i="8"/>
  <c r="I23" i="8"/>
  <c r="I10" i="8"/>
  <c r="L22" i="8"/>
  <c r="L9" i="8"/>
  <c r="C22" i="8"/>
  <c r="C9" i="8"/>
  <c r="E21" i="8"/>
  <c r="E8" i="8"/>
  <c r="G20" i="8"/>
  <c r="G7" i="8"/>
  <c r="I6" i="8"/>
  <c r="I19" i="8"/>
  <c r="L5" i="8"/>
  <c r="L18" i="8"/>
  <c r="C5" i="8"/>
  <c r="C18" i="8"/>
  <c r="F17" i="8"/>
  <c r="F4" i="8"/>
  <c r="E20" i="8"/>
  <c r="E7" i="8"/>
  <c r="G9" i="8"/>
  <c r="G22" i="8"/>
  <c r="C7" i="8"/>
  <c r="C20" i="8"/>
  <c r="G17" i="8"/>
  <c r="G4" i="8"/>
  <c r="H10" i="8"/>
  <c r="H23" i="8"/>
  <c r="J22" i="8"/>
  <c r="J9" i="8"/>
  <c r="B22" i="8"/>
  <c r="B9" i="8"/>
  <c r="D21" i="8"/>
  <c r="D8" i="8"/>
  <c r="F20" i="8"/>
  <c r="F7" i="8"/>
  <c r="H19" i="8"/>
  <c r="H6" i="8"/>
  <c r="J5" i="8"/>
  <c r="J18" i="8"/>
  <c r="B18" i="8"/>
  <c r="B5" i="8"/>
  <c r="D10" i="8"/>
  <c r="D23" i="8"/>
  <c r="B115" i="38" l="1"/>
  <c r="B109" i="38"/>
  <c r="B106" i="38"/>
  <c r="B116" i="38"/>
  <c r="B113" i="38"/>
  <c r="B112" i="38"/>
  <c r="B110" i="38"/>
  <c r="B107" i="38"/>
  <c r="B104" i="38"/>
  <c r="B113" i="26"/>
  <c r="B112" i="26"/>
  <c r="B110" i="26"/>
  <c r="B109" i="26"/>
  <c r="B107" i="26"/>
  <c r="B106" i="26"/>
  <c r="B116" i="26"/>
  <c r="B115" i="26"/>
  <c r="B104" i="26"/>
  <c r="B116" i="43"/>
  <c r="B115" i="43"/>
  <c r="B113" i="43"/>
  <c r="B112" i="43"/>
  <c r="B110" i="43"/>
  <c r="B109" i="43"/>
  <c r="B107" i="43"/>
  <c r="B106" i="43"/>
  <c r="B104" i="43"/>
  <c r="B116" i="42"/>
  <c r="B113" i="42"/>
  <c r="B112" i="42"/>
  <c r="B110" i="42"/>
  <c r="B109" i="42"/>
  <c r="B115" i="42" s="1"/>
  <c r="B107" i="42"/>
  <c r="B106" i="42"/>
  <c r="B104" i="42"/>
  <c r="B116" i="41"/>
  <c r="B115" i="41"/>
  <c r="B113" i="41"/>
  <c r="B112" i="41"/>
  <c r="B110" i="41"/>
  <c r="B109" i="41"/>
  <c r="B107" i="41"/>
  <c r="B106" i="41"/>
  <c r="B104" i="41"/>
  <c r="B116" i="39"/>
  <c r="B115" i="39"/>
  <c r="B113" i="39"/>
  <c r="B112" i="39"/>
  <c r="B110" i="39"/>
  <c r="B109" i="39"/>
  <c r="B107" i="39"/>
  <c r="B106" i="39"/>
  <c r="B104" i="39"/>
  <c r="B106" i="21"/>
  <c r="B116" i="21"/>
  <c r="B115" i="21"/>
  <c r="B113" i="21"/>
  <c r="B112" i="21"/>
  <c r="B110" i="21"/>
  <c r="B109" i="21"/>
  <c r="B107" i="21"/>
  <c r="B104" i="21"/>
  <c r="B112" i="20"/>
  <c r="B109" i="20"/>
  <c r="B106" i="20"/>
  <c r="B116" i="20"/>
  <c r="B113" i="20"/>
  <c r="B110" i="20"/>
  <c r="B115" i="20"/>
  <c r="B107" i="20"/>
  <c r="B104" i="20"/>
  <c r="B112" i="19"/>
  <c r="B109" i="19"/>
  <c r="B106" i="19"/>
  <c r="B116" i="19"/>
  <c r="B115" i="19"/>
  <c r="B113" i="19"/>
  <c r="B110" i="19"/>
  <c r="B107" i="19"/>
  <c r="B104" i="19"/>
  <c r="B115" i="44"/>
  <c r="B112" i="44"/>
  <c r="B109" i="44"/>
  <c r="B106" i="44"/>
  <c r="B116" i="44"/>
  <c r="B113" i="44"/>
  <c r="B110" i="44"/>
  <c r="B107" i="44"/>
  <c r="B104" i="44"/>
  <c r="B116" i="16"/>
  <c r="B115" i="16"/>
  <c r="B112" i="16"/>
  <c r="B109" i="16"/>
  <c r="B106" i="16"/>
  <c r="B113" i="16"/>
  <c r="B110" i="16"/>
  <c r="B107" i="16"/>
  <c r="B104" i="16"/>
  <c r="B116" i="36"/>
  <c r="B115" i="36"/>
  <c r="B113" i="36"/>
  <c r="B112" i="36"/>
  <c r="B110" i="36"/>
  <c r="B109" i="36"/>
  <c r="B107" i="36"/>
  <c r="B106" i="36"/>
  <c r="B104" i="36"/>
  <c r="B117" i="35"/>
  <c r="B116" i="35"/>
  <c r="B114" i="35"/>
  <c r="B113" i="35"/>
  <c r="B110" i="35"/>
  <c r="B108" i="35"/>
  <c r="B107" i="35"/>
  <c r="B111" i="35"/>
  <c r="B105" i="35"/>
  <c r="B113" i="12"/>
  <c r="B110" i="12"/>
  <c r="B116" i="12" s="1"/>
  <c r="B104" i="12"/>
  <c r="B107" i="12"/>
  <c r="AU16" i="33"/>
  <c r="AY16" i="33"/>
  <c r="E32" i="3" l="1"/>
  <c r="D41" i="3" l="1"/>
  <c r="D13" i="43" l="1"/>
  <c r="D13" i="42"/>
  <c r="D13" i="41"/>
  <c r="D13" i="35"/>
  <c r="D13" i="38"/>
  <c r="B51" i="31"/>
  <c r="B53" i="31"/>
  <c r="B54" i="31"/>
  <c r="B55" i="31"/>
  <c r="B56" i="31"/>
  <c r="B57" i="31"/>
  <c r="B58" i="31"/>
  <c r="B59" i="31"/>
  <c r="N3" i="32" l="1"/>
  <c r="A64" i="31"/>
  <c r="A66" i="31"/>
  <c r="A67" i="31"/>
  <c r="A68" i="31"/>
  <c r="A69" i="31"/>
  <c r="A70" i="31"/>
  <c r="A71" i="31"/>
  <c r="A72" i="31"/>
  <c r="A73" i="31"/>
  <c r="A63" i="31"/>
  <c r="E1" i="33"/>
  <c r="C32" i="3"/>
  <c r="D32" i="3"/>
  <c r="F32" i="3"/>
  <c r="I32" i="3"/>
  <c r="J32" i="3"/>
  <c r="L32" i="3"/>
  <c r="D105" i="7"/>
  <c r="D102" i="7"/>
  <c r="D99" i="7"/>
  <c r="D26" i="5"/>
  <c r="D66" i="5"/>
  <c r="D14" i="44"/>
  <c r="C98" i="43"/>
  <c r="C97" i="43"/>
  <c r="C96" i="43"/>
  <c r="C95" i="43"/>
  <c r="C90" i="43"/>
  <c r="C89" i="43"/>
  <c r="C88" i="43"/>
  <c r="C87" i="43"/>
  <c r="C82" i="43"/>
  <c r="C81" i="43"/>
  <c r="C80" i="43"/>
  <c r="C79" i="43"/>
  <c r="C74" i="43"/>
  <c r="C73" i="43"/>
  <c r="C72" i="43"/>
  <c r="C71" i="43"/>
  <c r="C54" i="43"/>
  <c r="C53" i="43"/>
  <c r="C52" i="43"/>
  <c r="C51" i="43"/>
  <c r="C98" i="42"/>
  <c r="C97" i="42"/>
  <c r="C96" i="42"/>
  <c r="C95" i="42"/>
  <c r="C90" i="42"/>
  <c r="C89" i="42"/>
  <c r="C88" i="42"/>
  <c r="C87" i="42"/>
  <c r="C82" i="42"/>
  <c r="C81" i="42"/>
  <c r="C80" i="42"/>
  <c r="C79" i="42"/>
  <c r="C74" i="42"/>
  <c r="C73" i="42"/>
  <c r="C72" i="42"/>
  <c r="C71" i="42"/>
  <c r="C54" i="42"/>
  <c r="C53" i="42"/>
  <c r="C52" i="42"/>
  <c r="C51" i="42"/>
  <c r="C98" i="41"/>
  <c r="C97" i="41"/>
  <c r="C96" i="41"/>
  <c r="C95" i="41"/>
  <c r="C90" i="41"/>
  <c r="C89" i="41"/>
  <c r="C88" i="41"/>
  <c r="C87" i="41"/>
  <c r="C82" i="41"/>
  <c r="C81" i="41"/>
  <c r="C80" i="41"/>
  <c r="C79" i="41"/>
  <c r="C74" i="41"/>
  <c r="C73" i="41"/>
  <c r="C72" i="41"/>
  <c r="C71" i="41"/>
  <c r="C54" i="41"/>
  <c r="C53" i="41"/>
  <c r="C52" i="41"/>
  <c r="C51" i="41"/>
  <c r="C98" i="39"/>
  <c r="C97" i="39"/>
  <c r="C96" i="39"/>
  <c r="C95" i="39"/>
  <c r="C90" i="39"/>
  <c r="C89" i="39"/>
  <c r="C88" i="39"/>
  <c r="C87" i="39"/>
  <c r="C82" i="39"/>
  <c r="C81" i="39"/>
  <c r="C80" i="39"/>
  <c r="C79" i="39"/>
  <c r="C74" i="39"/>
  <c r="C73" i="39"/>
  <c r="C72" i="39"/>
  <c r="C71" i="39"/>
  <c r="C54" i="39"/>
  <c r="C53" i="39"/>
  <c r="C52" i="39"/>
  <c r="C51" i="39"/>
  <c r="C98" i="38"/>
  <c r="C97" i="38"/>
  <c r="C96" i="38"/>
  <c r="C95" i="38"/>
  <c r="C90" i="38"/>
  <c r="C89" i="38"/>
  <c r="C88" i="38"/>
  <c r="C87" i="38"/>
  <c r="C82" i="38"/>
  <c r="C81" i="38"/>
  <c r="C80" i="38"/>
  <c r="C79" i="38"/>
  <c r="C74" i="38"/>
  <c r="C73" i="38"/>
  <c r="C72" i="38"/>
  <c r="C71" i="38"/>
  <c r="C54" i="38"/>
  <c r="C53" i="38"/>
  <c r="C52" i="38"/>
  <c r="C51" i="38"/>
  <c r="C98" i="26"/>
  <c r="C97" i="26"/>
  <c r="C96" i="26"/>
  <c r="C95" i="26"/>
  <c r="C90" i="26"/>
  <c r="C89" i="26"/>
  <c r="C88" i="26"/>
  <c r="C87" i="26"/>
  <c r="C82" i="26"/>
  <c r="C81" i="26"/>
  <c r="C80" i="26"/>
  <c r="C79" i="26"/>
  <c r="C74" i="26"/>
  <c r="C73" i="26"/>
  <c r="C72" i="26"/>
  <c r="C71" i="26"/>
  <c r="C54" i="26"/>
  <c r="C53" i="26"/>
  <c r="C52" i="26"/>
  <c r="C51" i="26"/>
  <c r="C98" i="21"/>
  <c r="C97" i="21"/>
  <c r="C96" i="21"/>
  <c r="C95" i="21"/>
  <c r="C90" i="21"/>
  <c r="C89" i="21"/>
  <c r="C88" i="21"/>
  <c r="C87" i="21"/>
  <c r="C82" i="21"/>
  <c r="C81" i="21"/>
  <c r="C80" i="21"/>
  <c r="C79" i="21"/>
  <c r="C74" i="21"/>
  <c r="C73" i="21"/>
  <c r="C72" i="21"/>
  <c r="C71" i="21"/>
  <c r="C54" i="21"/>
  <c r="C53" i="21"/>
  <c r="C52" i="21"/>
  <c r="C51" i="21"/>
  <c r="D59" i="44"/>
  <c r="D39" i="44"/>
  <c r="D19" i="44"/>
  <c r="D65" i="5" s="1"/>
  <c r="C98" i="12"/>
  <c r="C97" i="12"/>
  <c r="C96" i="12"/>
  <c r="C95" i="12"/>
  <c r="C94" i="12"/>
  <c r="C90" i="12"/>
  <c r="C89" i="12"/>
  <c r="C88" i="12"/>
  <c r="C87" i="12"/>
  <c r="C86" i="12"/>
  <c r="C82" i="12"/>
  <c r="C81" i="12"/>
  <c r="C80" i="12"/>
  <c r="C79" i="12"/>
  <c r="C74" i="12"/>
  <c r="C73" i="12"/>
  <c r="C72" i="12"/>
  <c r="C71" i="12"/>
  <c r="C54" i="12"/>
  <c r="C53" i="12"/>
  <c r="C52" i="12"/>
  <c r="C51" i="12"/>
  <c r="C98" i="20"/>
  <c r="C97" i="20"/>
  <c r="C96" i="20"/>
  <c r="C95" i="20"/>
  <c r="C90" i="20"/>
  <c r="C89" i="20"/>
  <c r="C88" i="20"/>
  <c r="C87" i="20"/>
  <c r="C82" i="20"/>
  <c r="C81" i="20"/>
  <c r="C80" i="20"/>
  <c r="C79" i="20"/>
  <c r="C74" i="20"/>
  <c r="C73" i="20"/>
  <c r="C72" i="20"/>
  <c r="C71" i="20"/>
  <c r="C54" i="20"/>
  <c r="C53" i="20"/>
  <c r="C52" i="20"/>
  <c r="C51" i="20"/>
  <c r="C98" i="44"/>
  <c r="C97" i="44"/>
  <c r="C96" i="44"/>
  <c r="C95" i="44"/>
  <c r="C94" i="44"/>
  <c r="C90" i="44"/>
  <c r="C89" i="44"/>
  <c r="C88" i="44"/>
  <c r="C87" i="44"/>
  <c r="C86" i="44"/>
  <c r="C82" i="44"/>
  <c r="C81" i="44"/>
  <c r="C80" i="44"/>
  <c r="C79" i="44"/>
  <c r="C74" i="44"/>
  <c r="C73" i="44"/>
  <c r="C72" i="44"/>
  <c r="C71" i="44"/>
  <c r="C54" i="44"/>
  <c r="C53" i="44"/>
  <c r="C52" i="44"/>
  <c r="C51" i="44"/>
  <c r="C98" i="16"/>
  <c r="C97" i="16"/>
  <c r="C96" i="16"/>
  <c r="C95" i="16"/>
  <c r="C94" i="16"/>
  <c r="C90" i="16"/>
  <c r="C89" i="16"/>
  <c r="C88" i="16"/>
  <c r="C87" i="16"/>
  <c r="C86" i="16"/>
  <c r="C82" i="16"/>
  <c r="C81" i="16"/>
  <c r="C80" i="16"/>
  <c r="C79" i="16"/>
  <c r="C74" i="16"/>
  <c r="C73" i="16"/>
  <c r="C72" i="16"/>
  <c r="C71" i="16"/>
  <c r="C54" i="16"/>
  <c r="C53" i="16"/>
  <c r="C52" i="16"/>
  <c r="C51" i="16"/>
  <c r="C98" i="36"/>
  <c r="C97" i="36"/>
  <c r="C96" i="36"/>
  <c r="C95" i="36"/>
  <c r="C94" i="36"/>
  <c r="C90" i="36"/>
  <c r="C89" i="36"/>
  <c r="C88" i="36"/>
  <c r="C87" i="36"/>
  <c r="C86" i="36"/>
  <c r="C82" i="36"/>
  <c r="C81" i="36"/>
  <c r="C80" i="36"/>
  <c r="C79" i="36"/>
  <c r="C74" i="36"/>
  <c r="C73" i="36"/>
  <c r="C72" i="36"/>
  <c r="C71" i="36"/>
  <c r="C54" i="36"/>
  <c r="C53" i="36"/>
  <c r="C52" i="36"/>
  <c r="C51" i="36"/>
  <c r="C98" i="35"/>
  <c r="C97" i="35"/>
  <c r="C96" i="35"/>
  <c r="C95" i="35"/>
  <c r="C94" i="35"/>
  <c r="C90" i="35"/>
  <c r="C89" i="35"/>
  <c r="C88" i="35"/>
  <c r="C87" i="35"/>
  <c r="C86" i="35"/>
  <c r="C82" i="35"/>
  <c r="C81" i="35"/>
  <c r="C80" i="35"/>
  <c r="C79" i="35"/>
  <c r="C74" i="35"/>
  <c r="C73" i="35"/>
  <c r="C72" i="35"/>
  <c r="C71" i="35"/>
  <c r="C54" i="35"/>
  <c r="C53" i="35"/>
  <c r="C52" i="35"/>
  <c r="C51" i="35"/>
  <c r="D22" i="44"/>
  <c r="D25" i="44" s="1"/>
  <c r="D13" i="44"/>
  <c r="A63" i="44"/>
  <c r="A66" i="44" s="1"/>
  <c r="A70" i="44" s="1"/>
  <c r="A62" i="44"/>
  <c r="A65" i="44" s="1"/>
  <c r="A69" i="44" s="1"/>
  <c r="A43" i="44"/>
  <c r="A46" i="44" s="1"/>
  <c r="A42" i="44"/>
  <c r="A45" i="44" s="1"/>
  <c r="D23" i="44"/>
  <c r="D43" i="44" s="1"/>
  <c r="D63" i="44" s="1"/>
  <c r="A23" i="44"/>
  <c r="A26" i="44" s="1"/>
  <c r="A22" i="44"/>
  <c r="A25" i="44" s="1"/>
  <c r="A31" i="44" s="1"/>
  <c r="D15" i="44"/>
  <c r="C98" i="19"/>
  <c r="C97" i="19"/>
  <c r="C96" i="19"/>
  <c r="C95" i="19"/>
  <c r="C90" i="19"/>
  <c r="C89" i="19"/>
  <c r="C88" i="19"/>
  <c r="C87" i="19"/>
  <c r="C82" i="19"/>
  <c r="C81" i="19"/>
  <c r="C79" i="19"/>
  <c r="C80" i="19"/>
  <c r="C74" i="19"/>
  <c r="C73" i="19"/>
  <c r="C72" i="19"/>
  <c r="C71" i="19"/>
  <c r="C54" i="19"/>
  <c r="C53" i="19"/>
  <c r="D16" i="10" l="1"/>
  <c r="B123" i="44"/>
  <c r="B120" i="44"/>
  <c r="B128" i="44" s="1"/>
  <c r="B121" i="44"/>
  <c r="B124" i="44"/>
  <c r="D25" i="5"/>
  <c r="D46" i="44"/>
  <c r="D50" i="44" s="1"/>
  <c r="D52" i="44" s="1"/>
  <c r="D42" i="44"/>
  <c r="D62" i="44" s="1"/>
  <c r="D65" i="44" s="1"/>
  <c r="D69" i="44" s="1"/>
  <c r="D71" i="44" s="1"/>
  <c r="D29" i="44"/>
  <c r="D31" i="44" s="1"/>
  <c r="A49" i="44"/>
  <c r="A71" i="44"/>
  <c r="A51" i="44"/>
  <c r="A52" i="44"/>
  <c r="A50" i="44"/>
  <c r="A72" i="44"/>
  <c r="A30" i="44"/>
  <c r="A32" i="44"/>
  <c r="A29" i="44"/>
  <c r="D26" i="44"/>
  <c r="D30" i="44" s="1"/>
  <c r="D66" i="44"/>
  <c r="D70" i="44" s="1"/>
  <c r="D72" i="44" s="1"/>
  <c r="B129" i="44" l="1"/>
  <c r="E100" i="10" s="1"/>
  <c r="D36" i="8"/>
  <c r="D24" i="5"/>
  <c r="D45" i="44"/>
  <c r="D49" i="44" s="1"/>
  <c r="D51" i="44" s="1"/>
  <c r="D78" i="44"/>
  <c r="D80" i="44" s="1"/>
  <c r="D86" i="44"/>
  <c r="D32" i="44"/>
  <c r="D85" i="44"/>
  <c r="D77" i="44" l="1"/>
  <c r="D79" i="44" s="1"/>
  <c r="D87" i="44"/>
  <c r="D88" i="44"/>
  <c r="D94" i="44"/>
  <c r="D96" i="44" s="1"/>
  <c r="D76" i="10"/>
  <c r="C76" i="10"/>
  <c r="N16" i="33"/>
  <c r="D87" i="10" s="1"/>
  <c r="B88" i="10"/>
  <c r="B87" i="10"/>
  <c r="B86" i="10"/>
  <c r="B85" i="10"/>
  <c r="B84" i="10"/>
  <c r="B83" i="10"/>
  <c r="B82" i="10"/>
  <c r="D39" i="12"/>
  <c r="B109" i="12" s="1"/>
  <c r="B25" i="6"/>
  <c r="D19" i="12"/>
  <c r="B106" i="12" s="1"/>
  <c r="J66" i="7"/>
  <c r="J65" i="7"/>
  <c r="J64" i="7"/>
  <c r="I66" i="7"/>
  <c r="I65" i="7"/>
  <c r="I64" i="7"/>
  <c r="G66" i="7"/>
  <c r="F66" i="7"/>
  <c r="E66" i="7"/>
  <c r="D66" i="7"/>
  <c r="C66" i="7"/>
  <c r="B66" i="7"/>
  <c r="B63" i="7"/>
  <c r="C63" i="7"/>
  <c r="D63" i="7"/>
  <c r="E63" i="7"/>
  <c r="F63" i="7"/>
  <c r="G63" i="7"/>
  <c r="J60" i="7"/>
  <c r="G60" i="7"/>
  <c r="F60" i="7"/>
  <c r="E60" i="7"/>
  <c r="D60" i="7"/>
  <c r="C60" i="7"/>
  <c r="B2" i="7"/>
  <c r="J63" i="7" l="1"/>
  <c r="I63" i="7"/>
  <c r="D93" i="44"/>
  <c r="D95" i="44" s="1"/>
  <c r="D27" i="12"/>
  <c r="J33" i="33" l="1"/>
  <c r="D22" i="43"/>
  <c r="D14" i="43"/>
  <c r="A63" i="43"/>
  <c r="A66" i="43" s="1"/>
  <c r="A70" i="43" s="1"/>
  <c r="A62" i="43"/>
  <c r="A65" i="43" s="1"/>
  <c r="A69" i="43" s="1"/>
  <c r="D59" i="43"/>
  <c r="A43" i="43"/>
  <c r="A46" i="43" s="1"/>
  <c r="A42" i="43"/>
  <c r="A45" i="43" s="1"/>
  <c r="D39" i="43"/>
  <c r="D23" i="43"/>
  <c r="D43" i="43" s="1"/>
  <c r="A23" i="43"/>
  <c r="A26" i="43" s="1"/>
  <c r="D42" i="43"/>
  <c r="D62" i="43" s="1"/>
  <c r="A22" i="43"/>
  <c r="A25" i="43" s="1"/>
  <c r="A31" i="43" s="1"/>
  <c r="D19" i="43"/>
  <c r="D15" i="43"/>
  <c r="D60" i="42"/>
  <c r="D59" i="42" s="1"/>
  <c r="D40" i="42"/>
  <c r="D39" i="42" s="1"/>
  <c r="D22" i="42"/>
  <c r="D42" i="42" s="1"/>
  <c r="D62" i="42" s="1"/>
  <c r="D20" i="42"/>
  <c r="D19" i="42" s="1"/>
  <c r="A63" i="42"/>
  <c r="A66" i="42" s="1"/>
  <c r="A70" i="42" s="1"/>
  <c r="A62" i="42"/>
  <c r="A65" i="42" s="1"/>
  <c r="A69" i="42" s="1"/>
  <c r="A43" i="42"/>
  <c r="A46" i="42" s="1"/>
  <c r="A42" i="42"/>
  <c r="A45" i="42" s="1"/>
  <c r="D23" i="42"/>
  <c r="D43" i="42" s="1"/>
  <c r="D63" i="42" s="1"/>
  <c r="A23" i="42"/>
  <c r="A26" i="42" s="1"/>
  <c r="A32" i="42" s="1"/>
  <c r="A22" i="42"/>
  <c r="A25" i="42" s="1"/>
  <c r="A29" i="42" s="1"/>
  <c r="D15" i="42"/>
  <c r="D22" i="41"/>
  <c r="D42" i="41" s="1"/>
  <c r="D14" i="41"/>
  <c r="A63" i="41"/>
  <c r="A66" i="41" s="1"/>
  <c r="A70" i="41" s="1"/>
  <c r="A62" i="41"/>
  <c r="A65" i="41" s="1"/>
  <c r="A69" i="41" s="1"/>
  <c r="D59" i="41"/>
  <c r="A43" i="41"/>
  <c r="A46" i="41" s="1"/>
  <c r="A72" i="41" s="1"/>
  <c r="A42" i="41"/>
  <c r="A45" i="41" s="1"/>
  <c r="D39" i="41"/>
  <c r="D23" i="41"/>
  <c r="D43" i="41" s="1"/>
  <c r="A23" i="41"/>
  <c r="A26" i="41" s="1"/>
  <c r="A22" i="41"/>
  <c r="A25" i="41" s="1"/>
  <c r="A29" i="41" s="1"/>
  <c r="D19" i="41"/>
  <c r="D15" i="41"/>
  <c r="D60" i="39"/>
  <c r="D59" i="39" s="1"/>
  <c r="D40" i="39"/>
  <c r="D39" i="39" s="1"/>
  <c r="D23" i="39"/>
  <c r="D43" i="39" s="1"/>
  <c r="D63" i="39" s="1"/>
  <c r="D22" i="39"/>
  <c r="D42" i="39" s="1"/>
  <c r="D62" i="39" s="1"/>
  <c r="D20" i="39"/>
  <c r="D19" i="39" s="1"/>
  <c r="H15" i="33"/>
  <c r="AZ15" i="33" s="1"/>
  <c r="G15" i="33"/>
  <c r="F15" i="33"/>
  <c r="AX15" i="33" s="1"/>
  <c r="E15" i="33"/>
  <c r="AW15" i="33" s="1"/>
  <c r="D15" i="33"/>
  <c r="C15" i="33"/>
  <c r="B15" i="33"/>
  <c r="AT15" i="33" s="1"/>
  <c r="H14" i="33"/>
  <c r="G14" i="33"/>
  <c r="F14" i="33"/>
  <c r="AX14" i="33" s="1"/>
  <c r="E14" i="33"/>
  <c r="AW14" i="33" s="1"/>
  <c r="D14" i="33"/>
  <c r="C14" i="33"/>
  <c r="B14" i="33"/>
  <c r="H13" i="33"/>
  <c r="G13" i="33"/>
  <c r="F13" i="33"/>
  <c r="AX13" i="33" s="1"/>
  <c r="E13" i="33"/>
  <c r="AW13" i="33" s="1"/>
  <c r="D13" i="33"/>
  <c r="C13" i="33"/>
  <c r="B13" i="33"/>
  <c r="AT13" i="33" s="1"/>
  <c r="H12" i="33"/>
  <c r="AZ12" i="33" s="1"/>
  <c r="G12" i="33"/>
  <c r="F12" i="33"/>
  <c r="AX12" i="33" s="1"/>
  <c r="E12" i="33"/>
  <c r="AW12" i="33" s="1"/>
  <c r="D12" i="33"/>
  <c r="C12" i="33"/>
  <c r="B12" i="33"/>
  <c r="AT12" i="33" s="1"/>
  <c r="H11" i="33"/>
  <c r="AZ11" i="33" s="1"/>
  <c r="G11" i="33"/>
  <c r="F11" i="33"/>
  <c r="AX11" i="33" s="1"/>
  <c r="E11" i="33"/>
  <c r="AW11" i="33" s="1"/>
  <c r="D11" i="33"/>
  <c r="C11" i="33"/>
  <c r="H10" i="33"/>
  <c r="AZ10" i="33" s="1"/>
  <c r="G10" i="33"/>
  <c r="F10" i="33"/>
  <c r="AX10" i="33" s="1"/>
  <c r="E10" i="33"/>
  <c r="AW10" i="33" s="1"/>
  <c r="D10" i="33"/>
  <c r="C10" i="33"/>
  <c r="B10" i="33"/>
  <c r="H9" i="33"/>
  <c r="AZ9" i="33" s="1"/>
  <c r="G9" i="33"/>
  <c r="F9" i="33"/>
  <c r="AX9" i="33" s="1"/>
  <c r="E9" i="33"/>
  <c r="AW9" i="33" s="1"/>
  <c r="D9" i="33"/>
  <c r="C9" i="33"/>
  <c r="H8" i="33"/>
  <c r="AZ8" i="33" s="1"/>
  <c r="G8" i="33"/>
  <c r="F8" i="33"/>
  <c r="AX8" i="33" s="1"/>
  <c r="E8" i="33"/>
  <c r="AW8" i="33" s="1"/>
  <c r="D8" i="33"/>
  <c r="C8" i="33"/>
  <c r="B8" i="33"/>
  <c r="G6" i="33"/>
  <c r="F6" i="33"/>
  <c r="AX6" i="33" s="1"/>
  <c r="E6" i="33"/>
  <c r="AW6" i="33" s="1"/>
  <c r="D6" i="33"/>
  <c r="C6" i="33"/>
  <c r="B6" i="33"/>
  <c r="I6" i="33" s="1"/>
  <c r="H5" i="33"/>
  <c r="AZ5" i="33" s="1"/>
  <c r="G5" i="33"/>
  <c r="F5" i="33"/>
  <c r="E5" i="33"/>
  <c r="AW5" i="33" s="1"/>
  <c r="D5" i="33"/>
  <c r="C5" i="33"/>
  <c r="B5" i="33"/>
  <c r="B79" i="7"/>
  <c r="A63" i="39"/>
  <c r="A66" i="39" s="1"/>
  <c r="A70" i="39" s="1"/>
  <c r="A62" i="39"/>
  <c r="A65" i="39" s="1"/>
  <c r="A69" i="39" s="1"/>
  <c r="A43" i="39"/>
  <c r="A46" i="39" s="1"/>
  <c r="A72" i="39" s="1"/>
  <c r="A42" i="39"/>
  <c r="A45" i="39" s="1"/>
  <c r="A23" i="39"/>
  <c r="A26" i="39" s="1"/>
  <c r="A32" i="39" s="1"/>
  <c r="A22" i="39"/>
  <c r="A25" i="39" s="1"/>
  <c r="A29" i="39" s="1"/>
  <c r="D15" i="39"/>
  <c r="D13" i="39"/>
  <c r="AT5" i="33" l="1"/>
  <c r="I5" i="33"/>
  <c r="AT6" i="33"/>
  <c r="D21" i="10"/>
  <c r="B120" i="41"/>
  <c r="B121" i="41"/>
  <c r="B123" i="41"/>
  <c r="B124" i="41"/>
  <c r="B124" i="43"/>
  <c r="B121" i="43"/>
  <c r="B129" i="43" s="1"/>
  <c r="B120" i="43"/>
  <c r="B123" i="43"/>
  <c r="AD8" i="33"/>
  <c r="AT8" i="33"/>
  <c r="AT10" i="33"/>
  <c r="AJ13" i="33"/>
  <c r="AZ13" i="33"/>
  <c r="AF9" i="33"/>
  <c r="AV9" i="33"/>
  <c r="AV8" i="33"/>
  <c r="AF8" i="33"/>
  <c r="AW16" i="33"/>
  <c r="AF12" i="33"/>
  <c r="AV12" i="33"/>
  <c r="AD14" i="33"/>
  <c r="AT14" i="33"/>
  <c r="AF10" i="33"/>
  <c r="AV10" i="33"/>
  <c r="AF11" i="33"/>
  <c r="AV11" i="33"/>
  <c r="AH5" i="33"/>
  <c r="AX5" i="33"/>
  <c r="AJ6" i="33"/>
  <c r="AZ6" i="33"/>
  <c r="AV14" i="33"/>
  <c r="AF14" i="33"/>
  <c r="AV13" i="33"/>
  <c r="AF13" i="33"/>
  <c r="AF6" i="33"/>
  <c r="AV6" i="33"/>
  <c r="AV5" i="33"/>
  <c r="AF5" i="33"/>
  <c r="AJ14" i="33"/>
  <c r="AZ14" i="33"/>
  <c r="D23" i="10"/>
  <c r="D16" i="33"/>
  <c r="C16" i="33"/>
  <c r="H16" i="33"/>
  <c r="E16" i="33"/>
  <c r="G16" i="33"/>
  <c r="D45" i="43"/>
  <c r="D65" i="43"/>
  <c r="A50" i="43"/>
  <c r="A72" i="43"/>
  <c r="A52" i="43"/>
  <c r="A32" i="43"/>
  <c r="A30" i="43"/>
  <c r="D63" i="43"/>
  <c r="D66" i="43" s="1"/>
  <c r="D46" i="43"/>
  <c r="A71" i="43"/>
  <c r="A49" i="43"/>
  <c r="A51" i="43"/>
  <c r="A29" i="43"/>
  <c r="D25" i="43"/>
  <c r="D26" i="43"/>
  <c r="D25" i="42"/>
  <c r="D26" i="42"/>
  <c r="D65" i="42"/>
  <c r="D45" i="42"/>
  <c r="A71" i="42"/>
  <c r="A51" i="42"/>
  <c r="A49" i="42"/>
  <c r="A52" i="42"/>
  <c r="A72" i="42"/>
  <c r="A50" i="42"/>
  <c r="D46" i="42"/>
  <c r="A30" i="42"/>
  <c r="D66" i="42"/>
  <c r="A31" i="42"/>
  <c r="A31" i="41"/>
  <c r="A32" i="41"/>
  <c r="A30" i="41"/>
  <c r="D63" i="41"/>
  <c r="D66" i="41" s="1"/>
  <c r="D46" i="41"/>
  <c r="A71" i="41"/>
  <c r="A51" i="41"/>
  <c r="A49" i="41"/>
  <c r="D62" i="41"/>
  <c r="D65" i="41" s="1"/>
  <c r="D45" i="41"/>
  <c r="D25" i="41"/>
  <c r="A52" i="41"/>
  <c r="D26" i="41"/>
  <c r="A50" i="41"/>
  <c r="D25" i="39"/>
  <c r="D26" i="39"/>
  <c r="AD5" i="33"/>
  <c r="D65" i="39"/>
  <c r="A30" i="39"/>
  <c r="D45" i="39"/>
  <c r="D46" i="39"/>
  <c r="D66" i="39"/>
  <c r="A51" i="39"/>
  <c r="A71" i="39"/>
  <c r="A49" i="39"/>
  <c r="A52" i="39"/>
  <c r="A31" i="39"/>
  <c r="A50" i="39"/>
  <c r="D60" i="38"/>
  <c r="D59" i="38" s="1"/>
  <c r="D40" i="38"/>
  <c r="D39" i="38" s="1"/>
  <c r="D23" i="38"/>
  <c r="D43" i="38" s="1"/>
  <c r="D63" i="38" s="1"/>
  <c r="D22" i="38"/>
  <c r="D42" i="38" s="1"/>
  <c r="D62" i="38" s="1"/>
  <c r="D20" i="38"/>
  <c r="D19" i="38" s="1"/>
  <c r="D15" i="38"/>
  <c r="D14" i="38"/>
  <c r="A63" i="38"/>
  <c r="A66" i="38" s="1"/>
  <c r="A70" i="38" s="1"/>
  <c r="A62" i="38"/>
  <c r="A65" i="38" s="1"/>
  <c r="A69" i="38" s="1"/>
  <c r="A43" i="38"/>
  <c r="A46" i="38" s="1"/>
  <c r="A42" i="38"/>
  <c r="A45" i="38" s="1"/>
  <c r="A23" i="38"/>
  <c r="A26" i="38" s="1"/>
  <c r="A30" i="38" s="1"/>
  <c r="A22" i="38"/>
  <c r="A25" i="38" s="1"/>
  <c r="AZ16" i="33" l="1"/>
  <c r="B128" i="43"/>
  <c r="E107" i="10" s="1"/>
  <c r="B129" i="41"/>
  <c r="B128" i="41"/>
  <c r="E105" i="10" s="1"/>
  <c r="D26" i="10"/>
  <c r="B120" i="38"/>
  <c r="B123" i="38"/>
  <c r="B121" i="38"/>
  <c r="B124" i="38"/>
  <c r="N22" i="33"/>
  <c r="D45" i="38"/>
  <c r="D49" i="38" s="1"/>
  <c r="D51" i="38" s="1"/>
  <c r="D26" i="38"/>
  <c r="D30" i="38" s="1"/>
  <c r="D32" i="38" s="1"/>
  <c r="A71" i="38"/>
  <c r="A51" i="38"/>
  <c r="A49" i="38"/>
  <c r="D25" i="38"/>
  <c r="D29" i="38" s="1"/>
  <c r="D31" i="38" s="1"/>
  <c r="D46" i="38"/>
  <c r="D50" i="38" s="1"/>
  <c r="D52" i="38" s="1"/>
  <c r="A29" i="38"/>
  <c r="A31" i="38"/>
  <c r="D65" i="38"/>
  <c r="D69" i="38" s="1"/>
  <c r="D71" i="38" s="1"/>
  <c r="A50" i="38"/>
  <c r="A52" i="38"/>
  <c r="A72" i="38"/>
  <c r="A32" i="38"/>
  <c r="D66" i="38"/>
  <c r="D70" i="38" s="1"/>
  <c r="D72" i="38" s="1"/>
  <c r="B129" i="38" l="1"/>
  <c r="B128" i="38"/>
  <c r="D77" i="38"/>
  <c r="D79" i="38" s="1"/>
  <c r="D78" i="38"/>
  <c r="D80" i="38" s="1"/>
  <c r="D85" i="38"/>
  <c r="D86" i="38"/>
  <c r="E110" i="10" l="1"/>
  <c r="D88" i="38"/>
  <c r="D94" i="38"/>
  <c r="D96" i="38" s="1"/>
  <c r="D93" i="38"/>
  <c r="D95" i="38" s="1"/>
  <c r="D87" i="38"/>
  <c r="D40" i="36" l="1"/>
  <c r="D39" i="36" s="1"/>
  <c r="D60" i="36"/>
  <c r="D59" i="36" s="1"/>
  <c r="D23" i="36"/>
  <c r="D43" i="36" s="1"/>
  <c r="D22" i="36"/>
  <c r="D42" i="36" s="1"/>
  <c r="D62" i="36" s="1"/>
  <c r="D20" i="36"/>
  <c r="D19" i="36"/>
  <c r="D15" i="36"/>
  <c r="D14" i="36"/>
  <c r="D13" i="36"/>
  <c r="A63" i="36"/>
  <c r="A66" i="36" s="1"/>
  <c r="A70" i="36" s="1"/>
  <c r="A62" i="36"/>
  <c r="A65" i="36" s="1"/>
  <c r="A69" i="36" s="1"/>
  <c r="A43" i="36"/>
  <c r="A46" i="36" s="1"/>
  <c r="A42" i="36"/>
  <c r="A45" i="36" s="1"/>
  <c r="A23" i="36"/>
  <c r="A26" i="36" s="1"/>
  <c r="A32" i="36" s="1"/>
  <c r="A22" i="36"/>
  <c r="A25" i="36" s="1"/>
  <c r="A29" i="36" s="1"/>
  <c r="D60" i="35"/>
  <c r="D59" i="35" s="1"/>
  <c r="D40" i="35"/>
  <c r="D39" i="35" s="1"/>
  <c r="D23" i="35"/>
  <c r="D43" i="35" s="1"/>
  <c r="D63" i="35" s="1"/>
  <c r="D22" i="35"/>
  <c r="D42" i="35" s="1"/>
  <c r="D62" i="35" s="1"/>
  <c r="D20" i="35"/>
  <c r="D19" i="35" s="1"/>
  <c r="D15" i="35"/>
  <c r="D14" i="35"/>
  <c r="A63" i="35"/>
  <c r="A66" i="35" s="1"/>
  <c r="A70" i="35" s="1"/>
  <c r="A62" i="35"/>
  <c r="A65" i="35" s="1"/>
  <c r="A69" i="35" s="1"/>
  <c r="A43" i="35"/>
  <c r="A46" i="35" s="1"/>
  <c r="A42" i="35"/>
  <c r="A45" i="35" s="1"/>
  <c r="A23" i="35"/>
  <c r="A26" i="35" s="1"/>
  <c r="A32" i="35" s="1"/>
  <c r="A22" i="35"/>
  <c r="A25" i="35" s="1"/>
  <c r="A29" i="35" s="1"/>
  <c r="D13" i="10" l="1"/>
  <c r="B121" i="35"/>
  <c r="B125" i="35"/>
  <c r="B122" i="35"/>
  <c r="B130" i="35" s="1"/>
  <c r="B124" i="35"/>
  <c r="D14" i="10"/>
  <c r="B120" i="36"/>
  <c r="B128" i="36" s="1"/>
  <c r="B124" i="36"/>
  <c r="B123" i="36"/>
  <c r="B121" i="36"/>
  <c r="D63" i="36"/>
  <c r="D66" i="36" s="1"/>
  <c r="D70" i="36" s="1"/>
  <c r="D72" i="36" s="1"/>
  <c r="D46" i="36"/>
  <c r="D50" i="36" s="1"/>
  <c r="D52" i="36" s="1"/>
  <c r="D25" i="36"/>
  <c r="D29" i="36" s="1"/>
  <c r="D26" i="36"/>
  <c r="D30" i="36" s="1"/>
  <c r="D78" i="36" s="1"/>
  <c r="D65" i="36"/>
  <c r="D69" i="36" s="1"/>
  <c r="D71" i="36" s="1"/>
  <c r="A71" i="36"/>
  <c r="A49" i="36"/>
  <c r="A51" i="36"/>
  <c r="A50" i="36"/>
  <c r="A52" i="36"/>
  <c r="A72" i="36"/>
  <c r="A31" i="36"/>
  <c r="A30" i="36"/>
  <c r="D45" i="36"/>
  <c r="D49" i="36" s="1"/>
  <c r="D51" i="36" s="1"/>
  <c r="D25" i="35"/>
  <c r="D29" i="35" s="1"/>
  <c r="D45" i="35"/>
  <c r="D49" i="35" s="1"/>
  <c r="D51" i="35" s="1"/>
  <c r="D65" i="35"/>
  <c r="D69" i="35" s="1"/>
  <c r="D71" i="35" s="1"/>
  <c r="D26" i="35"/>
  <c r="D30" i="35" s="1"/>
  <c r="A71" i="35"/>
  <c r="A51" i="35"/>
  <c r="A49" i="35"/>
  <c r="A72" i="35"/>
  <c r="A52" i="35"/>
  <c r="A50" i="35"/>
  <c r="D46" i="35"/>
  <c r="D50" i="35" s="1"/>
  <c r="D52" i="35" s="1"/>
  <c r="A31" i="35"/>
  <c r="A30" i="35"/>
  <c r="D66" i="35"/>
  <c r="D70" i="35" s="1"/>
  <c r="D72" i="35" s="1"/>
  <c r="B129" i="36" l="1"/>
  <c r="E98" i="10" s="1"/>
  <c r="B129" i="35"/>
  <c r="E97" i="10" s="1"/>
  <c r="D77" i="35"/>
  <c r="D80" i="36"/>
  <c r="D31" i="36"/>
  <c r="D77" i="36"/>
  <c r="D85" i="36"/>
  <c r="D87" i="36" s="1"/>
  <c r="D86" i="36"/>
  <c r="D88" i="36" s="1"/>
  <c r="D32" i="36"/>
  <c r="D31" i="35"/>
  <c r="D79" i="35"/>
  <c r="D85" i="35"/>
  <c r="D87" i="35" s="1"/>
  <c r="D86" i="35"/>
  <c r="D88" i="35" s="1"/>
  <c r="D32" i="35"/>
  <c r="D78" i="35"/>
  <c r="D80" i="35" s="1"/>
  <c r="D79" i="36" l="1"/>
  <c r="D94" i="36"/>
  <c r="D96" i="36" s="1"/>
  <c r="D93" i="36"/>
  <c r="D95" i="36" s="1"/>
  <c r="D93" i="35"/>
  <c r="D95" i="35" s="1"/>
  <c r="D94" i="35"/>
  <c r="D96" i="35" s="1"/>
  <c r="AB27" i="31"/>
  <c r="AB26" i="31"/>
  <c r="AB25" i="31"/>
  <c r="AB24" i="31"/>
  <c r="AB23" i="31"/>
  <c r="AB22" i="31"/>
  <c r="AB21" i="31"/>
  <c r="AB20" i="31"/>
  <c r="AB19" i="31"/>
  <c r="AB18" i="31"/>
  <c r="AB17" i="31"/>
  <c r="AB16" i="31"/>
  <c r="AB15" i="31"/>
  <c r="AB14" i="31"/>
  <c r="AB13" i="31"/>
  <c r="AB12" i="31"/>
  <c r="AB11" i="31"/>
  <c r="AB10" i="31"/>
  <c r="AB9" i="31"/>
  <c r="AB8" i="31"/>
  <c r="AB7" i="31"/>
  <c r="AB6" i="31"/>
  <c r="AB5" i="31"/>
  <c r="AB4" i="31"/>
  <c r="AB3" i="31"/>
  <c r="AB28" i="31" l="1"/>
  <c r="T27" i="31"/>
  <c r="T26" i="31"/>
  <c r="T25" i="31"/>
  <c r="T24" i="31"/>
  <c r="T23" i="31"/>
  <c r="T22" i="31"/>
  <c r="T21" i="31"/>
  <c r="T20" i="31"/>
  <c r="T19" i="31"/>
  <c r="T18" i="31"/>
  <c r="T17" i="31"/>
  <c r="T16" i="31"/>
  <c r="T15" i="31"/>
  <c r="T14" i="31"/>
  <c r="T13" i="31"/>
  <c r="T12" i="31"/>
  <c r="T11" i="31"/>
  <c r="T10" i="31"/>
  <c r="T9" i="31"/>
  <c r="T8" i="31"/>
  <c r="T7" i="31"/>
  <c r="G32" i="33"/>
  <c r="G31" i="33"/>
  <c r="G30" i="33"/>
  <c r="G29" i="33"/>
  <c r="G28" i="33"/>
  <c r="G27" i="33"/>
  <c r="G26" i="33"/>
  <c r="G25" i="33"/>
  <c r="G23" i="33"/>
  <c r="G22" i="33"/>
  <c r="AI16" i="33"/>
  <c r="O15" i="33"/>
  <c r="AH15" i="33"/>
  <c r="AG15" i="33"/>
  <c r="E32" i="33" s="1"/>
  <c r="J15" i="33"/>
  <c r="L14" i="33"/>
  <c r="AE14" i="33"/>
  <c r="L13" i="33"/>
  <c r="AJ12" i="33"/>
  <c r="M12" i="33"/>
  <c r="J12" i="33"/>
  <c r="I12" i="33"/>
  <c r="AD12" i="33" s="1"/>
  <c r="AJ11" i="33"/>
  <c r="AH11" i="33"/>
  <c r="K11" i="33"/>
  <c r="AJ10" i="33"/>
  <c r="AH10" i="33"/>
  <c r="L10" i="33"/>
  <c r="K10" i="33"/>
  <c r="AE10" i="33"/>
  <c r="AJ9" i="33"/>
  <c r="M9" i="33"/>
  <c r="AG9" i="33"/>
  <c r="J9" i="33"/>
  <c r="AJ8" i="33"/>
  <c r="H25" i="33" s="1"/>
  <c r="AH8" i="33"/>
  <c r="F25" i="33" s="1"/>
  <c r="L8" i="33"/>
  <c r="K8" i="33"/>
  <c r="AE8" i="33"/>
  <c r="AH6" i="33"/>
  <c r="L6" i="33"/>
  <c r="K6" i="33"/>
  <c r="AJ5" i="33"/>
  <c r="M5" i="33"/>
  <c r="AG5" i="33"/>
  <c r="J5" i="33"/>
  <c r="F57" i="10"/>
  <c r="G42" i="10"/>
  <c r="C25" i="33" l="1"/>
  <c r="BA8" i="33"/>
  <c r="N25" i="33"/>
  <c r="H42" i="10"/>
  <c r="G33" i="33"/>
  <c r="J14" i="33"/>
  <c r="J10" i="33"/>
  <c r="L5" i="33"/>
  <c r="D23" i="33"/>
  <c r="AH9" i="33"/>
  <c r="F26" i="33" s="1"/>
  <c r="AG13" i="33"/>
  <c r="E30" i="33" s="1"/>
  <c r="L11" i="33"/>
  <c r="AG11" i="33"/>
  <c r="J13" i="33"/>
  <c r="AE13" i="33" s="1"/>
  <c r="C30" i="33" s="1"/>
  <c r="AG12" i="33"/>
  <c r="L12" i="33"/>
  <c r="J8" i="33"/>
  <c r="AG10" i="33"/>
  <c r="E27" i="33" s="1"/>
  <c r="AJ15" i="33"/>
  <c r="D25" i="33"/>
  <c r="AE12" i="33"/>
  <c r="C29" i="33" s="1"/>
  <c r="T28" i="31"/>
  <c r="AE5" i="33"/>
  <c r="AK5" i="33" s="1"/>
  <c r="L15" i="33"/>
  <c r="B22" i="33"/>
  <c r="AG6" i="33"/>
  <c r="E23" i="33" s="1"/>
  <c r="L9" i="33"/>
  <c r="AH12" i="33"/>
  <c r="AE15" i="33"/>
  <c r="J11" i="33"/>
  <c r="AE11" i="33" s="1"/>
  <c r="O13" i="33"/>
  <c r="O8" i="33"/>
  <c r="D28" i="33"/>
  <c r="AE9" i="33"/>
  <c r="C26" i="33" s="1"/>
  <c r="J6" i="33"/>
  <c r="AE6" i="33" s="1"/>
  <c r="O10" i="33"/>
  <c r="O14" i="33"/>
  <c r="O11" i="33"/>
  <c r="O6" i="33"/>
  <c r="AG8" i="33"/>
  <c r="E25" i="33" s="1"/>
  <c r="D27" i="33"/>
  <c r="AG14" i="33"/>
  <c r="E31" i="33" s="1"/>
  <c r="H27" i="33"/>
  <c r="B29" i="33"/>
  <c r="H23" i="33"/>
  <c r="B25" i="33"/>
  <c r="E26" i="33"/>
  <c r="H26" i="33"/>
  <c r="F27" i="33"/>
  <c r="H28" i="33"/>
  <c r="H29" i="33"/>
  <c r="F28" i="33"/>
  <c r="H22" i="33"/>
  <c r="F23" i="33"/>
  <c r="C27" i="33"/>
  <c r="O5" i="33"/>
  <c r="O9" i="33"/>
  <c r="O12" i="33"/>
  <c r="I13" i="33"/>
  <c r="AD13" i="33" s="1"/>
  <c r="M13" i="33"/>
  <c r="AH13" i="33"/>
  <c r="C31" i="33"/>
  <c r="AD6" i="33"/>
  <c r="M6" i="33"/>
  <c r="I8" i="33"/>
  <c r="M8" i="33"/>
  <c r="K9" i="33"/>
  <c r="I10" i="33"/>
  <c r="AD10" i="33" s="1"/>
  <c r="M10" i="33"/>
  <c r="M11" i="33"/>
  <c r="K12" i="33"/>
  <c r="I14" i="33"/>
  <c r="M14" i="33"/>
  <c r="AH14" i="33"/>
  <c r="F32" i="33"/>
  <c r="H30" i="33"/>
  <c r="D31" i="33"/>
  <c r="H31" i="33"/>
  <c r="K15" i="33"/>
  <c r="E22" i="33"/>
  <c r="K13" i="33"/>
  <c r="D30" i="33" s="1"/>
  <c r="K14" i="33"/>
  <c r="I15" i="33"/>
  <c r="AD15" i="33" s="1"/>
  <c r="M15" i="33"/>
  <c r="D59" i="12"/>
  <c r="B112" i="12" s="1"/>
  <c r="B115" i="12" s="1"/>
  <c r="AK13" i="33" l="1"/>
  <c r="AK8" i="33"/>
  <c r="AK6" i="33"/>
  <c r="AK12" i="33"/>
  <c r="B27" i="33"/>
  <c r="L27" i="33" s="1"/>
  <c r="AK10" i="33"/>
  <c r="AK14" i="33"/>
  <c r="P25" i="33"/>
  <c r="AF15" i="33"/>
  <c r="AK15" i="33" s="1"/>
  <c r="AV15" i="33"/>
  <c r="AV16" i="33" s="1"/>
  <c r="K22" i="33"/>
  <c r="H32" i="33"/>
  <c r="H33" i="33" s="1"/>
  <c r="F22" i="33"/>
  <c r="L16" i="33"/>
  <c r="D85" i="10" s="1"/>
  <c r="I42" i="10"/>
  <c r="K16" i="33"/>
  <c r="D84" i="10" s="1"/>
  <c r="O16" i="33"/>
  <c r="D88" i="10" s="1"/>
  <c r="J16" i="33"/>
  <c r="D83" i="10" s="1"/>
  <c r="S25" i="33"/>
  <c r="O25" i="33"/>
  <c r="C23" i="33"/>
  <c r="E28" i="33"/>
  <c r="C28" i="33"/>
  <c r="D29" i="33"/>
  <c r="E29" i="33"/>
  <c r="C32" i="33"/>
  <c r="K25" i="33"/>
  <c r="L25" i="33"/>
  <c r="F29" i="33"/>
  <c r="C22" i="33"/>
  <c r="AJ16" i="33"/>
  <c r="K29" i="33"/>
  <c r="K27" i="33"/>
  <c r="N27" i="33"/>
  <c r="AE16" i="33"/>
  <c r="B32" i="33"/>
  <c r="B23" i="33"/>
  <c r="K23" i="33"/>
  <c r="F30" i="33"/>
  <c r="F31" i="33"/>
  <c r="B30" i="33"/>
  <c r="K30" i="33"/>
  <c r="D22" i="33"/>
  <c r="B31" i="33"/>
  <c r="K31" i="33"/>
  <c r="AG16" i="33"/>
  <c r="D32" i="33" l="1"/>
  <c r="AF16" i="33"/>
  <c r="K32" i="33"/>
  <c r="Q32" i="33" s="1"/>
  <c r="P27" i="33"/>
  <c r="BA15" i="33"/>
  <c r="BA14" i="33"/>
  <c r="BA5" i="33"/>
  <c r="Q29" i="33"/>
  <c r="Q27" i="33"/>
  <c r="Q25" i="33"/>
  <c r="Q23" i="33"/>
  <c r="Q22" i="33"/>
  <c r="BA6" i="33"/>
  <c r="BA13" i="33"/>
  <c r="R27" i="33"/>
  <c r="M27" i="33"/>
  <c r="BA10" i="33"/>
  <c r="R25" i="33"/>
  <c r="M25" i="33"/>
  <c r="N29" i="33"/>
  <c r="BA12" i="33"/>
  <c r="J42" i="10"/>
  <c r="Q31" i="33"/>
  <c r="D26" i="33"/>
  <c r="T25" i="33"/>
  <c r="N23" i="33"/>
  <c r="P22" i="33"/>
  <c r="O27" i="33"/>
  <c r="S27" i="33"/>
  <c r="N31" i="33"/>
  <c r="N30" i="33"/>
  <c r="N32" i="33"/>
  <c r="Q30" i="33"/>
  <c r="K42" i="10"/>
  <c r="E33" i="33"/>
  <c r="C33" i="33"/>
  <c r="L23" i="33"/>
  <c r="L29" i="33"/>
  <c r="L30" i="33"/>
  <c r="L31" i="33"/>
  <c r="L22" i="33"/>
  <c r="L32" i="33"/>
  <c r="P31" i="33" l="1"/>
  <c r="O29" i="33"/>
  <c r="M31" i="33"/>
  <c r="S29" i="33"/>
  <c r="M30" i="33"/>
  <c r="S22" i="33"/>
  <c r="R22" i="33"/>
  <c r="M22" i="33"/>
  <c r="R32" i="33"/>
  <c r="M32" i="33"/>
  <c r="R23" i="33"/>
  <c r="M23" i="33"/>
  <c r="R29" i="33"/>
  <c r="M29" i="33"/>
  <c r="D33" i="33"/>
  <c r="R31" i="33"/>
  <c r="O30" i="33"/>
  <c r="S23" i="33"/>
  <c r="O23" i="33"/>
  <c r="T27" i="33"/>
  <c r="O22" i="33"/>
  <c r="O32" i="33"/>
  <c r="S32" i="33"/>
  <c r="S30" i="33"/>
  <c r="O31" i="33"/>
  <c r="S31" i="33"/>
  <c r="R30" i="33"/>
  <c r="L42" i="10"/>
  <c r="G36" i="10"/>
  <c r="P32" i="33" l="1"/>
  <c r="P30" i="33"/>
  <c r="P23" i="33"/>
  <c r="P29" i="33"/>
  <c r="T29" i="33"/>
  <c r="T23" i="33"/>
  <c r="T31" i="33"/>
  <c r="T30" i="33"/>
  <c r="T32" i="33"/>
  <c r="T22" i="33"/>
  <c r="M42" i="10"/>
  <c r="D37" i="10"/>
  <c r="AG3" i="31"/>
  <c r="AG6" i="31"/>
  <c r="AG5" i="31"/>
  <c r="AG4" i="31"/>
  <c r="AG27" i="31"/>
  <c r="AG26" i="31"/>
  <c r="AG25" i="31"/>
  <c r="AG24" i="31"/>
  <c r="AG23" i="31"/>
  <c r="AG22" i="31"/>
  <c r="AG21" i="31"/>
  <c r="AG20" i="31"/>
  <c r="AG19" i="31"/>
  <c r="AG18" i="31"/>
  <c r="AG17" i="31"/>
  <c r="AG16" i="31"/>
  <c r="AG15" i="31"/>
  <c r="AG14" i="31"/>
  <c r="AG13" i="31"/>
  <c r="AG12" i="31"/>
  <c r="AG11" i="31"/>
  <c r="AG10" i="31"/>
  <c r="AG9" i="31"/>
  <c r="AG8" i="31"/>
  <c r="AG7" i="31"/>
  <c r="AD28" i="31"/>
  <c r="Y8" i="31"/>
  <c r="Y9" i="31"/>
  <c r="Y10" i="31"/>
  <c r="Y11" i="31"/>
  <c r="Y12" i="31"/>
  <c r="Y13" i="31"/>
  <c r="Y14" i="31"/>
  <c r="Y15" i="31"/>
  <c r="Y16" i="31"/>
  <c r="Y17" i="31"/>
  <c r="Y18" i="31"/>
  <c r="Y19" i="31"/>
  <c r="Y20" i="31"/>
  <c r="Y21" i="31"/>
  <c r="Y22" i="31"/>
  <c r="Y23" i="31"/>
  <c r="Y24" i="31"/>
  <c r="Y25" i="31"/>
  <c r="Y26" i="31"/>
  <c r="Y27" i="31"/>
  <c r="Y7" i="31"/>
  <c r="W14" i="31"/>
  <c r="V28" i="31"/>
  <c r="Q28" i="31"/>
  <c r="O5" i="31"/>
  <c r="O6" i="31"/>
  <c r="O8" i="31"/>
  <c r="O9" i="31"/>
  <c r="O10" i="31"/>
  <c r="O11" i="31"/>
  <c r="O12" i="31"/>
  <c r="O13" i="31"/>
  <c r="O15" i="31"/>
  <c r="O16" i="31"/>
  <c r="O17" i="31"/>
  <c r="O18" i="31"/>
  <c r="O19" i="31"/>
  <c r="O20" i="31"/>
  <c r="O21" i="31"/>
  <c r="O22" i="31"/>
  <c r="O23" i="31"/>
  <c r="O24" i="31"/>
  <c r="O25" i="31"/>
  <c r="O26" i="31"/>
  <c r="O27" i="31"/>
  <c r="O3" i="31"/>
  <c r="L27" i="31"/>
  <c r="L26" i="31"/>
  <c r="L25" i="31"/>
  <c r="L24" i="31"/>
  <c r="L23" i="31"/>
  <c r="L22" i="31"/>
  <c r="L21" i="31"/>
  <c r="L20" i="31"/>
  <c r="L19" i="31"/>
  <c r="L18" i="31"/>
  <c r="L17" i="31"/>
  <c r="L16" i="31"/>
  <c r="L15" i="31"/>
  <c r="L14" i="31"/>
  <c r="L13" i="31"/>
  <c r="L12" i="31"/>
  <c r="L11" i="31"/>
  <c r="L10" i="31"/>
  <c r="L9" i="31"/>
  <c r="L8" i="31"/>
  <c r="L7" i="31"/>
  <c r="L6" i="31"/>
  <c r="L5" i="31"/>
  <c r="L4" i="31"/>
  <c r="L3" i="31"/>
  <c r="G4" i="31"/>
  <c r="G5" i="31"/>
  <c r="G6" i="31"/>
  <c r="G7" i="31"/>
  <c r="G8" i="31"/>
  <c r="G9" i="31"/>
  <c r="G10" i="31"/>
  <c r="G11" i="31"/>
  <c r="G12" i="31"/>
  <c r="G13" i="31"/>
  <c r="G14" i="31"/>
  <c r="G15" i="31"/>
  <c r="G16" i="31"/>
  <c r="G17" i="31"/>
  <c r="G18" i="31"/>
  <c r="G19" i="31"/>
  <c r="G20" i="31"/>
  <c r="G21" i="31"/>
  <c r="G22" i="31"/>
  <c r="G23" i="31"/>
  <c r="G24" i="31"/>
  <c r="G25" i="31"/>
  <c r="G26" i="31"/>
  <c r="G27" i="31"/>
  <c r="G3" i="31"/>
  <c r="D14" i="31"/>
  <c r="B60" i="31"/>
  <c r="B50" i="31"/>
  <c r="D22" i="26"/>
  <c r="N42" i="10" l="1"/>
  <c r="Y28" i="31"/>
  <c r="G28" i="31"/>
  <c r="L28" i="31"/>
  <c r="D28" i="31"/>
  <c r="O42" i="10" l="1"/>
  <c r="N14" i="31"/>
  <c r="O14" i="31" s="1"/>
  <c r="N7" i="31"/>
  <c r="O7" i="31" s="1"/>
  <c r="N4" i="31"/>
  <c r="O4" i="31" s="1"/>
  <c r="P42" i="10" l="1"/>
  <c r="O28" i="31"/>
  <c r="C14" i="31"/>
  <c r="J220" i="30"/>
  <c r="H220" i="30"/>
  <c r="F220" i="30"/>
  <c r="J219" i="30"/>
  <c r="H219" i="30"/>
  <c r="F219" i="30"/>
  <c r="J218" i="30"/>
  <c r="H218" i="30"/>
  <c r="F218" i="30"/>
  <c r="J217" i="30"/>
  <c r="H217" i="30"/>
  <c r="F217" i="30"/>
  <c r="D214" i="30"/>
  <c r="J211" i="30"/>
  <c r="H211" i="30"/>
  <c r="F211" i="30"/>
  <c r="J210" i="30"/>
  <c r="H210" i="30"/>
  <c r="F210" i="30"/>
  <c r="J209" i="30"/>
  <c r="H209" i="30"/>
  <c r="F209" i="30"/>
  <c r="J208" i="30"/>
  <c r="H208" i="30"/>
  <c r="F208" i="30"/>
  <c r="E206" i="30"/>
  <c r="D206" i="30"/>
  <c r="J203" i="30"/>
  <c r="H203" i="30"/>
  <c r="F203" i="30"/>
  <c r="J202" i="30"/>
  <c r="H202" i="30"/>
  <c r="F202" i="30"/>
  <c r="J201" i="30"/>
  <c r="H201" i="30"/>
  <c r="F201" i="30"/>
  <c r="J200" i="30"/>
  <c r="H200" i="30"/>
  <c r="F200" i="30"/>
  <c r="D198" i="30"/>
  <c r="J195" i="30"/>
  <c r="H195" i="30"/>
  <c r="F195" i="30"/>
  <c r="J194" i="30"/>
  <c r="H194" i="30"/>
  <c r="F194" i="30"/>
  <c r="J193" i="30"/>
  <c r="H193" i="30"/>
  <c r="F193" i="30"/>
  <c r="J192" i="30"/>
  <c r="H192" i="30"/>
  <c r="F192" i="30"/>
  <c r="D189" i="30"/>
  <c r="J186" i="30"/>
  <c r="H186" i="30"/>
  <c r="F186" i="30"/>
  <c r="J185" i="30"/>
  <c r="H185" i="30"/>
  <c r="F185" i="30"/>
  <c r="J184" i="30"/>
  <c r="H184" i="30"/>
  <c r="F184" i="30"/>
  <c r="J183" i="30"/>
  <c r="H183" i="30"/>
  <c r="F183" i="30"/>
  <c r="E181" i="30"/>
  <c r="D181" i="30"/>
  <c r="J178" i="30"/>
  <c r="H178" i="30"/>
  <c r="F178" i="30"/>
  <c r="J177" i="30"/>
  <c r="H177" i="30"/>
  <c r="F177" i="30"/>
  <c r="J176" i="30"/>
  <c r="H176" i="30"/>
  <c r="F176" i="30"/>
  <c r="J175" i="30"/>
  <c r="H175" i="30"/>
  <c r="F175" i="30"/>
  <c r="E173" i="30"/>
  <c r="D173" i="30"/>
  <c r="J170" i="30"/>
  <c r="H170" i="30"/>
  <c r="F170" i="30"/>
  <c r="J169" i="30"/>
  <c r="H169" i="30"/>
  <c r="F169" i="30"/>
  <c r="J168" i="30"/>
  <c r="H168" i="30"/>
  <c r="F168" i="30"/>
  <c r="J167" i="30"/>
  <c r="H167" i="30"/>
  <c r="F167" i="30"/>
  <c r="E165" i="30"/>
  <c r="D165" i="30"/>
  <c r="J162" i="30"/>
  <c r="H162" i="30"/>
  <c r="F162" i="30"/>
  <c r="J161" i="30"/>
  <c r="H161" i="30"/>
  <c r="F161" i="30"/>
  <c r="J160" i="30"/>
  <c r="H160" i="30"/>
  <c r="F160" i="30"/>
  <c r="J159" i="30"/>
  <c r="H159" i="30"/>
  <c r="F159" i="30"/>
  <c r="D156" i="30"/>
  <c r="J153" i="30"/>
  <c r="H153" i="30"/>
  <c r="F153" i="30"/>
  <c r="J152" i="30"/>
  <c r="H152" i="30"/>
  <c r="F152" i="30"/>
  <c r="J151" i="30"/>
  <c r="H151" i="30"/>
  <c r="F151" i="30"/>
  <c r="J150" i="30"/>
  <c r="H150" i="30"/>
  <c r="F150" i="30"/>
  <c r="E148" i="30"/>
  <c r="D148" i="30"/>
  <c r="J145" i="30"/>
  <c r="H145" i="30"/>
  <c r="F145" i="30"/>
  <c r="J144" i="30"/>
  <c r="H144" i="30"/>
  <c r="F144" i="30"/>
  <c r="J143" i="30"/>
  <c r="H143" i="30"/>
  <c r="F143" i="30"/>
  <c r="J142" i="30"/>
  <c r="H142" i="30"/>
  <c r="F142" i="30"/>
  <c r="E140" i="30"/>
  <c r="D140" i="30"/>
  <c r="J137" i="30"/>
  <c r="H137" i="30"/>
  <c r="F137" i="30"/>
  <c r="J136" i="30"/>
  <c r="H136" i="30"/>
  <c r="F136" i="30"/>
  <c r="J135" i="30"/>
  <c r="H135" i="30"/>
  <c r="F135" i="30"/>
  <c r="J134" i="30"/>
  <c r="H134" i="30"/>
  <c r="F134" i="30"/>
  <c r="D132" i="30"/>
  <c r="J129" i="30"/>
  <c r="H129" i="30"/>
  <c r="F129" i="30"/>
  <c r="J128" i="30"/>
  <c r="H128" i="30"/>
  <c r="F128" i="30"/>
  <c r="J127" i="30"/>
  <c r="H127" i="30"/>
  <c r="F127" i="30"/>
  <c r="J126" i="30"/>
  <c r="H126" i="30"/>
  <c r="F126" i="30"/>
  <c r="E124" i="30"/>
  <c r="D124" i="30"/>
  <c r="J121" i="30"/>
  <c r="H121" i="30"/>
  <c r="F121" i="30"/>
  <c r="J120" i="30"/>
  <c r="H120" i="30"/>
  <c r="F120" i="30"/>
  <c r="J119" i="30"/>
  <c r="H119" i="30"/>
  <c r="F119" i="30"/>
  <c r="J118" i="30"/>
  <c r="H118" i="30"/>
  <c r="F118" i="30"/>
  <c r="D115" i="30"/>
  <c r="D109" i="30"/>
  <c r="D102" i="30"/>
  <c r="J99" i="30"/>
  <c r="H99" i="30"/>
  <c r="F99" i="30"/>
  <c r="J98" i="30"/>
  <c r="H98" i="30"/>
  <c r="F98" i="30"/>
  <c r="J97" i="30"/>
  <c r="H97" i="30"/>
  <c r="F97" i="30"/>
  <c r="J96" i="30"/>
  <c r="H96" i="30"/>
  <c r="F96" i="30"/>
  <c r="D93" i="30"/>
  <c r="D90" i="30"/>
  <c r="J89" i="30"/>
  <c r="H89" i="30"/>
  <c r="F89" i="30"/>
  <c r="J88" i="30"/>
  <c r="H88" i="30"/>
  <c r="F88" i="30"/>
  <c r="J87" i="30"/>
  <c r="H87" i="30"/>
  <c r="F87" i="30"/>
  <c r="J86" i="30"/>
  <c r="H86" i="30"/>
  <c r="F86" i="30"/>
  <c r="D84" i="30"/>
  <c r="J83" i="30"/>
  <c r="H83" i="30"/>
  <c r="F83" i="30"/>
  <c r="J82" i="30"/>
  <c r="H82" i="30"/>
  <c r="F82" i="30"/>
  <c r="J81" i="30"/>
  <c r="H81" i="30"/>
  <c r="F81" i="30"/>
  <c r="J80" i="30"/>
  <c r="H80" i="30"/>
  <c r="F80" i="30"/>
  <c r="D78" i="30"/>
  <c r="J77" i="30"/>
  <c r="H77" i="30"/>
  <c r="F77" i="30"/>
  <c r="J76" i="30"/>
  <c r="H76" i="30"/>
  <c r="F76" i="30"/>
  <c r="J75" i="30"/>
  <c r="H75" i="30"/>
  <c r="F75" i="30"/>
  <c r="J74" i="30"/>
  <c r="H74" i="30"/>
  <c r="F74" i="30"/>
  <c r="D72" i="30"/>
  <c r="J71" i="30"/>
  <c r="H71" i="30"/>
  <c r="F71" i="30"/>
  <c r="J70" i="30"/>
  <c r="H70" i="30"/>
  <c r="F70" i="30"/>
  <c r="J69" i="30"/>
  <c r="H69" i="30"/>
  <c r="F69" i="30"/>
  <c r="J68" i="30"/>
  <c r="H68" i="30"/>
  <c r="F68" i="30"/>
  <c r="D66" i="30"/>
  <c r="J65" i="30"/>
  <c r="H65" i="30"/>
  <c r="F65" i="30"/>
  <c r="J64" i="30"/>
  <c r="H64" i="30"/>
  <c r="F64" i="30"/>
  <c r="J63" i="30"/>
  <c r="H63" i="30"/>
  <c r="F63" i="30"/>
  <c r="J62" i="30"/>
  <c r="H62" i="30"/>
  <c r="F62" i="30"/>
  <c r="F60" i="30"/>
  <c r="D60" i="30" s="1"/>
  <c r="J59" i="30"/>
  <c r="H59" i="30"/>
  <c r="F59" i="30"/>
  <c r="J58" i="30"/>
  <c r="H58" i="30"/>
  <c r="F58" i="30"/>
  <c r="J57" i="30"/>
  <c r="H57" i="30"/>
  <c r="F57" i="30"/>
  <c r="J56" i="30"/>
  <c r="H56" i="30"/>
  <c r="F56" i="30"/>
  <c r="D53" i="30"/>
  <c r="J50" i="30"/>
  <c r="H50" i="30"/>
  <c r="F50" i="30"/>
  <c r="J49" i="30"/>
  <c r="H49" i="30"/>
  <c r="F49" i="30"/>
  <c r="J48" i="30"/>
  <c r="H48" i="30"/>
  <c r="F48" i="30"/>
  <c r="J47" i="30"/>
  <c r="H47" i="30"/>
  <c r="F47" i="30"/>
  <c r="J46" i="30"/>
  <c r="H46" i="30"/>
  <c r="F46" i="30"/>
  <c r="D43" i="30"/>
  <c r="J38" i="30"/>
  <c r="H38" i="30"/>
  <c r="F38" i="30"/>
  <c r="J37" i="30"/>
  <c r="H37" i="30"/>
  <c r="F37" i="30"/>
  <c r="J36" i="30"/>
  <c r="H36" i="30"/>
  <c r="F36" i="30"/>
  <c r="J35" i="30"/>
  <c r="H35" i="30"/>
  <c r="F35" i="30"/>
  <c r="D31" i="30"/>
  <c r="J28" i="30"/>
  <c r="H28" i="30"/>
  <c r="F28" i="30"/>
  <c r="J27" i="30"/>
  <c r="H27" i="30"/>
  <c r="F27" i="30"/>
  <c r="J26" i="30"/>
  <c r="H26" i="30"/>
  <c r="F26" i="30"/>
  <c r="J25" i="30"/>
  <c r="H25" i="30"/>
  <c r="F25" i="30"/>
  <c r="J24" i="30"/>
  <c r="H24" i="30"/>
  <c r="F24" i="30"/>
  <c r="D21" i="30"/>
  <c r="J18" i="30"/>
  <c r="H18" i="30"/>
  <c r="F18" i="30"/>
  <c r="J17" i="30"/>
  <c r="H17" i="30"/>
  <c r="F17" i="30"/>
  <c r="J16" i="30"/>
  <c r="H16" i="30"/>
  <c r="F16" i="30"/>
  <c r="J15" i="30"/>
  <c r="H15" i="30"/>
  <c r="F15" i="30"/>
  <c r="J14" i="30"/>
  <c r="H14" i="30"/>
  <c r="F14" i="30"/>
  <c r="D11" i="30"/>
  <c r="B4" i="30"/>
  <c r="A71" i="26"/>
  <c r="A63" i="26"/>
  <c r="A66" i="26" s="1"/>
  <c r="A70" i="26" s="1"/>
  <c r="A62" i="26"/>
  <c r="A65" i="26" s="1"/>
  <c r="A69" i="26" s="1"/>
  <c r="D60" i="26"/>
  <c r="D59" i="26" s="1"/>
  <c r="A51" i="26"/>
  <c r="A43" i="26"/>
  <c r="A46" i="26" s="1"/>
  <c r="A50" i="26" s="1"/>
  <c r="A42" i="26"/>
  <c r="A45" i="26" s="1"/>
  <c r="A49" i="26" s="1"/>
  <c r="D40" i="26"/>
  <c r="D39" i="26" s="1"/>
  <c r="D23" i="26"/>
  <c r="D43" i="26" s="1"/>
  <c r="D63" i="26" s="1"/>
  <c r="A23" i="26"/>
  <c r="A26" i="26" s="1"/>
  <c r="D42" i="26"/>
  <c r="D62" i="26" s="1"/>
  <c r="A22" i="26"/>
  <c r="A25" i="26" s="1"/>
  <c r="D20" i="26"/>
  <c r="D19" i="26" s="1"/>
  <c r="D15" i="26"/>
  <c r="D14" i="26"/>
  <c r="D13" i="26"/>
  <c r="A12" i="26"/>
  <c r="A63" i="21"/>
  <c r="A66" i="21" s="1"/>
  <c r="A70" i="21" s="1"/>
  <c r="A62" i="21"/>
  <c r="A65" i="21" s="1"/>
  <c r="A69" i="21" s="1"/>
  <c r="D60" i="21"/>
  <c r="D59" i="21" s="1"/>
  <c r="A43" i="21"/>
  <c r="A46" i="21" s="1"/>
  <c r="A42" i="21"/>
  <c r="A45" i="21" s="1"/>
  <c r="D40" i="21"/>
  <c r="D39" i="21" s="1"/>
  <c r="D23" i="21"/>
  <c r="D43" i="21" s="1"/>
  <c r="A23" i="21"/>
  <c r="A26" i="21" s="1"/>
  <c r="A32" i="21" s="1"/>
  <c r="D22" i="21"/>
  <c r="D42" i="21" s="1"/>
  <c r="D62" i="21" s="1"/>
  <c r="A22" i="21"/>
  <c r="A25" i="21" s="1"/>
  <c r="D20" i="21"/>
  <c r="D19" i="21" s="1"/>
  <c r="D15" i="21"/>
  <c r="D14" i="21"/>
  <c r="D13" i="21"/>
  <c r="A12" i="21"/>
  <c r="A63" i="20"/>
  <c r="A66" i="20" s="1"/>
  <c r="A70" i="20" s="1"/>
  <c r="A62" i="20"/>
  <c r="A65" i="20" s="1"/>
  <c r="A69" i="20" s="1"/>
  <c r="D60" i="20"/>
  <c r="D59" i="20" s="1"/>
  <c r="A43" i="20"/>
  <c r="A46" i="20" s="1"/>
  <c r="A42" i="20"/>
  <c r="A45" i="20" s="1"/>
  <c r="A49" i="20" s="1"/>
  <c r="D40" i="20"/>
  <c r="D23" i="20"/>
  <c r="D43" i="20" s="1"/>
  <c r="D63" i="20" s="1"/>
  <c r="A23" i="20"/>
  <c r="A26" i="20" s="1"/>
  <c r="D22" i="20"/>
  <c r="D42" i="20" s="1"/>
  <c r="D62" i="20" s="1"/>
  <c r="A22" i="20"/>
  <c r="A25" i="20" s="1"/>
  <c r="D20" i="20"/>
  <c r="D19" i="20" s="1"/>
  <c r="D15" i="20"/>
  <c r="D14" i="20"/>
  <c r="D13" i="20"/>
  <c r="A12" i="20"/>
  <c r="A63" i="19"/>
  <c r="A66" i="19" s="1"/>
  <c r="A70" i="19" s="1"/>
  <c r="A62" i="19"/>
  <c r="A65" i="19" s="1"/>
  <c r="A69" i="19" s="1"/>
  <c r="D60" i="19"/>
  <c r="D59" i="19" s="1"/>
  <c r="C52" i="19"/>
  <c r="C51" i="19"/>
  <c r="A43" i="19"/>
  <c r="A46" i="19" s="1"/>
  <c r="A50" i="19" s="1"/>
  <c r="A42" i="19"/>
  <c r="A45" i="19" s="1"/>
  <c r="D40" i="19"/>
  <c r="D39" i="19" s="1"/>
  <c r="D23" i="19"/>
  <c r="D43" i="19" s="1"/>
  <c r="D63" i="19" s="1"/>
  <c r="A23" i="19"/>
  <c r="A26" i="19" s="1"/>
  <c r="D22" i="19"/>
  <c r="D42" i="19" s="1"/>
  <c r="A22" i="19"/>
  <c r="A25" i="19" s="1"/>
  <c r="A31" i="19" s="1"/>
  <c r="D20" i="19"/>
  <c r="D15" i="19"/>
  <c r="D14" i="19"/>
  <c r="D13" i="19"/>
  <c r="C17" i="10" s="1"/>
  <c r="A12" i="19"/>
  <c r="A63" i="16"/>
  <c r="A66" i="16" s="1"/>
  <c r="A70" i="16" s="1"/>
  <c r="A62" i="16"/>
  <c r="A65" i="16" s="1"/>
  <c r="A69" i="16" s="1"/>
  <c r="D60" i="16"/>
  <c r="D59" i="16" s="1"/>
  <c r="A43" i="16"/>
  <c r="A46" i="16" s="1"/>
  <c r="A52" i="16" s="1"/>
  <c r="A42" i="16"/>
  <c r="A45" i="16" s="1"/>
  <c r="A71" i="16" s="1"/>
  <c r="D40" i="16"/>
  <c r="D39" i="16" s="1"/>
  <c r="D23" i="16"/>
  <c r="D43" i="16" s="1"/>
  <c r="D63" i="16" s="1"/>
  <c r="A23" i="16"/>
  <c r="A26" i="16" s="1"/>
  <c r="A30" i="16" s="1"/>
  <c r="D22" i="16"/>
  <c r="D42" i="16" s="1"/>
  <c r="D62" i="16" s="1"/>
  <c r="A22" i="16"/>
  <c r="A25" i="16" s="1"/>
  <c r="D20" i="16"/>
  <c r="D15" i="16"/>
  <c r="D14" i="16"/>
  <c r="D13" i="16"/>
  <c r="A63" i="12"/>
  <c r="A66" i="12" s="1"/>
  <c r="A70" i="12" s="1"/>
  <c r="A62" i="12"/>
  <c r="A65" i="12" s="1"/>
  <c r="A69" i="12" s="1"/>
  <c r="A43" i="12"/>
  <c r="A46" i="12" s="1"/>
  <c r="A50" i="12" s="1"/>
  <c r="A42" i="12"/>
  <c r="A45" i="12" s="1"/>
  <c r="A49" i="12" s="1"/>
  <c r="D23" i="12"/>
  <c r="A23" i="12"/>
  <c r="A26" i="12" s="1"/>
  <c r="A32" i="12" s="1"/>
  <c r="D22" i="12"/>
  <c r="D42" i="12" s="1"/>
  <c r="D62" i="12" s="1"/>
  <c r="A22" i="12"/>
  <c r="A25" i="12" s="1"/>
  <c r="D15" i="12"/>
  <c r="D14" i="12"/>
  <c r="D13" i="12"/>
  <c r="J79" i="8"/>
  <c r="I79" i="8"/>
  <c r="G79" i="8"/>
  <c r="E79" i="8"/>
  <c r="D79" i="8"/>
  <c r="C79" i="8"/>
  <c r="B79" i="8"/>
  <c r="J78" i="8"/>
  <c r="I78" i="8"/>
  <c r="G78" i="8"/>
  <c r="E78" i="8"/>
  <c r="D78" i="8"/>
  <c r="C78" i="8"/>
  <c r="B78" i="8"/>
  <c r="J77" i="8"/>
  <c r="H77" i="8"/>
  <c r="E77" i="8"/>
  <c r="C77" i="8"/>
  <c r="B77" i="8"/>
  <c r="J69" i="8"/>
  <c r="I69" i="8"/>
  <c r="G69" i="8"/>
  <c r="E69" i="8"/>
  <c r="D69" i="8"/>
  <c r="C69" i="8"/>
  <c r="B69" i="8"/>
  <c r="J68" i="8"/>
  <c r="I68" i="8"/>
  <c r="G68" i="8"/>
  <c r="E68" i="8"/>
  <c r="D68" i="8"/>
  <c r="C68" i="8"/>
  <c r="B68" i="8"/>
  <c r="J67" i="8"/>
  <c r="E67" i="8"/>
  <c r="C67" i="8"/>
  <c r="J46" i="8"/>
  <c r="I46" i="8"/>
  <c r="G46" i="8"/>
  <c r="E46" i="8"/>
  <c r="D46" i="8"/>
  <c r="C46" i="8"/>
  <c r="B46" i="8"/>
  <c r="J45" i="8"/>
  <c r="I45" i="8"/>
  <c r="G45" i="8"/>
  <c r="E45" i="8"/>
  <c r="D45" i="8"/>
  <c r="C45" i="8"/>
  <c r="B45" i="8"/>
  <c r="J44" i="8"/>
  <c r="H44" i="8"/>
  <c r="E44" i="8"/>
  <c r="C44" i="8"/>
  <c r="B44" i="8"/>
  <c r="J36" i="8"/>
  <c r="I36" i="8"/>
  <c r="G36" i="8"/>
  <c r="E36" i="8"/>
  <c r="C36" i="8"/>
  <c r="B36" i="8"/>
  <c r="J35" i="8"/>
  <c r="I35" i="8"/>
  <c r="G35" i="8"/>
  <c r="E35" i="8"/>
  <c r="D35" i="8"/>
  <c r="C35" i="8"/>
  <c r="B35" i="8"/>
  <c r="J34" i="8"/>
  <c r="E34" i="8"/>
  <c r="C34" i="8"/>
  <c r="H101" i="7"/>
  <c r="B101" i="7"/>
  <c r="H62" i="7"/>
  <c r="B62" i="7"/>
  <c r="Q2" i="7"/>
  <c r="P2" i="7"/>
  <c r="O2" i="7"/>
  <c r="N2" i="7"/>
  <c r="L27" i="6"/>
  <c r="D27" i="38" s="1"/>
  <c r="D47" i="38" s="1"/>
  <c r="J27" i="6"/>
  <c r="I27" i="6"/>
  <c r="H27" i="6"/>
  <c r="G27" i="6"/>
  <c r="F27" i="6"/>
  <c r="E27" i="6"/>
  <c r="D27" i="6"/>
  <c r="D27" i="44" s="1"/>
  <c r="C27" i="6"/>
  <c r="B27" i="6"/>
  <c r="L26" i="6"/>
  <c r="J26" i="6"/>
  <c r="I26" i="6"/>
  <c r="H26" i="6"/>
  <c r="G26" i="6"/>
  <c r="F26" i="6"/>
  <c r="E26" i="6"/>
  <c r="D26" i="6"/>
  <c r="C26" i="6"/>
  <c r="B26" i="6"/>
  <c r="L25" i="6"/>
  <c r="J25" i="6"/>
  <c r="I25" i="6"/>
  <c r="D27" i="43" s="1"/>
  <c r="D47" i="43" s="1"/>
  <c r="H25" i="6"/>
  <c r="G25" i="6"/>
  <c r="F25" i="6"/>
  <c r="E25" i="6"/>
  <c r="D25" i="6"/>
  <c r="C25" i="6"/>
  <c r="L24" i="6"/>
  <c r="J24" i="6"/>
  <c r="I24" i="6"/>
  <c r="H24" i="6"/>
  <c r="G24" i="6"/>
  <c r="F24" i="6"/>
  <c r="E24" i="6"/>
  <c r="D24" i="6"/>
  <c r="C24" i="6"/>
  <c r="D27" i="36" s="1"/>
  <c r="D47" i="36" s="1"/>
  <c r="B24" i="6"/>
  <c r="L23" i="6"/>
  <c r="J23" i="6"/>
  <c r="D27" i="26" s="1"/>
  <c r="I23" i="6"/>
  <c r="H23" i="6"/>
  <c r="G23" i="6"/>
  <c r="F23" i="6"/>
  <c r="E23" i="6"/>
  <c r="D23" i="6"/>
  <c r="C23" i="6"/>
  <c r="B23" i="6"/>
  <c r="L22" i="6"/>
  <c r="J22" i="6"/>
  <c r="I22" i="6"/>
  <c r="H22" i="6"/>
  <c r="G22" i="6"/>
  <c r="F22" i="6"/>
  <c r="E22" i="6"/>
  <c r="D22" i="6"/>
  <c r="C22" i="6"/>
  <c r="B22" i="6"/>
  <c r="L21" i="6"/>
  <c r="J21" i="6"/>
  <c r="I21" i="6"/>
  <c r="H21" i="6"/>
  <c r="D27" i="42" s="1"/>
  <c r="D47" i="42" s="1"/>
  <c r="G21" i="6"/>
  <c r="F21" i="6"/>
  <c r="E21" i="6"/>
  <c r="D21" i="6"/>
  <c r="D27" i="16" s="1"/>
  <c r="C21" i="6"/>
  <c r="B21" i="6"/>
  <c r="L66" i="5"/>
  <c r="L79" i="8" s="1"/>
  <c r="H66" i="5"/>
  <c r="H79" i="8" s="1"/>
  <c r="F66" i="5"/>
  <c r="F79" i="8" s="1"/>
  <c r="F78" i="8"/>
  <c r="G77" i="8"/>
  <c r="F77" i="8"/>
  <c r="L67" i="8"/>
  <c r="L75" i="8"/>
  <c r="K95" i="7"/>
  <c r="L26" i="5"/>
  <c r="L25" i="5" s="1"/>
  <c r="H26" i="5"/>
  <c r="F26" i="5"/>
  <c r="F46" i="8" s="1"/>
  <c r="L23" i="5"/>
  <c r="L22" i="5" s="1"/>
  <c r="H23" i="5"/>
  <c r="H22" i="5" s="1"/>
  <c r="F23" i="5"/>
  <c r="F45" i="8" s="1"/>
  <c r="G44" i="8"/>
  <c r="F44" i="8"/>
  <c r="M12" i="4"/>
  <c r="M7" i="4"/>
  <c r="M6" i="4"/>
  <c r="M5" i="4"/>
  <c r="M4" i="4"/>
  <c r="D54" i="3"/>
  <c r="D53" i="3"/>
  <c r="D52" i="3"/>
  <c r="D51" i="3"/>
  <c r="D50" i="3"/>
  <c r="D49" i="3"/>
  <c r="D48" i="3"/>
  <c r="D44" i="3"/>
  <c r="D43" i="3"/>
  <c r="D42" i="3"/>
  <c r="D40" i="3"/>
  <c r="D39" i="3"/>
  <c r="D38" i="3"/>
  <c r="M31" i="3"/>
  <c r="M30" i="3"/>
  <c r="M28" i="3"/>
  <c r="M27" i="3"/>
  <c r="M26" i="3"/>
  <c r="M10" i="3"/>
  <c r="M9" i="3"/>
  <c r="M7" i="3"/>
  <c r="M6" i="3"/>
  <c r="M5" i="3"/>
  <c r="B76" i="8" l="1"/>
  <c r="K42" i="8"/>
  <c r="K56" i="7"/>
  <c r="K41" i="8"/>
  <c r="K53" i="7"/>
  <c r="D77" i="8"/>
  <c r="K101" i="7"/>
  <c r="K59" i="7"/>
  <c r="K43" i="8"/>
  <c r="D44" i="8"/>
  <c r="D17" i="10"/>
  <c r="B120" i="19"/>
  <c r="B123" i="19"/>
  <c r="B124" i="19"/>
  <c r="B121" i="19"/>
  <c r="B129" i="19" s="1"/>
  <c r="D19" i="10"/>
  <c r="B120" i="21"/>
  <c r="B123" i="21"/>
  <c r="B124" i="21"/>
  <c r="B121" i="21"/>
  <c r="B120" i="16"/>
  <c r="B124" i="16"/>
  <c r="B123" i="16"/>
  <c r="B121" i="16"/>
  <c r="B129" i="16" s="1"/>
  <c r="D18" i="10"/>
  <c r="B120" i="20"/>
  <c r="B128" i="20" s="1"/>
  <c r="B124" i="20"/>
  <c r="B121" i="20"/>
  <c r="B123" i="20"/>
  <c r="D24" i="10"/>
  <c r="B124" i="26"/>
  <c r="B123" i="26"/>
  <c r="B121" i="26"/>
  <c r="B129" i="26" s="1"/>
  <c r="B120" i="26"/>
  <c r="AX16" i="33"/>
  <c r="D33" i="12"/>
  <c r="B120" i="12"/>
  <c r="B123" i="12"/>
  <c r="B121" i="12"/>
  <c r="B124" i="12"/>
  <c r="C10" i="7"/>
  <c r="C32" i="7"/>
  <c r="B9" i="7"/>
  <c r="B31" i="7"/>
  <c r="D47" i="44"/>
  <c r="D33" i="44"/>
  <c r="D27" i="41"/>
  <c r="D47" i="41" s="1"/>
  <c r="G8" i="7"/>
  <c r="G30" i="7"/>
  <c r="I31" i="7"/>
  <c r="I9" i="7"/>
  <c r="C9" i="7"/>
  <c r="C31" i="7"/>
  <c r="G32" i="7"/>
  <c r="G10" i="7"/>
  <c r="C30" i="7"/>
  <c r="C8" i="7"/>
  <c r="B32" i="7"/>
  <c r="B10" i="7"/>
  <c r="F16" i="33"/>
  <c r="M16" i="33"/>
  <c r="D86" i="10" s="1"/>
  <c r="G31" i="7"/>
  <c r="G9" i="7"/>
  <c r="I32" i="7"/>
  <c r="I10" i="7"/>
  <c r="J30" i="7"/>
  <c r="J32" i="7"/>
  <c r="J31" i="7"/>
  <c r="J9" i="7"/>
  <c r="J8" i="7"/>
  <c r="J10" i="7"/>
  <c r="D32" i="7"/>
  <c r="D10" i="7"/>
  <c r="D30" i="7"/>
  <c r="D31" i="7"/>
  <c r="D8" i="7"/>
  <c r="D9" i="7"/>
  <c r="E8" i="7"/>
  <c r="E30" i="7"/>
  <c r="E32" i="7"/>
  <c r="E9" i="7"/>
  <c r="E31" i="7"/>
  <c r="E10" i="7"/>
  <c r="F10" i="7"/>
  <c r="F8" i="7"/>
  <c r="F32" i="7"/>
  <c r="F30" i="7"/>
  <c r="F31" i="7"/>
  <c r="F9" i="7"/>
  <c r="Q42" i="10"/>
  <c r="D33" i="43"/>
  <c r="D49" i="43"/>
  <c r="D51" i="43" s="1"/>
  <c r="D69" i="43"/>
  <c r="D71" i="43" s="1"/>
  <c r="D29" i="43"/>
  <c r="D30" i="43"/>
  <c r="D50" i="43"/>
  <c r="D52" i="43" s="1"/>
  <c r="D70" i="43"/>
  <c r="D72" i="43" s="1"/>
  <c r="D27" i="35"/>
  <c r="D47" i="35" s="1"/>
  <c r="D30" i="41"/>
  <c r="D29" i="41"/>
  <c r="D50" i="41"/>
  <c r="D52" i="41" s="1"/>
  <c r="D70" i="41"/>
  <c r="D72" i="41" s="1"/>
  <c r="D69" i="41"/>
  <c r="D71" i="41" s="1"/>
  <c r="D49" i="41"/>
  <c r="D51" i="41" s="1"/>
  <c r="D27" i="39"/>
  <c r="D47" i="39" s="1"/>
  <c r="M16" i="3"/>
  <c r="D33" i="38"/>
  <c r="D94" i="30"/>
  <c r="D218" i="30"/>
  <c r="D211" i="30"/>
  <c r="B26" i="31" s="1"/>
  <c r="J26" i="31" s="1"/>
  <c r="D169" i="30"/>
  <c r="D200" i="30"/>
  <c r="C73" i="8"/>
  <c r="D55" i="8"/>
  <c r="E56" i="8"/>
  <c r="D177" i="30"/>
  <c r="D75" i="30"/>
  <c r="D128" i="30"/>
  <c r="D159" i="30"/>
  <c r="D209" i="30"/>
  <c r="D36" i="30"/>
  <c r="D58" i="30"/>
  <c r="D129" i="30"/>
  <c r="B16" i="31" s="1"/>
  <c r="J16" i="31" s="1"/>
  <c r="D160" i="30"/>
  <c r="D220" i="30"/>
  <c r="B27" i="31" s="1"/>
  <c r="J27" i="31" s="1"/>
  <c r="F49" i="7"/>
  <c r="G56" i="8"/>
  <c r="D184" i="30"/>
  <c r="D28" i="30"/>
  <c r="D77" i="30"/>
  <c r="B10" i="31" s="1"/>
  <c r="J10" i="31" s="1"/>
  <c r="D203" i="30"/>
  <c r="B25" i="31" s="1"/>
  <c r="J25" i="31" s="1"/>
  <c r="D119" i="30"/>
  <c r="D176" i="30"/>
  <c r="F68" i="8"/>
  <c r="F88" i="8" s="1"/>
  <c r="D144" i="30"/>
  <c r="D150" i="30"/>
  <c r="D127" i="30"/>
  <c r="D186" i="30"/>
  <c r="B23" i="31" s="1"/>
  <c r="J23" i="31" s="1"/>
  <c r="D202" i="30"/>
  <c r="D161" i="30"/>
  <c r="D175" i="30"/>
  <c r="D88" i="8"/>
  <c r="E89" i="8"/>
  <c r="D24" i="30"/>
  <c r="D35" i="30"/>
  <c r="D167" i="30"/>
  <c r="D38" i="30"/>
  <c r="B5" i="31" s="1"/>
  <c r="J5" i="31" s="1"/>
  <c r="D71" i="30"/>
  <c r="B9" i="31" s="1"/>
  <c r="J9" i="31" s="1"/>
  <c r="D162" i="30"/>
  <c r="B20" i="31" s="1"/>
  <c r="J20" i="31" s="1"/>
  <c r="D170" i="30"/>
  <c r="B21" i="31" s="1"/>
  <c r="J21" i="31" s="1"/>
  <c r="E54" i="8"/>
  <c r="D120" i="30"/>
  <c r="D126" i="30"/>
  <c r="D201" i="30"/>
  <c r="J31" i="8"/>
  <c r="C76" i="8"/>
  <c r="C54" i="8"/>
  <c r="C55" i="8"/>
  <c r="J55" i="8"/>
  <c r="E87" i="8"/>
  <c r="D121" i="30"/>
  <c r="B15" i="31" s="1"/>
  <c r="J15" i="31" s="1"/>
  <c r="D178" i="30"/>
  <c r="B22" i="31" s="1"/>
  <c r="J22" i="31" s="1"/>
  <c r="D210" i="30"/>
  <c r="D168" i="30"/>
  <c r="D208" i="30"/>
  <c r="D89" i="30"/>
  <c r="B12" i="31" s="1"/>
  <c r="J12" i="31" s="1"/>
  <c r="F67" i="8"/>
  <c r="F87" i="8" s="1"/>
  <c r="G74" i="8"/>
  <c r="M63" i="5"/>
  <c r="D97" i="30"/>
  <c r="D185" i="30"/>
  <c r="D142" i="30"/>
  <c r="M21" i="3"/>
  <c r="M60" i="5"/>
  <c r="C56" i="8"/>
  <c r="I88" i="8"/>
  <c r="D89" i="8"/>
  <c r="D26" i="30"/>
  <c r="D98" i="30"/>
  <c r="B13" i="31" s="1"/>
  <c r="J13" i="31" s="1"/>
  <c r="D117" i="30"/>
  <c r="D143" i="30"/>
  <c r="D183" i="30"/>
  <c r="D195" i="30"/>
  <c r="B24" i="31" s="1"/>
  <c r="J24" i="31" s="1"/>
  <c r="D194" i="30"/>
  <c r="I55" i="8"/>
  <c r="D56" i="8"/>
  <c r="B56" i="8"/>
  <c r="C87" i="8"/>
  <c r="C88" i="8"/>
  <c r="J88" i="8"/>
  <c r="D26" i="19"/>
  <c r="D30" i="19" s="1"/>
  <c r="D32" i="19" s="1"/>
  <c r="D56" i="30"/>
  <c r="D70" i="30"/>
  <c r="D74" i="30"/>
  <c r="D81" i="30"/>
  <c r="D118" i="30"/>
  <c r="L66" i="8"/>
  <c r="D63" i="30"/>
  <c r="E88" i="8"/>
  <c r="M17" i="3"/>
  <c r="G43" i="8"/>
  <c r="L65" i="5"/>
  <c r="G55" i="8"/>
  <c r="I56" i="8"/>
  <c r="D17" i="30"/>
  <c r="B3" i="31" s="1"/>
  <c r="J3" i="31" s="1"/>
  <c r="D49" i="30"/>
  <c r="B6" i="31" s="1"/>
  <c r="J6" i="31" s="1"/>
  <c r="D65" i="30"/>
  <c r="B8" i="31" s="1"/>
  <c r="J8" i="31" s="1"/>
  <c r="D76" i="30"/>
  <c r="D83" i="30"/>
  <c r="B11" i="31" s="1"/>
  <c r="J11" i="31" s="1"/>
  <c r="D87" i="30"/>
  <c r="D137" i="30"/>
  <c r="D192" i="30"/>
  <c r="D217" i="30"/>
  <c r="D47" i="30"/>
  <c r="D135" i="30"/>
  <c r="D152" i="30"/>
  <c r="D59" i="30"/>
  <c r="B7" i="31" s="1"/>
  <c r="J7" i="31" s="1"/>
  <c r="D18" i="30"/>
  <c r="D25" i="30"/>
  <c r="D50" i="30"/>
  <c r="D57" i="30"/>
  <c r="D68" i="30"/>
  <c r="D88" i="30"/>
  <c r="D96" i="30"/>
  <c r="D193" i="30"/>
  <c r="D27" i="30"/>
  <c r="B4" i="31" s="1"/>
  <c r="J4" i="31" s="1"/>
  <c r="D215" i="30"/>
  <c r="AC14" i="31"/>
  <c r="U14" i="31"/>
  <c r="M14" i="31"/>
  <c r="H14" i="31"/>
  <c r="AH14" i="31"/>
  <c r="Z14" i="31"/>
  <c r="AE14" i="31"/>
  <c r="R14" i="31"/>
  <c r="E14" i="31"/>
  <c r="D141" i="30"/>
  <c r="D15" i="30"/>
  <c r="M79" i="8"/>
  <c r="G53" i="7"/>
  <c r="M26" i="5"/>
  <c r="J87" i="8"/>
  <c r="G50" i="7"/>
  <c r="F65" i="5"/>
  <c r="D16" i="30"/>
  <c r="D48" i="30"/>
  <c r="D64" i="30"/>
  <c r="D82" i="30"/>
  <c r="D86" i="30"/>
  <c r="D136" i="30"/>
  <c r="D153" i="30"/>
  <c r="B19" i="31" s="1"/>
  <c r="J19" i="31" s="1"/>
  <c r="G89" i="8"/>
  <c r="M20" i="3"/>
  <c r="G76" i="8"/>
  <c r="H65" i="5"/>
  <c r="L106" i="7" s="1"/>
  <c r="J54" i="8"/>
  <c r="E55" i="8"/>
  <c r="B88" i="8"/>
  <c r="G88" i="8"/>
  <c r="I89" i="8"/>
  <c r="D69" i="30"/>
  <c r="D99" i="30"/>
  <c r="D219" i="30"/>
  <c r="P14" i="31"/>
  <c r="D43" i="12"/>
  <c r="D46" i="12" s="1"/>
  <c r="D50" i="12" s="1"/>
  <c r="D52" i="12" s="1"/>
  <c r="D26" i="12"/>
  <c r="D30" i="12" s="1"/>
  <c r="M18" i="3"/>
  <c r="D116" i="30"/>
  <c r="M15" i="3"/>
  <c r="B89" i="8"/>
  <c r="C89" i="8"/>
  <c r="J89" i="8"/>
  <c r="D14" i="30"/>
  <c r="D37" i="30"/>
  <c r="D46" i="30"/>
  <c r="D62" i="30"/>
  <c r="D80" i="30"/>
  <c r="D134" i="30"/>
  <c r="D145" i="30"/>
  <c r="D151" i="30"/>
  <c r="D19" i="19"/>
  <c r="D25" i="19" s="1"/>
  <c r="D29" i="19" s="1"/>
  <c r="D66" i="20"/>
  <c r="D70" i="20" s="1"/>
  <c r="D72" i="20" s="1"/>
  <c r="D65" i="26"/>
  <c r="D69" i="26" s="1"/>
  <c r="D71" i="26" s="1"/>
  <c r="D26" i="26"/>
  <c r="D30" i="26" s="1"/>
  <c r="D32" i="26" s="1"/>
  <c r="D25" i="21"/>
  <c r="D29" i="21" s="1"/>
  <c r="A50" i="21"/>
  <c r="A52" i="21"/>
  <c r="A72" i="21"/>
  <c r="D45" i="21"/>
  <c r="D49" i="21" s="1"/>
  <c r="D51" i="21" s="1"/>
  <c r="D25" i="20"/>
  <c r="D29" i="20" s="1"/>
  <c r="D31" i="20" s="1"/>
  <c r="D65" i="20"/>
  <c r="D69" i="20" s="1"/>
  <c r="D71" i="20" s="1"/>
  <c r="D26" i="20"/>
  <c r="D30" i="20" s="1"/>
  <c r="A52" i="19"/>
  <c r="A30" i="19"/>
  <c r="A32" i="19"/>
  <c r="D46" i="19"/>
  <c r="D50" i="19" s="1"/>
  <c r="D52" i="19" s="1"/>
  <c r="D66" i="19"/>
  <c r="D70" i="19" s="1"/>
  <c r="D72" i="19" s="1"/>
  <c r="D46" i="16"/>
  <c r="D50" i="16" s="1"/>
  <c r="D52" i="16" s="1"/>
  <c r="A29" i="16"/>
  <c r="A31" i="16"/>
  <c r="A32" i="16"/>
  <c r="A49" i="16"/>
  <c r="A51" i="16"/>
  <c r="D15" i="10"/>
  <c r="D45" i="16"/>
  <c r="D49" i="16" s="1"/>
  <c r="D51" i="16" s="1"/>
  <c r="D65" i="16"/>
  <c r="D69" i="16" s="1"/>
  <c r="D71" i="16" s="1"/>
  <c r="D12" i="10"/>
  <c r="D25" i="12"/>
  <c r="D29" i="12" s="1"/>
  <c r="D31" i="12" s="1"/>
  <c r="D65" i="12"/>
  <c r="D69" i="12" s="1"/>
  <c r="D45" i="12"/>
  <c r="D34" i="30"/>
  <c r="D40" i="30" s="1"/>
  <c r="D106" i="30"/>
  <c r="D174" i="30"/>
  <c r="C4" i="30"/>
  <c r="D22" i="30"/>
  <c r="D54" i="30"/>
  <c r="D108" i="30"/>
  <c r="D157" i="30"/>
  <c r="E174" i="30"/>
  <c r="D199" i="30"/>
  <c r="D12" i="30"/>
  <c r="D44" i="30"/>
  <c r="D101" i="30"/>
  <c r="D110" i="30"/>
  <c r="E141" i="30"/>
  <c r="D111" i="30"/>
  <c r="D125" i="30"/>
  <c r="D166" i="30"/>
  <c r="D182" i="30"/>
  <c r="D207" i="30"/>
  <c r="D103" i="30"/>
  <c r="D112" i="30"/>
  <c r="E125" i="30"/>
  <c r="E166" i="30"/>
  <c r="E182" i="30"/>
  <c r="E207" i="30"/>
  <c r="D104" i="30"/>
  <c r="D113" i="30"/>
  <c r="D149" i="30"/>
  <c r="D32" i="30"/>
  <c r="D105" i="30"/>
  <c r="D133" i="30"/>
  <c r="E149" i="30"/>
  <c r="D190" i="30"/>
  <c r="H68" i="8"/>
  <c r="H103" i="7"/>
  <c r="D41" i="8"/>
  <c r="D53" i="7"/>
  <c r="I34" i="8"/>
  <c r="I61" i="7"/>
  <c r="D75" i="8"/>
  <c r="D95" i="7"/>
  <c r="H32" i="8"/>
  <c r="H55" i="7"/>
  <c r="B42" i="8"/>
  <c r="B56" i="7"/>
  <c r="L42" i="8"/>
  <c r="L56" i="7"/>
  <c r="F43" i="8"/>
  <c r="F59" i="7"/>
  <c r="L44" i="8"/>
  <c r="L62" i="7"/>
  <c r="H35" i="8"/>
  <c r="H64" i="7"/>
  <c r="H88" i="7"/>
  <c r="B73" i="8"/>
  <c r="B89" i="7"/>
  <c r="L73" i="8"/>
  <c r="L89" i="7"/>
  <c r="F74" i="8"/>
  <c r="F92" i="7"/>
  <c r="E75" i="8"/>
  <c r="E95" i="7"/>
  <c r="J66" i="8"/>
  <c r="J97" i="7"/>
  <c r="L77" i="8"/>
  <c r="L87" i="8" s="1"/>
  <c r="L101" i="7"/>
  <c r="C40" i="8"/>
  <c r="C50" i="7"/>
  <c r="H50" i="7"/>
  <c r="H33" i="8"/>
  <c r="H58" i="7"/>
  <c r="B59" i="7"/>
  <c r="B43" i="8"/>
  <c r="L43" i="8"/>
  <c r="L59" i="7"/>
  <c r="H34" i="8"/>
  <c r="H54" i="8" s="1"/>
  <c r="H61" i="7"/>
  <c r="L36" i="8"/>
  <c r="Q67" i="7"/>
  <c r="H91" i="7"/>
  <c r="H64" i="8"/>
  <c r="B74" i="8"/>
  <c r="B92" i="7"/>
  <c r="L74" i="8"/>
  <c r="L92" i="7"/>
  <c r="I67" i="8"/>
  <c r="I100" i="7"/>
  <c r="B75" i="8"/>
  <c r="B95" i="7"/>
  <c r="B30" i="8"/>
  <c r="B49" i="7"/>
  <c r="L30" i="8"/>
  <c r="L49" i="7"/>
  <c r="C42" i="8"/>
  <c r="C56" i="7"/>
  <c r="H56" i="7"/>
  <c r="H42" i="8"/>
  <c r="H21" i="5"/>
  <c r="E63" i="8"/>
  <c r="E88" i="7"/>
  <c r="H89" i="7"/>
  <c r="E40" i="8"/>
  <c r="E50" i="7"/>
  <c r="L31" i="8"/>
  <c r="L52" i="7"/>
  <c r="D42" i="8"/>
  <c r="D56" i="7"/>
  <c r="C43" i="8"/>
  <c r="C59" i="7"/>
  <c r="H43" i="8"/>
  <c r="H59" i="7"/>
  <c r="L24" i="5"/>
  <c r="H46" i="8"/>
  <c r="L68" i="7"/>
  <c r="C74" i="8"/>
  <c r="C92" i="7"/>
  <c r="H74" i="8"/>
  <c r="H92" i="7"/>
  <c r="E66" i="8"/>
  <c r="E97" i="7"/>
  <c r="H41" i="8"/>
  <c r="H53" i="7"/>
  <c r="L64" i="7"/>
  <c r="L35" i="8"/>
  <c r="H65" i="8"/>
  <c r="H94" i="7"/>
  <c r="M8" i="3"/>
  <c r="F50" i="7"/>
  <c r="F40" i="8"/>
  <c r="E53" i="7"/>
  <c r="E41" i="8"/>
  <c r="D43" i="8"/>
  <c r="D59" i="7"/>
  <c r="L21" i="5"/>
  <c r="H45" i="8"/>
  <c r="H65" i="7"/>
  <c r="H75" i="8"/>
  <c r="H95" i="7"/>
  <c r="H76" i="8"/>
  <c r="H98" i="7"/>
  <c r="H78" i="8"/>
  <c r="L107" i="7"/>
  <c r="H104" i="7"/>
  <c r="D27" i="19"/>
  <c r="C41" i="8"/>
  <c r="C53" i="7"/>
  <c r="B34" i="8"/>
  <c r="B54" i="8" s="1"/>
  <c r="B61" i="7"/>
  <c r="B60" i="7" s="1"/>
  <c r="B40" i="8"/>
  <c r="B50" i="7"/>
  <c r="L50" i="7"/>
  <c r="L40" i="8"/>
  <c r="F41" i="8"/>
  <c r="F53" i="7"/>
  <c r="E42" i="8"/>
  <c r="E56" i="7"/>
  <c r="I44" i="8"/>
  <c r="I62" i="7"/>
  <c r="F25" i="5"/>
  <c r="L46" i="8"/>
  <c r="Q68" i="7"/>
  <c r="E73" i="8"/>
  <c r="E89" i="7"/>
  <c r="B41" i="8"/>
  <c r="B53" i="7"/>
  <c r="L41" i="8"/>
  <c r="L53" i="7"/>
  <c r="F42" i="8"/>
  <c r="F56" i="7"/>
  <c r="E43" i="8"/>
  <c r="E59" i="7"/>
  <c r="F22" i="5"/>
  <c r="L45" i="8"/>
  <c r="L65" i="7"/>
  <c r="H25" i="5"/>
  <c r="F89" i="7"/>
  <c r="F73" i="8"/>
  <c r="E74" i="8"/>
  <c r="E92" i="7"/>
  <c r="L78" i="8"/>
  <c r="L104" i="7"/>
  <c r="Q107" i="7"/>
  <c r="D27" i="21"/>
  <c r="L100" i="7"/>
  <c r="F75" i="8"/>
  <c r="F95" i="7"/>
  <c r="E76" i="8"/>
  <c r="E98" i="7"/>
  <c r="H67" i="8"/>
  <c r="H87" i="8" s="1"/>
  <c r="H100" i="7"/>
  <c r="H99" i="7" s="1"/>
  <c r="H41" i="7" s="1"/>
  <c r="F76" i="8"/>
  <c r="F98" i="7"/>
  <c r="B67" i="8"/>
  <c r="B100" i="7"/>
  <c r="B99" i="7" s="1"/>
  <c r="L95" i="7"/>
  <c r="L76" i="8"/>
  <c r="L98" i="7"/>
  <c r="D27" i="20"/>
  <c r="D47" i="26"/>
  <c r="D33" i="26"/>
  <c r="I77" i="8"/>
  <c r="I101" i="7"/>
  <c r="D33" i="16"/>
  <c r="D47" i="16"/>
  <c r="L97" i="7"/>
  <c r="D62" i="19"/>
  <c r="D65" i="19" s="1"/>
  <c r="D69" i="19" s="1"/>
  <c r="D71" i="19" s="1"/>
  <c r="D45" i="19"/>
  <c r="D49" i="19" s="1"/>
  <c r="D51" i="19" s="1"/>
  <c r="B98" i="7"/>
  <c r="J56" i="8"/>
  <c r="B55" i="8"/>
  <c r="A29" i="12"/>
  <c r="A31" i="12"/>
  <c r="A50" i="16"/>
  <c r="A72" i="16"/>
  <c r="A71" i="19"/>
  <c r="A51" i="19"/>
  <c r="A32" i="20"/>
  <c r="A30" i="20"/>
  <c r="A50" i="20"/>
  <c r="A52" i="20"/>
  <c r="A72" i="20"/>
  <c r="A51" i="21"/>
  <c r="A71" i="21"/>
  <c r="A49" i="21"/>
  <c r="A30" i="12"/>
  <c r="A29" i="19"/>
  <c r="A72" i="19"/>
  <c r="A29" i="20"/>
  <c r="A31" i="20"/>
  <c r="D63" i="21"/>
  <c r="D66" i="21" s="1"/>
  <c r="D70" i="21" s="1"/>
  <c r="D72" i="21" s="1"/>
  <c r="D46" i="21"/>
  <c r="D50" i="21" s="1"/>
  <c r="D52" i="21" s="1"/>
  <c r="A29" i="26"/>
  <c r="A31" i="26"/>
  <c r="A49" i="19"/>
  <c r="A29" i="21"/>
  <c r="A31" i="21"/>
  <c r="D26" i="16"/>
  <c r="D30" i="16" s="1"/>
  <c r="D66" i="16"/>
  <c r="D70" i="16" s="1"/>
  <c r="D72" i="16" s="1"/>
  <c r="A71" i="20"/>
  <c r="A51" i="20"/>
  <c r="D19" i="16"/>
  <c r="D26" i="21"/>
  <c r="D30" i="21" s="1"/>
  <c r="D39" i="20"/>
  <c r="D46" i="20"/>
  <c r="D50" i="20" s="1"/>
  <c r="D52" i="20" s="1"/>
  <c r="D65" i="21"/>
  <c r="D69" i="21" s="1"/>
  <c r="D71" i="21" s="1"/>
  <c r="A52" i="26"/>
  <c r="A72" i="26"/>
  <c r="D25" i="26"/>
  <c r="D29" i="26" s="1"/>
  <c r="D45" i="26"/>
  <c r="D49" i="26" s="1"/>
  <c r="D51" i="26" s="1"/>
  <c r="A30" i="21"/>
  <c r="A30" i="26"/>
  <c r="A32" i="26"/>
  <c r="D66" i="26"/>
  <c r="D70" i="26" s="1"/>
  <c r="D72" i="26" s="1"/>
  <c r="D46" i="26"/>
  <c r="D50" i="26" s="1"/>
  <c r="D52" i="26" s="1"/>
  <c r="B52" i="7" l="1"/>
  <c r="D74" i="8"/>
  <c r="K92" i="7"/>
  <c r="D50" i="7"/>
  <c r="D52" i="7"/>
  <c r="D51" i="7" s="1"/>
  <c r="D5" i="7" s="1"/>
  <c r="D67" i="8"/>
  <c r="D87" i="8" s="1"/>
  <c r="D98" i="7"/>
  <c r="K98" i="7"/>
  <c r="D55" i="7"/>
  <c r="D65" i="8"/>
  <c r="D34" i="8"/>
  <c r="D54" i="8" s="1"/>
  <c r="K62" i="7"/>
  <c r="K44" i="8"/>
  <c r="M44" i="8" s="1"/>
  <c r="D89" i="7"/>
  <c r="K89" i="7"/>
  <c r="B128" i="21"/>
  <c r="B129" i="20"/>
  <c r="E102" i="10" s="1"/>
  <c r="B129" i="21"/>
  <c r="B128" i="16"/>
  <c r="E99" i="10" s="1"/>
  <c r="B128" i="19"/>
  <c r="E101" i="10" s="1"/>
  <c r="B128" i="26"/>
  <c r="E108" i="10" s="1"/>
  <c r="B128" i="12"/>
  <c r="E96" i="10" s="1"/>
  <c r="B129" i="12"/>
  <c r="D34" i="44"/>
  <c r="D67" i="44"/>
  <c r="D73" i="44" s="1"/>
  <c r="D53" i="44"/>
  <c r="D54" i="44" s="1"/>
  <c r="AH16" i="33"/>
  <c r="I60" i="7"/>
  <c r="I8" i="7" s="1"/>
  <c r="B41" i="7"/>
  <c r="B30" i="7"/>
  <c r="H60" i="7"/>
  <c r="H8" i="7" s="1"/>
  <c r="H30" i="7"/>
  <c r="D45" i="20"/>
  <c r="D49" i="20" s="1"/>
  <c r="D51" i="20" s="1"/>
  <c r="D49" i="12"/>
  <c r="D51" i="12" s="1"/>
  <c r="D25" i="16"/>
  <c r="D29" i="16" s="1"/>
  <c r="D85" i="16" s="1"/>
  <c r="R42" i="10"/>
  <c r="B19" i="7"/>
  <c r="B8" i="7"/>
  <c r="D32" i="43"/>
  <c r="D86" i="43"/>
  <c r="D78" i="43"/>
  <c r="D80" i="43" s="1"/>
  <c r="D85" i="43"/>
  <c r="D77" i="43"/>
  <c r="D79" i="43" s="1"/>
  <c r="D31" i="43"/>
  <c r="D53" i="43"/>
  <c r="D81" i="43" s="1"/>
  <c r="D67" i="43"/>
  <c r="D73" i="43" s="1"/>
  <c r="D89" i="43" s="1"/>
  <c r="D85" i="41"/>
  <c r="D77" i="41"/>
  <c r="D79" i="41" s="1"/>
  <c r="D31" i="41"/>
  <c r="D32" i="41"/>
  <c r="D78" i="41"/>
  <c r="D80" i="41" s="1"/>
  <c r="D86" i="41"/>
  <c r="D33" i="41"/>
  <c r="D67" i="39"/>
  <c r="E91" i="7"/>
  <c r="E90" i="7" s="1"/>
  <c r="E27" i="7" s="1"/>
  <c r="D53" i="38"/>
  <c r="D54" i="38" s="1"/>
  <c r="D67" i="38"/>
  <c r="D73" i="38" s="1"/>
  <c r="D74" i="38" s="1"/>
  <c r="G67" i="8"/>
  <c r="G87" i="8" s="1"/>
  <c r="D34" i="38"/>
  <c r="C24" i="31"/>
  <c r="M24" i="31" s="1"/>
  <c r="C23" i="31"/>
  <c r="M23" i="31" s="1"/>
  <c r="AC21" i="31"/>
  <c r="E26" i="31"/>
  <c r="H26" i="31"/>
  <c r="Z20" i="31"/>
  <c r="U27" i="31"/>
  <c r="C16" i="31"/>
  <c r="M16" i="31" s="1"/>
  <c r="P22" i="31"/>
  <c r="W15" i="31"/>
  <c r="AC26" i="31"/>
  <c r="C12" i="31"/>
  <c r="M12" i="31" s="1"/>
  <c r="E13" i="31"/>
  <c r="AC9" i="31"/>
  <c r="H10" i="31"/>
  <c r="C5" i="31"/>
  <c r="M5" i="31" s="1"/>
  <c r="U26" i="31"/>
  <c r="P26" i="31"/>
  <c r="R26" i="31"/>
  <c r="AE26" i="31"/>
  <c r="Z26" i="31"/>
  <c r="AH26" i="31"/>
  <c r="C26" i="31"/>
  <c r="M26" i="31" s="1"/>
  <c r="W26" i="31"/>
  <c r="E32" i="8"/>
  <c r="E52" i="8" s="1"/>
  <c r="C89" i="7"/>
  <c r="I58" i="7"/>
  <c r="D76" i="8"/>
  <c r="D73" i="8"/>
  <c r="H24" i="31"/>
  <c r="B97" i="7"/>
  <c r="B96" i="7" s="1"/>
  <c r="B29" i="7" s="1"/>
  <c r="E33" i="8"/>
  <c r="E53" i="8" s="1"/>
  <c r="AE24" i="31"/>
  <c r="E58" i="7"/>
  <c r="E57" i="7" s="1"/>
  <c r="E7" i="7" s="1"/>
  <c r="B66" i="8"/>
  <c r="B86" i="8" s="1"/>
  <c r="R23" i="31"/>
  <c r="J58" i="7"/>
  <c r="E64" i="8"/>
  <c r="E84" i="8" s="1"/>
  <c r="AH24" i="31"/>
  <c r="F52" i="7"/>
  <c r="F51" i="7" s="1"/>
  <c r="F5" i="7" s="1"/>
  <c r="E24" i="31"/>
  <c r="AC16" i="31"/>
  <c r="AC22" i="31"/>
  <c r="F31" i="8"/>
  <c r="F51" i="8" s="1"/>
  <c r="P16" i="31"/>
  <c r="H16" i="31"/>
  <c r="W16" i="31"/>
  <c r="R22" i="31"/>
  <c r="P24" i="31"/>
  <c r="P15" i="31"/>
  <c r="E16" i="31"/>
  <c r="H15" i="31"/>
  <c r="AE16" i="31"/>
  <c r="AE15" i="31"/>
  <c r="C98" i="7"/>
  <c r="F88" i="7"/>
  <c r="F87" i="7" s="1"/>
  <c r="F26" i="7" s="1"/>
  <c r="P23" i="31"/>
  <c r="M66" i="5"/>
  <c r="C15" i="31"/>
  <c r="M15" i="31" s="1"/>
  <c r="E15" i="31"/>
  <c r="E55" i="7"/>
  <c r="E54" i="7" s="1"/>
  <c r="E6" i="7" s="1"/>
  <c r="Z23" i="31"/>
  <c r="Z21" i="31"/>
  <c r="AE23" i="31"/>
  <c r="AH23" i="31"/>
  <c r="Q106" i="7"/>
  <c r="L105" i="7" s="1"/>
  <c r="L32" i="7" s="1"/>
  <c r="AC23" i="31"/>
  <c r="F30" i="8"/>
  <c r="F50" i="8" s="1"/>
  <c r="U5" i="31"/>
  <c r="C91" i="7"/>
  <c r="C90" i="7" s="1"/>
  <c r="C27" i="7" s="1"/>
  <c r="H12" i="31"/>
  <c r="C52" i="7"/>
  <c r="C51" i="7" s="1"/>
  <c r="C5" i="7" s="1"/>
  <c r="R27" i="31"/>
  <c r="C27" i="31"/>
  <c r="M27" i="31" s="1"/>
  <c r="P12" i="31"/>
  <c r="W10" i="31"/>
  <c r="R25" i="31"/>
  <c r="Z10" i="31"/>
  <c r="F94" i="7"/>
  <c r="F93" i="7" s="1"/>
  <c r="F28" i="7" s="1"/>
  <c r="E30" i="8"/>
  <c r="E50" i="8" s="1"/>
  <c r="C88" i="7"/>
  <c r="AE10" i="31"/>
  <c r="E25" i="31"/>
  <c r="W20" i="31"/>
  <c r="AC20" i="31"/>
  <c r="P10" i="31"/>
  <c r="F97" i="7"/>
  <c r="F96" i="7" s="1"/>
  <c r="F29" i="7" s="1"/>
  <c r="D92" i="7"/>
  <c r="I63" i="8"/>
  <c r="C63" i="8"/>
  <c r="C83" i="8" s="1"/>
  <c r="H5" i="31"/>
  <c r="U20" i="31"/>
  <c r="AC10" i="31"/>
  <c r="U16" i="31"/>
  <c r="U22" i="31"/>
  <c r="AC25" i="31"/>
  <c r="C64" i="8"/>
  <c r="C84" i="8" s="1"/>
  <c r="M46" i="8"/>
  <c r="W5" i="31"/>
  <c r="R16" i="31"/>
  <c r="E49" i="7"/>
  <c r="E48" i="7" s="1"/>
  <c r="E4" i="7" s="1"/>
  <c r="AE20" i="31"/>
  <c r="Z9" i="31"/>
  <c r="E27" i="31"/>
  <c r="AH16" i="31"/>
  <c r="W13" i="31"/>
  <c r="AE22" i="31"/>
  <c r="F66" i="8"/>
  <c r="F86" i="8" s="1"/>
  <c r="M77" i="8"/>
  <c r="AH5" i="31"/>
  <c r="D63" i="12"/>
  <c r="D66" i="12" s="1"/>
  <c r="D70" i="12" s="1"/>
  <c r="D72" i="12" s="1"/>
  <c r="M107" i="7"/>
  <c r="L69" i="8"/>
  <c r="L89" i="8" s="1"/>
  <c r="H69" i="8"/>
  <c r="H89" i="8" s="1"/>
  <c r="F63" i="8"/>
  <c r="F83" i="8" s="1"/>
  <c r="E31" i="8"/>
  <c r="E51" i="8" s="1"/>
  <c r="AC5" i="31"/>
  <c r="E20" i="31"/>
  <c r="R9" i="31"/>
  <c r="E23" i="31"/>
  <c r="U23" i="31"/>
  <c r="R10" i="31"/>
  <c r="AE27" i="31"/>
  <c r="W24" i="31"/>
  <c r="Z16" i="31"/>
  <c r="C25" i="31"/>
  <c r="M25" i="31" s="1"/>
  <c r="D40" i="8"/>
  <c r="I30" i="8"/>
  <c r="E12" i="31"/>
  <c r="AH9" i="31"/>
  <c r="P13" i="31"/>
  <c r="P25" i="31"/>
  <c r="P21" i="31"/>
  <c r="L86" i="8"/>
  <c r="F65" i="8"/>
  <c r="F85" i="8" s="1"/>
  <c r="F32" i="8"/>
  <c r="F52" i="8" s="1"/>
  <c r="Z25" i="31"/>
  <c r="I65" i="8"/>
  <c r="F55" i="7"/>
  <c r="F54" i="7" s="1"/>
  <c r="F6" i="7" s="1"/>
  <c r="G59" i="7"/>
  <c r="D32" i="8"/>
  <c r="D52" i="8" s="1"/>
  <c r="W25" i="31"/>
  <c r="L99" i="7"/>
  <c r="L30" i="7" s="1"/>
  <c r="I32" i="8"/>
  <c r="Z12" i="31"/>
  <c r="C21" i="31"/>
  <c r="M21" i="31" s="1"/>
  <c r="J64" i="8"/>
  <c r="E52" i="7"/>
  <c r="E51" i="7" s="1"/>
  <c r="E5" i="7" s="1"/>
  <c r="Z5" i="31"/>
  <c r="AE5" i="31"/>
  <c r="AE12" i="31"/>
  <c r="R20" i="31"/>
  <c r="E9" i="31"/>
  <c r="U9" i="31"/>
  <c r="E10" i="31"/>
  <c r="U10" i="31"/>
  <c r="AH27" i="31"/>
  <c r="U13" i="31"/>
  <c r="H25" i="31"/>
  <c r="U21" i="31"/>
  <c r="E5" i="31"/>
  <c r="W12" i="31"/>
  <c r="P20" i="31"/>
  <c r="P9" i="31"/>
  <c r="AE9" i="31"/>
  <c r="H27" i="31"/>
  <c r="P27" i="31"/>
  <c r="AH13" i="31"/>
  <c r="AH25" i="31"/>
  <c r="U25" i="31"/>
  <c r="R21" i="31"/>
  <c r="M17" i="5"/>
  <c r="D94" i="7"/>
  <c r="D93" i="7" s="1"/>
  <c r="D28" i="7" s="1"/>
  <c r="J52" i="7"/>
  <c r="AH12" i="31"/>
  <c r="AH20" i="31"/>
  <c r="H9" i="31"/>
  <c r="W9" i="31"/>
  <c r="AH10" i="31"/>
  <c r="W27" i="31"/>
  <c r="AC27" i="31"/>
  <c r="H13" i="31"/>
  <c r="AE25" i="31"/>
  <c r="AH21" i="31"/>
  <c r="M78" i="8"/>
  <c r="C9" i="31"/>
  <c r="M9" i="31" s="1"/>
  <c r="R5" i="31"/>
  <c r="C10" i="31"/>
  <c r="M10" i="31" s="1"/>
  <c r="R12" i="31"/>
  <c r="H20" i="31"/>
  <c r="Z27" i="31"/>
  <c r="AC13" i="31"/>
  <c r="W23" i="31"/>
  <c r="Z13" i="31"/>
  <c r="E21" i="31"/>
  <c r="W21" i="31"/>
  <c r="AC12" i="31"/>
  <c r="R13" i="31"/>
  <c r="H21" i="31"/>
  <c r="P5" i="31"/>
  <c r="U12" i="31"/>
  <c r="C20" i="31"/>
  <c r="M20" i="31" s="1"/>
  <c r="C13" i="31"/>
  <c r="M13" i="31" s="1"/>
  <c r="H23" i="31"/>
  <c r="AE13" i="31"/>
  <c r="AE21" i="31"/>
  <c r="L94" i="7"/>
  <c r="L93" i="7" s="1"/>
  <c r="L28" i="7" s="1"/>
  <c r="G92" i="7"/>
  <c r="G41" i="8"/>
  <c r="AC24" i="31"/>
  <c r="H22" i="31"/>
  <c r="R15" i="31"/>
  <c r="Z15" i="31"/>
  <c r="H85" i="8"/>
  <c r="L65" i="8"/>
  <c r="L85" i="8" s="1"/>
  <c r="R24" i="31"/>
  <c r="U24" i="31"/>
  <c r="C22" i="31"/>
  <c r="M22" i="31" s="1"/>
  <c r="Z22" i="31"/>
  <c r="AH15" i="31"/>
  <c r="AC15" i="31"/>
  <c r="G98" i="7"/>
  <c r="I91" i="7"/>
  <c r="Z24" i="31"/>
  <c r="E22" i="31"/>
  <c r="AH22" i="31"/>
  <c r="U15" i="31"/>
  <c r="M68" i="7"/>
  <c r="W22" i="31"/>
  <c r="D31" i="8"/>
  <c r="D51" i="8" s="1"/>
  <c r="M4" i="8"/>
  <c r="M23" i="8"/>
  <c r="D54" i="7"/>
  <c r="D6" i="7" s="1"/>
  <c r="U6" i="31"/>
  <c r="AC6" i="31"/>
  <c r="H6" i="31"/>
  <c r="E6" i="31"/>
  <c r="W6" i="31"/>
  <c r="R6" i="31"/>
  <c r="AH6" i="31"/>
  <c r="Z6" i="31"/>
  <c r="P6" i="31"/>
  <c r="AE6" i="31"/>
  <c r="C6" i="31"/>
  <c r="M6" i="31" s="1"/>
  <c r="AC3" i="31"/>
  <c r="P3" i="31"/>
  <c r="W3" i="31"/>
  <c r="E3" i="31"/>
  <c r="U3" i="31"/>
  <c r="R3" i="31"/>
  <c r="H3" i="31"/>
  <c r="AE3" i="31"/>
  <c r="Z3" i="31"/>
  <c r="C3" i="31"/>
  <c r="M3" i="31" s="1"/>
  <c r="M19" i="8"/>
  <c r="U19" i="31"/>
  <c r="AC19" i="31"/>
  <c r="W19" i="31"/>
  <c r="R19" i="31"/>
  <c r="P19" i="31"/>
  <c r="AE19" i="31"/>
  <c r="Z19" i="31"/>
  <c r="AH19" i="31"/>
  <c r="H19" i="31"/>
  <c r="E19" i="31"/>
  <c r="C19" i="31"/>
  <c r="M19" i="31" s="1"/>
  <c r="F69" i="8"/>
  <c r="M54" i="5"/>
  <c r="M6" i="8"/>
  <c r="G97" i="7"/>
  <c r="U7" i="31"/>
  <c r="AC7" i="31"/>
  <c r="AE7" i="31"/>
  <c r="W7" i="31"/>
  <c r="E7" i="31"/>
  <c r="Z7" i="31"/>
  <c r="H7" i="31"/>
  <c r="AH7" i="31"/>
  <c r="R7" i="31"/>
  <c r="P7" i="31"/>
  <c r="C7" i="31"/>
  <c r="M7" i="31" s="1"/>
  <c r="U11" i="31"/>
  <c r="AC11" i="31"/>
  <c r="Z11" i="31"/>
  <c r="AE11" i="31"/>
  <c r="H11" i="31"/>
  <c r="E11" i="31"/>
  <c r="R11" i="31"/>
  <c r="P11" i="31"/>
  <c r="AH11" i="31"/>
  <c r="W11" i="31"/>
  <c r="C11" i="31"/>
  <c r="M11" i="31" s="1"/>
  <c r="B17" i="31"/>
  <c r="J17" i="31" s="1"/>
  <c r="J28" i="31" s="1"/>
  <c r="J29" i="31" s="1"/>
  <c r="B65" i="31" s="1"/>
  <c r="B18" i="31"/>
  <c r="J18" i="31" s="1"/>
  <c r="G31" i="8"/>
  <c r="B31" i="8"/>
  <c r="B51" i="8" s="1"/>
  <c r="M8" i="5"/>
  <c r="I97" i="7"/>
  <c r="U4" i="31"/>
  <c r="AC4" i="31"/>
  <c r="E4" i="31"/>
  <c r="AH4" i="31"/>
  <c r="R4" i="31"/>
  <c r="W4" i="31"/>
  <c r="AE4" i="31"/>
  <c r="Z4" i="31"/>
  <c r="H4" i="31"/>
  <c r="C4" i="31"/>
  <c r="M4" i="31" s="1"/>
  <c r="P4" i="31"/>
  <c r="U8" i="31"/>
  <c r="AC8" i="31"/>
  <c r="AH8" i="31"/>
  <c r="E8" i="31"/>
  <c r="AE8" i="31"/>
  <c r="R8" i="31"/>
  <c r="Z8" i="31"/>
  <c r="P8" i="31"/>
  <c r="W8" i="31"/>
  <c r="H8" i="31"/>
  <c r="C8" i="31"/>
  <c r="M8" i="31" s="1"/>
  <c r="D86" i="26"/>
  <c r="D88" i="26" s="1"/>
  <c r="D78" i="19"/>
  <c r="D80" i="19" s="1"/>
  <c r="D86" i="19"/>
  <c r="D88" i="19" s="1"/>
  <c r="D71" i="12"/>
  <c r="D85" i="12"/>
  <c r="D87" i="12" s="1"/>
  <c r="D32" i="12"/>
  <c r="D78" i="12"/>
  <c r="D80" i="12" s="1"/>
  <c r="M22" i="8"/>
  <c r="B33" i="8"/>
  <c r="B53" i="8" s="1"/>
  <c r="B58" i="7"/>
  <c r="B57" i="7" s="1"/>
  <c r="B7" i="7" s="1"/>
  <c r="D47" i="19"/>
  <c r="D33" i="19"/>
  <c r="I42" i="8"/>
  <c r="I56" i="7"/>
  <c r="J41" i="8"/>
  <c r="J51" i="8" s="1"/>
  <c r="J53" i="7"/>
  <c r="I41" i="8"/>
  <c r="I53" i="7"/>
  <c r="J40" i="8"/>
  <c r="J50" i="7"/>
  <c r="E87" i="7"/>
  <c r="E26" i="7" s="1"/>
  <c r="I99" i="7"/>
  <c r="I30" i="7" s="1"/>
  <c r="H84" i="8"/>
  <c r="G56" i="7"/>
  <c r="G42" i="8"/>
  <c r="J49" i="7"/>
  <c r="J30" i="8"/>
  <c r="H87" i="7"/>
  <c r="H54" i="7"/>
  <c r="H6" i="7" s="1"/>
  <c r="D85" i="21"/>
  <c r="D77" i="21"/>
  <c r="D31" i="21"/>
  <c r="D67" i="26"/>
  <c r="D73" i="26" s="1"/>
  <c r="D89" i="26" s="1"/>
  <c r="D53" i="26"/>
  <c r="D81" i="26" s="1"/>
  <c r="B87" i="8"/>
  <c r="I76" i="8"/>
  <c r="I98" i="7"/>
  <c r="G34" i="8"/>
  <c r="G54" i="8" s="1"/>
  <c r="L64" i="8"/>
  <c r="L84" i="8" s="1"/>
  <c r="L91" i="7"/>
  <c r="L90" i="7" s="1"/>
  <c r="L27" i="7" s="1"/>
  <c r="F34" i="8"/>
  <c r="F54" i="8" s="1"/>
  <c r="M19" i="5"/>
  <c r="M17" i="8"/>
  <c r="E83" i="8"/>
  <c r="L48" i="7"/>
  <c r="L4" i="7" s="1"/>
  <c r="I87" i="8"/>
  <c r="H90" i="7"/>
  <c r="H27" i="7" s="1"/>
  <c r="H52" i="8"/>
  <c r="J63" i="8"/>
  <c r="J88" i="7"/>
  <c r="L67" i="7"/>
  <c r="H66" i="7" s="1"/>
  <c r="H10" i="7" s="1"/>
  <c r="H36" i="8"/>
  <c r="H56" i="8" s="1"/>
  <c r="H24" i="5"/>
  <c r="M7" i="8"/>
  <c r="L63" i="8"/>
  <c r="L83" i="8" s="1"/>
  <c r="L88" i="7"/>
  <c r="L87" i="7" s="1"/>
  <c r="L26" i="7" s="1"/>
  <c r="L50" i="8"/>
  <c r="M18" i="8"/>
  <c r="L66" i="7"/>
  <c r="L10" i="7" s="1"/>
  <c r="M10" i="8"/>
  <c r="D33" i="20"/>
  <c r="D47" i="20"/>
  <c r="L68" i="8"/>
  <c r="L88" i="8" s="1"/>
  <c r="L103" i="7"/>
  <c r="L102" i="7" s="1"/>
  <c r="L31" i="7" s="1"/>
  <c r="B65" i="8"/>
  <c r="B85" i="8" s="1"/>
  <c r="B94" i="7"/>
  <c r="B93" i="7" s="1"/>
  <c r="B28" i="7" s="1"/>
  <c r="J59" i="7"/>
  <c r="J43" i="8"/>
  <c r="M14" i="5"/>
  <c r="B64" i="8"/>
  <c r="B84" i="8" s="1"/>
  <c r="B91" i="7"/>
  <c r="B90" i="7" s="1"/>
  <c r="B27" i="7" s="1"/>
  <c r="I43" i="8"/>
  <c r="I59" i="7"/>
  <c r="J42" i="8"/>
  <c r="J56" i="7"/>
  <c r="H49" i="7"/>
  <c r="H48" i="7" s="1"/>
  <c r="L55" i="7"/>
  <c r="L54" i="7" s="1"/>
  <c r="L6" i="7" s="1"/>
  <c r="L32" i="8"/>
  <c r="L52" i="8" s="1"/>
  <c r="M20" i="8"/>
  <c r="E96" i="7"/>
  <c r="E29" i="7" s="1"/>
  <c r="L51" i="7"/>
  <c r="L5" i="7" s="1"/>
  <c r="M5" i="8"/>
  <c r="L56" i="8"/>
  <c r="J75" i="8"/>
  <c r="J95" i="7"/>
  <c r="I54" i="8"/>
  <c r="D33" i="21"/>
  <c r="D47" i="21"/>
  <c r="H66" i="8"/>
  <c r="H86" i="8" s="1"/>
  <c r="H97" i="7"/>
  <c r="H96" i="7" s="1"/>
  <c r="H29" i="7" s="1"/>
  <c r="C75" i="8"/>
  <c r="C95" i="7"/>
  <c r="F64" i="8"/>
  <c r="F84" i="8" s="1"/>
  <c r="F91" i="7"/>
  <c r="F90" i="7" s="1"/>
  <c r="F27" i="7" s="1"/>
  <c r="B63" i="8"/>
  <c r="B83" i="8" s="1"/>
  <c r="B88" i="7"/>
  <c r="B87" i="7" s="1"/>
  <c r="L55" i="8"/>
  <c r="L51" i="8"/>
  <c r="B48" i="7"/>
  <c r="G89" i="7"/>
  <c r="M20" i="5"/>
  <c r="H57" i="7"/>
  <c r="H7" i="7" s="1"/>
  <c r="H63" i="7"/>
  <c r="H9" i="7" s="1"/>
  <c r="M9" i="8"/>
  <c r="I73" i="8"/>
  <c r="I89" i="7"/>
  <c r="G75" i="8"/>
  <c r="G95" i="7"/>
  <c r="D77" i="26"/>
  <c r="D85" i="26"/>
  <c r="D31" i="26"/>
  <c r="D34" i="26" s="1"/>
  <c r="D32" i="16"/>
  <c r="D78" i="16"/>
  <c r="D80" i="16" s="1"/>
  <c r="D86" i="16"/>
  <c r="I75" i="8"/>
  <c r="I95" i="7"/>
  <c r="H52" i="7"/>
  <c r="H51" i="7" s="1"/>
  <c r="H5" i="7" s="1"/>
  <c r="H31" i="8"/>
  <c r="H51" i="8" s="1"/>
  <c r="D85" i="20"/>
  <c r="D85" i="19"/>
  <c r="D77" i="19"/>
  <c r="D79" i="19" s="1"/>
  <c r="D31" i="19"/>
  <c r="L96" i="7"/>
  <c r="L29" i="7" s="1"/>
  <c r="M57" i="5"/>
  <c r="D47" i="12"/>
  <c r="J74" i="8"/>
  <c r="J92" i="7"/>
  <c r="M48" i="5"/>
  <c r="F35" i="8"/>
  <c r="F21" i="5"/>
  <c r="M22" i="5"/>
  <c r="F36" i="8"/>
  <c r="F24" i="5"/>
  <c r="M25" i="5"/>
  <c r="E65" i="8"/>
  <c r="E85" i="8" s="1"/>
  <c r="E94" i="7"/>
  <c r="E93" i="7" s="1"/>
  <c r="E28" i="7" s="1"/>
  <c r="L34" i="8"/>
  <c r="L54" i="8" s="1"/>
  <c r="L61" i="7"/>
  <c r="L60" i="7" s="1"/>
  <c r="L8" i="7" s="1"/>
  <c r="F33" i="8"/>
  <c r="F53" i="8" s="1"/>
  <c r="F58" i="7"/>
  <c r="F57" i="7" s="1"/>
  <c r="F7" i="7" s="1"/>
  <c r="B55" i="7"/>
  <c r="B54" i="7" s="1"/>
  <c r="B6" i="7" s="1"/>
  <c r="B32" i="8"/>
  <c r="B52" i="8" s="1"/>
  <c r="L63" i="7"/>
  <c r="L9" i="7" s="1"/>
  <c r="C66" i="8"/>
  <c r="C86" i="8" s="1"/>
  <c r="C97" i="7"/>
  <c r="B50" i="8"/>
  <c r="H53" i="8"/>
  <c r="H55" i="8"/>
  <c r="M11" i="5"/>
  <c r="H102" i="7"/>
  <c r="H31" i="7" s="1"/>
  <c r="D32" i="21"/>
  <c r="D78" i="21"/>
  <c r="D80" i="21" s="1"/>
  <c r="D86" i="21"/>
  <c r="D78" i="26"/>
  <c r="D80" i="26" s="1"/>
  <c r="D32" i="20"/>
  <c r="D78" i="20"/>
  <c r="D80" i="20" s="1"/>
  <c r="D86" i="20"/>
  <c r="D53" i="16"/>
  <c r="D54" i="16" s="1"/>
  <c r="D67" i="16"/>
  <c r="D73" i="16" s="1"/>
  <c r="J98" i="7"/>
  <c r="J96" i="7" s="1"/>
  <c r="J29" i="7" s="1"/>
  <c r="J76" i="8"/>
  <c r="J86" i="8" s="1"/>
  <c r="I74" i="8"/>
  <c r="I92" i="7"/>
  <c r="J89" i="7"/>
  <c r="J73" i="8"/>
  <c r="M45" i="8"/>
  <c r="M23" i="5"/>
  <c r="L33" i="8"/>
  <c r="L53" i="8" s="1"/>
  <c r="L58" i="7"/>
  <c r="L57" i="7" s="1"/>
  <c r="L7" i="7" s="1"/>
  <c r="H93" i="7"/>
  <c r="H28" i="7" s="1"/>
  <c r="F48" i="7"/>
  <c r="F4" i="7" s="1"/>
  <c r="H105" i="7"/>
  <c r="H32" i="7" s="1"/>
  <c r="E86" i="8"/>
  <c r="B51" i="7"/>
  <c r="B5" i="7" s="1"/>
  <c r="I40" i="8"/>
  <c r="I50" i="7"/>
  <c r="D85" i="8"/>
  <c r="H88" i="8"/>
  <c r="M51" i="5" l="1"/>
  <c r="D30" i="8"/>
  <c r="K67" i="8"/>
  <c r="K87" i="8" s="1"/>
  <c r="M87" i="8" s="1"/>
  <c r="K100" i="7"/>
  <c r="K99" i="7" s="1"/>
  <c r="M58" i="5"/>
  <c r="K66" i="8"/>
  <c r="K86" i="8" s="1"/>
  <c r="K97" i="7"/>
  <c r="K96" i="7" s="1"/>
  <c r="K94" i="7"/>
  <c r="K93" i="7" s="1"/>
  <c r="K65" i="8"/>
  <c r="K85" i="8" s="1"/>
  <c r="K31" i="8"/>
  <c r="K51" i="8" s="1"/>
  <c r="K52" i="7"/>
  <c r="K51" i="7" s="1"/>
  <c r="K91" i="7"/>
  <c r="K90" i="7" s="1"/>
  <c r="K64" i="8"/>
  <c r="K84" i="8" s="1"/>
  <c r="D88" i="7"/>
  <c r="D87" i="7" s="1"/>
  <c r="D26" i="7" s="1"/>
  <c r="K32" i="8"/>
  <c r="K52" i="8" s="1"/>
  <c r="K55" i="7"/>
  <c r="K54" i="7" s="1"/>
  <c r="K40" i="8"/>
  <c r="K50" i="7"/>
  <c r="K34" i="8"/>
  <c r="K54" i="8" s="1"/>
  <c r="K61" i="7"/>
  <c r="K60" i="7" s="1"/>
  <c r="D58" i="7"/>
  <c r="D57" i="7" s="1"/>
  <c r="D7" i="7" s="1"/>
  <c r="E103" i="10"/>
  <c r="D77" i="20"/>
  <c r="D79" i="20" s="1"/>
  <c r="B30" i="5"/>
  <c r="H19" i="7"/>
  <c r="D77" i="12"/>
  <c r="D79" i="12" s="1"/>
  <c r="F33" i="33"/>
  <c r="B5" i="44"/>
  <c r="F16" i="10"/>
  <c r="B6" i="44"/>
  <c r="D74" i="44"/>
  <c r="G16" i="10" s="1"/>
  <c r="B4" i="44"/>
  <c r="E16" i="10"/>
  <c r="D81" i="44"/>
  <c r="D82" i="44" s="1"/>
  <c r="B7" i="44" s="1"/>
  <c r="D89" i="44"/>
  <c r="B111" i="7"/>
  <c r="B37" i="7"/>
  <c r="B26" i="7"/>
  <c r="D31" i="16"/>
  <c r="D77" i="16"/>
  <c r="D79" i="16" s="1"/>
  <c r="D34" i="12"/>
  <c r="S42" i="10"/>
  <c r="B15" i="7"/>
  <c r="B4" i="7"/>
  <c r="D34" i="43"/>
  <c r="B4" i="43" s="1"/>
  <c r="E23" i="10" s="1"/>
  <c r="D54" i="43"/>
  <c r="B5" i="43" s="1"/>
  <c r="F23" i="10" s="1"/>
  <c r="D97" i="43"/>
  <c r="D74" i="43"/>
  <c r="B6" i="43" s="1"/>
  <c r="G23" i="10" s="1"/>
  <c r="D93" i="43"/>
  <c r="D95" i="43" s="1"/>
  <c r="D87" i="43"/>
  <c r="D82" i="43"/>
  <c r="B7" i="43" s="1"/>
  <c r="D88" i="43"/>
  <c r="D94" i="43"/>
  <c r="D96" i="43" s="1"/>
  <c r="D67" i="42"/>
  <c r="D94" i="41"/>
  <c r="D96" i="41" s="1"/>
  <c r="D88" i="41"/>
  <c r="D34" i="41"/>
  <c r="B4" i="41" s="1"/>
  <c r="E21" i="10" s="1"/>
  <c r="D87" i="41"/>
  <c r="D93" i="41"/>
  <c r="D95" i="41" s="1"/>
  <c r="D67" i="41"/>
  <c r="D73" i="41" s="1"/>
  <c r="D74" i="41" s="1"/>
  <c r="B6" i="41" s="1"/>
  <c r="G21" i="10" s="1"/>
  <c r="D53" i="41"/>
  <c r="D54" i="41" s="1"/>
  <c r="B5" i="41" s="1"/>
  <c r="F21" i="10" s="1"/>
  <c r="D81" i="38"/>
  <c r="D82" i="38" s="1"/>
  <c r="B7" i="38" s="1"/>
  <c r="B6" i="38"/>
  <c r="G26" i="10"/>
  <c r="B5" i="38"/>
  <c r="F26" i="10"/>
  <c r="B4" i="38"/>
  <c r="E26" i="10"/>
  <c r="D89" i="38"/>
  <c r="J33" i="8"/>
  <c r="J53" i="8" s="1"/>
  <c r="C87" i="7"/>
  <c r="I33" i="8"/>
  <c r="I53" i="8" s="1"/>
  <c r="M88" i="8"/>
  <c r="M62" i="5"/>
  <c r="J30" i="5"/>
  <c r="C96" i="7"/>
  <c r="C29" i="7" s="1"/>
  <c r="C55" i="7"/>
  <c r="C54" i="7" s="1"/>
  <c r="G66" i="8"/>
  <c r="G86" i="8" s="1"/>
  <c r="G52" i="7"/>
  <c r="G51" i="7" s="1"/>
  <c r="G5" i="7" s="1"/>
  <c r="J32" i="8"/>
  <c r="J52" i="8" s="1"/>
  <c r="I49" i="7"/>
  <c r="I48" i="7" s="1"/>
  <c r="I4" i="7" s="1"/>
  <c r="D33" i="8"/>
  <c r="D53" i="8" s="1"/>
  <c r="H70" i="5"/>
  <c r="B73" i="5" s="1"/>
  <c r="J55" i="7"/>
  <c r="J54" i="7" s="1"/>
  <c r="J6" i="7" s="1"/>
  <c r="I94" i="7"/>
  <c r="I93" i="7" s="1"/>
  <c r="I28" i="7" s="1"/>
  <c r="E30" i="5"/>
  <c r="C30" i="8"/>
  <c r="C50" i="8" s="1"/>
  <c r="I55" i="7"/>
  <c r="I54" i="7" s="1"/>
  <c r="I6" i="7" s="1"/>
  <c r="I31" i="8"/>
  <c r="I51" i="8" s="1"/>
  <c r="D86" i="12"/>
  <c r="D94" i="12" s="1"/>
  <c r="D96" i="12" s="1"/>
  <c r="D111" i="10" s="1"/>
  <c r="C31" i="8"/>
  <c r="C51" i="8" s="1"/>
  <c r="E18" i="7"/>
  <c r="I88" i="7"/>
  <c r="I87" i="7" s="1"/>
  <c r="I26" i="7" s="1"/>
  <c r="E70" i="5"/>
  <c r="G96" i="7"/>
  <c r="G29" i="7" s="1"/>
  <c r="L41" i="7"/>
  <c r="I52" i="7"/>
  <c r="I51" i="7" s="1"/>
  <c r="I5" i="7" s="1"/>
  <c r="D54" i="26"/>
  <c r="F24" i="10" s="1"/>
  <c r="C32" i="8"/>
  <c r="C52" i="8" s="1"/>
  <c r="D50" i="8"/>
  <c r="C49" i="7"/>
  <c r="C48" i="7" s="1"/>
  <c r="C4" i="7" s="1"/>
  <c r="C58" i="7"/>
  <c r="C57" i="7" s="1"/>
  <c r="C33" i="8"/>
  <c r="C53" i="8" s="1"/>
  <c r="D17" i="7"/>
  <c r="J51" i="7"/>
  <c r="J5" i="7" s="1"/>
  <c r="M7" i="5"/>
  <c r="I64" i="8"/>
  <c r="I84" i="8" s="1"/>
  <c r="D49" i="7"/>
  <c r="D48" i="7" s="1"/>
  <c r="J91" i="7"/>
  <c r="J90" i="7" s="1"/>
  <c r="J27" i="7" s="1"/>
  <c r="D63" i="8"/>
  <c r="D83" i="8" s="1"/>
  <c r="D16" i="7"/>
  <c r="I66" i="8"/>
  <c r="I86" i="8" s="1"/>
  <c r="F17" i="7"/>
  <c r="J57" i="7"/>
  <c r="J7" i="7" s="1"/>
  <c r="M59" i="5"/>
  <c r="F40" i="7"/>
  <c r="M61" i="5"/>
  <c r="M43" i="8"/>
  <c r="G51" i="8"/>
  <c r="M74" i="8"/>
  <c r="J50" i="8"/>
  <c r="I96" i="7"/>
  <c r="M106" i="7"/>
  <c r="M65" i="5"/>
  <c r="M64" i="5"/>
  <c r="F30" i="5"/>
  <c r="B35" i="5" s="1"/>
  <c r="I57" i="7"/>
  <c r="M56" i="5"/>
  <c r="F89" i="8"/>
  <c r="D91" i="7"/>
  <c r="D90" i="7" s="1"/>
  <c r="D27" i="7" s="1"/>
  <c r="D64" i="8"/>
  <c r="D84" i="8" s="1"/>
  <c r="D34" i="20"/>
  <c r="E18" i="10" s="1"/>
  <c r="I83" i="8"/>
  <c r="M75" i="8"/>
  <c r="U18" i="31"/>
  <c r="AC18" i="31"/>
  <c r="Z18" i="31"/>
  <c r="H18" i="31"/>
  <c r="R18" i="31"/>
  <c r="AE18" i="31"/>
  <c r="P18" i="31"/>
  <c r="W18" i="31"/>
  <c r="AH18" i="31"/>
  <c r="E18" i="31"/>
  <c r="C18" i="31"/>
  <c r="M18" i="31" s="1"/>
  <c r="H30" i="5"/>
  <c r="B33" i="5" s="1"/>
  <c r="G49" i="7"/>
  <c r="G48" i="7" s="1"/>
  <c r="M41" i="8"/>
  <c r="U17" i="31"/>
  <c r="AC17" i="31"/>
  <c r="W17" i="31"/>
  <c r="P17" i="31"/>
  <c r="H17" i="31"/>
  <c r="AE17" i="31"/>
  <c r="R17" i="31"/>
  <c r="Z17" i="31"/>
  <c r="AH17" i="31"/>
  <c r="E17" i="31"/>
  <c r="C17" i="31"/>
  <c r="M17" i="31" s="1"/>
  <c r="D97" i="7"/>
  <c r="D96" i="7" s="1"/>
  <c r="D29" i="7" s="1"/>
  <c r="D66" i="8"/>
  <c r="D86" i="8" s="1"/>
  <c r="F70" i="5"/>
  <c r="B75" i="5" s="1"/>
  <c r="I50" i="8"/>
  <c r="D94" i="19"/>
  <c r="D96" i="19" s="1"/>
  <c r="E24" i="10"/>
  <c r="B4" i="26"/>
  <c r="D74" i="26"/>
  <c r="D79" i="26"/>
  <c r="D82" i="26" s="1"/>
  <c r="B7" i="26" s="1"/>
  <c r="D97" i="26"/>
  <c r="D79" i="21"/>
  <c r="D34" i="19"/>
  <c r="F15" i="10"/>
  <c r="B5" i="16"/>
  <c r="D74" i="16"/>
  <c r="G15" i="10" s="1"/>
  <c r="B6" i="16"/>
  <c r="D34" i="16"/>
  <c r="D89" i="16"/>
  <c r="D81" i="16"/>
  <c r="D93" i="12"/>
  <c r="D95" i="12" s="1"/>
  <c r="F72" i="7"/>
  <c r="B77" i="7" s="1"/>
  <c r="F15" i="7"/>
  <c r="D94" i="21"/>
  <c r="D96" i="21" s="1"/>
  <c r="D88" i="21"/>
  <c r="J65" i="8"/>
  <c r="J85" i="8" s="1"/>
  <c r="J94" i="7"/>
  <c r="J93" i="7" s="1"/>
  <c r="J28" i="7" s="1"/>
  <c r="D88" i="16"/>
  <c r="D94" i="16"/>
  <c r="D96" i="16" s="1"/>
  <c r="L43" i="7"/>
  <c r="E72" i="7"/>
  <c r="E15" i="7"/>
  <c r="J87" i="7"/>
  <c r="J26" i="7" s="1"/>
  <c r="H17" i="7"/>
  <c r="L18" i="7"/>
  <c r="F18" i="7"/>
  <c r="C65" i="8"/>
  <c r="C85" i="8" s="1"/>
  <c r="C94" i="7"/>
  <c r="C93" i="7" s="1"/>
  <c r="C28" i="7" s="1"/>
  <c r="C70" i="5"/>
  <c r="M76" i="8"/>
  <c r="D87" i="20"/>
  <c r="F16" i="7"/>
  <c r="I85" i="8"/>
  <c r="M47" i="5"/>
  <c r="H72" i="7"/>
  <c r="B75" i="7" s="1"/>
  <c r="H15" i="7"/>
  <c r="D53" i="20"/>
  <c r="D54" i="20" s="1"/>
  <c r="D67" i="20"/>
  <c r="D73" i="20" s="1"/>
  <c r="D74" i="20" s="1"/>
  <c r="F39" i="7"/>
  <c r="J83" i="8"/>
  <c r="B118" i="7"/>
  <c r="D93" i="16"/>
  <c r="D95" i="16" s="1"/>
  <c r="D87" i="16"/>
  <c r="E16" i="7"/>
  <c r="M13" i="5"/>
  <c r="E39" i="7"/>
  <c r="M21" i="5"/>
  <c r="G88" i="7"/>
  <c r="G87" i="7" s="1"/>
  <c r="D53" i="21"/>
  <c r="D54" i="21" s="1"/>
  <c r="D67" i="21"/>
  <c r="D73" i="21" s="1"/>
  <c r="D74" i="21" s="1"/>
  <c r="J84" i="8"/>
  <c r="M42" i="8"/>
  <c r="L21" i="7"/>
  <c r="M21" i="7" s="1"/>
  <c r="L70" i="5"/>
  <c r="B77" i="5" s="1"/>
  <c r="H111" i="7"/>
  <c r="B114" i="7" s="1"/>
  <c r="H37" i="7"/>
  <c r="E111" i="7"/>
  <c r="E37" i="7"/>
  <c r="H43" i="7"/>
  <c r="D94" i="26"/>
  <c r="D96" i="26" s="1"/>
  <c r="B40" i="7"/>
  <c r="L20" i="7"/>
  <c r="G32" i="8"/>
  <c r="G52" i="8" s="1"/>
  <c r="G55" i="7"/>
  <c r="G54" i="7" s="1"/>
  <c r="G6" i="7" s="1"/>
  <c r="H18" i="7"/>
  <c r="E40" i="7"/>
  <c r="L30" i="5"/>
  <c r="B37" i="5" s="1"/>
  <c r="M50" i="5"/>
  <c r="C38" i="7"/>
  <c r="F111" i="7"/>
  <c r="B116" i="7" s="1"/>
  <c r="F37" i="7"/>
  <c r="L111" i="7"/>
  <c r="B119" i="7" s="1"/>
  <c r="L37" i="7"/>
  <c r="L72" i="7"/>
  <c r="B80" i="7" s="1"/>
  <c r="L15" i="7"/>
  <c r="D34" i="21"/>
  <c r="D67" i="19"/>
  <c r="D73" i="19" s="1"/>
  <c r="D74" i="19" s="1"/>
  <c r="D53" i="19"/>
  <c r="D54" i="19" s="1"/>
  <c r="M16" i="5"/>
  <c r="M10" i="5"/>
  <c r="B17" i="7"/>
  <c r="C16" i="7"/>
  <c r="E38" i="7"/>
  <c r="L16" i="7"/>
  <c r="L42" i="7"/>
  <c r="M18" i="5"/>
  <c r="L39" i="7"/>
  <c r="J40" i="7"/>
  <c r="H39" i="7"/>
  <c r="D93" i="19"/>
  <c r="D95" i="19" s="1"/>
  <c r="D87" i="19"/>
  <c r="F38" i="7"/>
  <c r="M53" i="5"/>
  <c r="J48" i="7"/>
  <c r="J4" i="7" s="1"/>
  <c r="F56" i="8"/>
  <c r="B72" i="7"/>
  <c r="B70" i="5"/>
  <c r="B39" i="7"/>
  <c r="I19" i="7"/>
  <c r="I52" i="8"/>
  <c r="H38" i="7"/>
  <c r="B16" i="7"/>
  <c r="H42" i="7"/>
  <c r="L19" i="7"/>
  <c r="H16" i="7"/>
  <c r="D87" i="26"/>
  <c r="D90" i="26" s="1"/>
  <c r="B8" i="26" s="1"/>
  <c r="D93" i="26"/>
  <c r="H40" i="7"/>
  <c r="G91" i="7"/>
  <c r="G90" i="7" s="1"/>
  <c r="G27" i="7" s="1"/>
  <c r="G64" i="8"/>
  <c r="G84" i="8" s="1"/>
  <c r="E17" i="7"/>
  <c r="L38" i="7"/>
  <c r="I90" i="7"/>
  <c r="I27" i="7" s="1"/>
  <c r="G33" i="8"/>
  <c r="G53" i="8" s="1"/>
  <c r="G58" i="7"/>
  <c r="G57" i="7" s="1"/>
  <c r="G7" i="7" s="1"/>
  <c r="D88" i="20"/>
  <c r="D94" i="20"/>
  <c r="D96" i="20" s="1"/>
  <c r="D39" i="7"/>
  <c r="M67" i="7"/>
  <c r="M24" i="5"/>
  <c r="F55" i="8"/>
  <c r="D53" i="12"/>
  <c r="D67" i="12"/>
  <c r="D73" i="12" s="1"/>
  <c r="D74" i="12" s="1"/>
  <c r="L40" i="7"/>
  <c r="L17" i="7"/>
  <c r="B38" i="7"/>
  <c r="G65" i="8"/>
  <c r="G85" i="8" s="1"/>
  <c r="G94" i="7"/>
  <c r="G93" i="7" s="1"/>
  <c r="G28" i="7" s="1"/>
  <c r="D93" i="21"/>
  <c r="D87" i="21"/>
  <c r="I41" i="7"/>
  <c r="B18" i="7"/>
  <c r="M67" i="8" l="1"/>
  <c r="D18" i="7"/>
  <c r="D37" i="7"/>
  <c r="K8" i="7"/>
  <c r="M8" i="7" s="1"/>
  <c r="K19" i="7"/>
  <c r="M19" i="7" s="1"/>
  <c r="K38" i="7"/>
  <c r="K27" i="7"/>
  <c r="K29" i="7"/>
  <c r="K40" i="7"/>
  <c r="K58" i="7"/>
  <c r="K57" i="7" s="1"/>
  <c r="M57" i="7" s="1"/>
  <c r="M15" i="5"/>
  <c r="K33" i="8"/>
  <c r="K53" i="8" s="1"/>
  <c r="M53" i="8" s="1"/>
  <c r="K17" i="7"/>
  <c r="K6" i="7"/>
  <c r="K16" i="7"/>
  <c r="K5" i="7"/>
  <c r="K30" i="7"/>
  <c r="M30" i="7" s="1"/>
  <c r="K41" i="7"/>
  <c r="M41" i="7" s="1"/>
  <c r="K63" i="8"/>
  <c r="K83" i="8" s="1"/>
  <c r="K88" i="7"/>
  <c r="K87" i="7" s="1"/>
  <c r="M87" i="7" s="1"/>
  <c r="K70" i="5"/>
  <c r="K39" i="7"/>
  <c r="K28" i="7"/>
  <c r="K49" i="7"/>
  <c r="K48" i="7" s="1"/>
  <c r="M48" i="7" s="1"/>
  <c r="K30" i="8"/>
  <c r="K50" i="8" s="1"/>
  <c r="M6" i="5"/>
  <c r="D93" i="20"/>
  <c r="D95" i="20" s="1"/>
  <c r="B4" i="12"/>
  <c r="E12" i="10"/>
  <c r="D97" i="44"/>
  <c r="D90" i="44"/>
  <c r="B8" i="44" s="1"/>
  <c r="M31" i="7"/>
  <c r="I40" i="7"/>
  <c r="I29" i="7"/>
  <c r="C37" i="7"/>
  <c r="C26" i="7"/>
  <c r="M105" i="7"/>
  <c r="M32" i="7"/>
  <c r="T42" i="10"/>
  <c r="D72" i="7"/>
  <c r="D4" i="7"/>
  <c r="C18" i="7"/>
  <c r="C7" i="7"/>
  <c r="C17" i="7"/>
  <c r="C6" i="7"/>
  <c r="M60" i="7"/>
  <c r="I18" i="7"/>
  <c r="I7" i="7"/>
  <c r="D90" i="43"/>
  <c r="B8" i="43" s="1"/>
  <c r="D98" i="43"/>
  <c r="B9" i="43" s="1"/>
  <c r="H23" i="10" s="1"/>
  <c r="I23" i="10" s="1"/>
  <c r="D81" i="41"/>
  <c r="D82" i="41" s="1"/>
  <c r="B7" i="41" s="1"/>
  <c r="D89" i="41"/>
  <c r="D97" i="38"/>
  <c r="D90" i="38"/>
  <c r="B8" i="38" s="1"/>
  <c r="M68" i="8"/>
  <c r="C40" i="7"/>
  <c r="C15" i="7"/>
  <c r="G16" i="7"/>
  <c r="M99" i="7"/>
  <c r="I30" i="5"/>
  <c r="D30" i="5"/>
  <c r="C30" i="5"/>
  <c r="B36" i="5" s="1"/>
  <c r="G40" i="7"/>
  <c r="D88" i="12"/>
  <c r="I17" i="7"/>
  <c r="M102" i="7"/>
  <c r="D40" i="7"/>
  <c r="B5" i="26"/>
  <c r="C72" i="7"/>
  <c r="J18" i="7"/>
  <c r="P28" i="31"/>
  <c r="P29" i="31" s="1"/>
  <c r="B67" i="31" s="1"/>
  <c r="J16" i="7"/>
  <c r="I70" i="5"/>
  <c r="B4" i="20"/>
  <c r="AE28" i="31"/>
  <c r="AE29" i="31" s="1"/>
  <c r="B72" i="31" s="1"/>
  <c r="M43" i="7"/>
  <c r="D70" i="5"/>
  <c r="AC28" i="31"/>
  <c r="AC29" i="31" s="1"/>
  <c r="B71" i="31" s="1"/>
  <c r="M42" i="7"/>
  <c r="D15" i="7"/>
  <c r="U28" i="31"/>
  <c r="U29" i="31" s="1"/>
  <c r="B69" i="31" s="1"/>
  <c r="E28" i="31"/>
  <c r="E29" i="31" s="1"/>
  <c r="B63" i="31" s="1"/>
  <c r="J70" i="5"/>
  <c r="B76" i="5" s="1"/>
  <c r="R28" i="31"/>
  <c r="R29" i="31" s="1"/>
  <c r="B68" i="31" s="1"/>
  <c r="D111" i="7"/>
  <c r="M69" i="8"/>
  <c r="M89" i="8"/>
  <c r="M51" i="8"/>
  <c r="G72" i="7"/>
  <c r="B76" i="7" s="1"/>
  <c r="M9" i="5"/>
  <c r="Z28" i="31"/>
  <c r="Z29" i="31" s="1"/>
  <c r="B70" i="31" s="1"/>
  <c r="M55" i="5"/>
  <c r="I39" i="7"/>
  <c r="M28" i="31"/>
  <c r="M29" i="31" s="1"/>
  <c r="B66" i="31" s="1"/>
  <c r="H28" i="31"/>
  <c r="H29" i="31" s="1"/>
  <c r="B64" i="31" s="1"/>
  <c r="I15" i="7"/>
  <c r="G15" i="7"/>
  <c r="D89" i="21"/>
  <c r="D90" i="21" s="1"/>
  <c r="B8" i="21" s="1"/>
  <c r="D90" i="16"/>
  <c r="B8" i="16" s="1"/>
  <c r="W28" i="31"/>
  <c r="W29" i="31" s="1"/>
  <c r="D89" i="12"/>
  <c r="G70" i="5"/>
  <c r="B74" i="5" s="1"/>
  <c r="D54" i="12"/>
  <c r="F12" i="10" s="1"/>
  <c r="D81" i="12"/>
  <c r="D82" i="12" s="1"/>
  <c r="B7" i="12" s="1"/>
  <c r="M31" i="8"/>
  <c r="M66" i="7"/>
  <c r="D38" i="7"/>
  <c r="G30" i="5"/>
  <c r="B34" i="5" s="1"/>
  <c r="M12" i="5"/>
  <c r="M10" i="7"/>
  <c r="F17" i="10"/>
  <c r="B5" i="19"/>
  <c r="G18" i="10"/>
  <c r="B6" i="20"/>
  <c r="E17" i="10"/>
  <c r="B4" i="19"/>
  <c r="G19" i="10"/>
  <c r="B6" i="21"/>
  <c r="G17" i="10"/>
  <c r="B6" i="19"/>
  <c r="F19" i="10"/>
  <c r="B5" i="21"/>
  <c r="E19" i="10"/>
  <c r="B4" i="21"/>
  <c r="F18" i="10"/>
  <c r="B5" i="20"/>
  <c r="G24" i="10"/>
  <c r="B6" i="26"/>
  <c r="D95" i="21"/>
  <c r="D81" i="20"/>
  <c r="D82" i="20" s="1"/>
  <c r="B7" i="20" s="1"/>
  <c r="E15" i="10"/>
  <c r="B4" i="16"/>
  <c r="D82" i="16"/>
  <c r="B7" i="16" s="1"/>
  <c r="D97" i="16"/>
  <c r="B6" i="12"/>
  <c r="D89" i="20"/>
  <c r="G111" i="7"/>
  <c r="B115" i="7" s="1"/>
  <c r="G37" i="7"/>
  <c r="M54" i="7"/>
  <c r="J38" i="7"/>
  <c r="G18" i="7"/>
  <c r="M36" i="8"/>
  <c r="M34" i="8"/>
  <c r="M52" i="8"/>
  <c r="M32" i="8"/>
  <c r="M90" i="7"/>
  <c r="J111" i="7"/>
  <c r="J37" i="7"/>
  <c r="J72" i="7"/>
  <c r="J15" i="7"/>
  <c r="M84" i="8"/>
  <c r="M64" i="8"/>
  <c r="D81" i="21"/>
  <c r="D82" i="21" s="1"/>
  <c r="B7" i="21" s="1"/>
  <c r="M9" i="7"/>
  <c r="M20" i="7"/>
  <c r="M46" i="5"/>
  <c r="M63" i="7"/>
  <c r="C39" i="7"/>
  <c r="M86" i="8"/>
  <c r="M66" i="8"/>
  <c r="C111" i="7"/>
  <c r="M96" i="7"/>
  <c r="M51" i="7"/>
  <c r="D95" i="26"/>
  <c r="D98" i="26" s="1"/>
  <c r="D100" i="26" s="1"/>
  <c r="M52" i="5"/>
  <c r="G17" i="7"/>
  <c r="D89" i="19"/>
  <c r="J17" i="7"/>
  <c r="M35" i="8"/>
  <c r="I38" i="7"/>
  <c r="G38" i="7"/>
  <c r="M85" i="8"/>
  <c r="M65" i="8"/>
  <c r="M49" i="5"/>
  <c r="D81" i="19"/>
  <c r="D82" i="19" s="1"/>
  <c r="B7" i="19" s="1"/>
  <c r="I16" i="7"/>
  <c r="M56" i="8"/>
  <c r="M54" i="8"/>
  <c r="G39" i="7"/>
  <c r="M55" i="8"/>
  <c r="I111" i="7"/>
  <c r="I37" i="7"/>
  <c r="M93" i="7"/>
  <c r="I72" i="7"/>
  <c r="J39" i="7"/>
  <c r="B72" i="5" l="1"/>
  <c r="B32" i="5"/>
  <c r="K30" i="5"/>
  <c r="M33" i="8"/>
  <c r="K72" i="7"/>
  <c r="B74" i="7" s="1"/>
  <c r="K4" i="7"/>
  <c r="K15" i="7"/>
  <c r="M15" i="7" s="1"/>
  <c r="K7" i="7"/>
  <c r="M7" i="7" s="1"/>
  <c r="K18" i="7"/>
  <c r="M18" i="7" s="1"/>
  <c r="K111" i="7"/>
  <c r="B113" i="7" s="1"/>
  <c r="K37" i="7"/>
  <c r="K26" i="7"/>
  <c r="D98" i="38"/>
  <c r="B9" i="38" s="1"/>
  <c r="D98" i="44"/>
  <c r="D100" i="43"/>
  <c r="U42" i="10"/>
  <c r="B5" i="12"/>
  <c r="D97" i="41"/>
  <c r="D90" i="41"/>
  <c r="B8" i="41" s="1"/>
  <c r="B78" i="7"/>
  <c r="D90" i="12"/>
  <c r="M29" i="7"/>
  <c r="M16" i="7"/>
  <c r="M40" i="7"/>
  <c r="M5" i="7"/>
  <c r="D97" i="20"/>
  <c r="H24" i="10"/>
  <c r="I24" i="10" s="1"/>
  <c r="B9" i="26"/>
  <c r="D97" i="19"/>
  <c r="D98" i="16"/>
  <c r="D100" i="16" s="1"/>
  <c r="M39" i="7"/>
  <c r="D90" i="19"/>
  <c r="B8" i="19" s="1"/>
  <c r="M28" i="7"/>
  <c r="M17" i="7"/>
  <c r="D90" i="20"/>
  <c r="B8" i="20" s="1"/>
  <c r="D97" i="12"/>
  <c r="M37" i="7"/>
  <c r="D97" i="21"/>
  <c r="B117" i="7"/>
  <c r="M38" i="7"/>
  <c r="M27" i="7"/>
  <c r="M6" i="7"/>
  <c r="D100" i="38" l="1"/>
  <c r="H26" i="10"/>
  <c r="I26" i="10" s="1"/>
  <c r="H16" i="10"/>
  <c r="I16" i="10" s="1"/>
  <c r="B9" i="44"/>
  <c r="D98" i="12"/>
  <c r="H12" i="10" s="1"/>
  <c r="I12" i="10" s="1"/>
  <c r="B8" i="12"/>
  <c r="G12" i="10"/>
  <c r="D100" i="44"/>
  <c r="D98" i="41"/>
  <c r="B9" i="41" s="1"/>
  <c r="H21" i="10" s="1"/>
  <c r="I21" i="10" s="1"/>
  <c r="D98" i="21"/>
  <c r="D100" i="21" s="1"/>
  <c r="D98" i="19"/>
  <c r="H17" i="10" s="1"/>
  <c r="I17" i="10" s="1"/>
  <c r="D98" i="20"/>
  <c r="B9" i="20" s="1"/>
  <c r="V47" i="10"/>
  <c r="V42" i="10"/>
  <c r="H15" i="10"/>
  <c r="I15" i="10" s="1"/>
  <c r="B9" i="16"/>
  <c r="AH3" i="31"/>
  <c r="AH28" i="31" s="1"/>
  <c r="AH29" i="31" s="1"/>
  <c r="B73" i="31" s="1"/>
  <c r="B74" i="31" s="1"/>
  <c r="AG28" i="31"/>
  <c r="B9" i="12" l="1"/>
  <c r="D100" i="41"/>
  <c r="D100" i="12"/>
  <c r="D100" i="19"/>
  <c r="H19" i="10"/>
  <c r="I19" i="10" s="1"/>
  <c r="H18" i="10"/>
  <c r="I18" i="10" s="1"/>
  <c r="B9" i="19"/>
  <c r="B9" i="21"/>
  <c r="D100" i="20"/>
  <c r="W48" i="10"/>
  <c r="W47" i="10"/>
  <c r="W42" i="10"/>
  <c r="X47" i="10" l="1"/>
  <c r="X48" i="10"/>
  <c r="X49" i="10"/>
  <c r="X42" i="10"/>
  <c r="D33" i="35"/>
  <c r="Y50" i="10" l="1"/>
  <c r="Y47" i="10"/>
  <c r="Y48" i="10"/>
  <c r="Y49" i="10"/>
  <c r="Y42" i="10"/>
  <c r="D33" i="36"/>
  <c r="D67" i="35"/>
  <c r="D73" i="35" s="1"/>
  <c r="D74" i="35" s="1"/>
  <c r="G13" i="10" s="1"/>
  <c r="D53" i="35"/>
  <c r="D54" i="35" s="1"/>
  <c r="F13" i="10" s="1"/>
  <c r="D34" i="35"/>
  <c r="E13" i="10" s="1"/>
  <c r="Z50" i="10" l="1"/>
  <c r="Z47" i="10"/>
  <c r="Z48" i="10"/>
  <c r="Z49" i="10"/>
  <c r="Z51" i="10"/>
  <c r="Z42" i="10"/>
  <c r="D53" i="36"/>
  <c r="D54" i="36" s="1"/>
  <c r="D67" i="36"/>
  <c r="D73" i="36" s="1"/>
  <c r="D74" i="36" s="1"/>
  <c r="D34" i="36"/>
  <c r="B6" i="35"/>
  <c r="B5" i="35"/>
  <c r="B4" i="35"/>
  <c r="D89" i="35"/>
  <c r="D90" i="35" s="1"/>
  <c r="B8" i="35" s="1"/>
  <c r="D81" i="35"/>
  <c r="D82" i="35" s="1"/>
  <c r="B7" i="35" s="1"/>
  <c r="AA51" i="10" l="1"/>
  <c r="AA50" i="10"/>
  <c r="AA47" i="10"/>
  <c r="AA48" i="10"/>
  <c r="AA49" i="10"/>
  <c r="AA52" i="10"/>
  <c r="AA42" i="10"/>
  <c r="B6" i="36"/>
  <c r="G14" i="10"/>
  <c r="B5" i="36"/>
  <c r="F14" i="10"/>
  <c r="B4" i="36"/>
  <c r="E14" i="10"/>
  <c r="D81" i="36"/>
  <c r="D82" i="36" s="1"/>
  <c r="B7" i="36" s="1"/>
  <c r="D89" i="36"/>
  <c r="D90" i="36" s="1"/>
  <c r="B8" i="36" s="1"/>
  <c r="D97" i="35"/>
  <c r="D98" i="35" l="1"/>
  <c r="D100" i="35" s="1"/>
  <c r="AB49" i="10"/>
  <c r="AB51" i="10"/>
  <c r="AB52" i="10"/>
  <c r="AB50" i="10"/>
  <c r="AB47" i="10"/>
  <c r="AB48" i="10"/>
  <c r="AB53" i="10"/>
  <c r="AB42" i="10"/>
  <c r="D97" i="36"/>
  <c r="AC49" i="10" l="1"/>
  <c r="AC47" i="10"/>
  <c r="AC52" i="10"/>
  <c r="AC50" i="10"/>
  <c r="AC54" i="10"/>
  <c r="AC48" i="10"/>
  <c r="AC53" i="10"/>
  <c r="AC51" i="10"/>
  <c r="AC42" i="10"/>
  <c r="H13" i="10"/>
  <c r="I13" i="10" s="1"/>
  <c r="B9" i="35"/>
  <c r="D98" i="36"/>
  <c r="D100" i="36" s="1"/>
  <c r="B9" i="36"/>
  <c r="H14" i="10"/>
  <c r="I14" i="10" s="1"/>
  <c r="AD53" i="10" l="1"/>
  <c r="AD48" i="10"/>
  <c r="AD52" i="10"/>
  <c r="AD42" i="10"/>
  <c r="AD47" i="10"/>
  <c r="AD51" i="10"/>
  <c r="AD50" i="10"/>
  <c r="AD49" i="10"/>
  <c r="AD55" i="10"/>
  <c r="AD54" i="10"/>
  <c r="B32" i="3" l="1"/>
  <c r="M19" i="3"/>
  <c r="H32" i="3" l="1"/>
  <c r="M25" i="3"/>
  <c r="G26" i="7"/>
  <c r="D14" i="39"/>
  <c r="D69" i="39" s="1"/>
  <c r="D71" i="39" s="1"/>
  <c r="D14" i="42"/>
  <c r="B123" i="42" l="1"/>
  <c r="D73" i="42"/>
  <c r="D53" i="42"/>
  <c r="B124" i="42"/>
  <c r="D22" i="10"/>
  <c r="B121" i="42"/>
  <c r="D70" i="42"/>
  <c r="D72" i="42" s="1"/>
  <c r="D69" i="42"/>
  <c r="D71" i="42" s="1"/>
  <c r="D30" i="42"/>
  <c r="B120" i="42"/>
  <c r="D50" i="42"/>
  <c r="D52" i="42" s="1"/>
  <c r="D49" i="42"/>
  <c r="D51" i="42" s="1"/>
  <c r="D29" i="42"/>
  <c r="D33" i="42"/>
  <c r="D29" i="39"/>
  <c r="H73" i="8"/>
  <c r="H4" i="7"/>
  <c r="H26" i="7"/>
  <c r="M26" i="7" s="1"/>
  <c r="C4" i="2" s="1"/>
  <c r="H40" i="8"/>
  <c r="H63" i="8"/>
  <c r="H30" i="8"/>
  <c r="B9" i="33"/>
  <c r="D53" i="39"/>
  <c r="B123" i="39"/>
  <c r="D73" i="39"/>
  <c r="D50" i="39"/>
  <c r="D52" i="39" s="1"/>
  <c r="D70" i="39"/>
  <c r="D72" i="39" s="1"/>
  <c r="B124" i="39"/>
  <c r="B121" i="39"/>
  <c r="D30" i="39"/>
  <c r="B120" i="39"/>
  <c r="D33" i="39"/>
  <c r="D20" i="10"/>
  <c r="M4" i="3"/>
  <c r="G30" i="8"/>
  <c r="B11" i="33"/>
  <c r="G73" i="8"/>
  <c r="G63" i="8"/>
  <c r="G4" i="7"/>
  <c r="D49" i="39"/>
  <c r="D51" i="39" s="1"/>
  <c r="G40" i="8"/>
  <c r="H50" i="8" l="1"/>
  <c r="D27" i="10"/>
  <c r="M40" i="8"/>
  <c r="M47" i="8" s="1"/>
  <c r="B129" i="39"/>
  <c r="B128" i="42"/>
  <c r="M73" i="8"/>
  <c r="M80" i="8" s="1"/>
  <c r="B128" i="39"/>
  <c r="E104" i="10" s="1"/>
  <c r="H83" i="8"/>
  <c r="D74" i="39"/>
  <c r="B6" i="39" s="1"/>
  <c r="G20" i="10" s="1"/>
  <c r="D54" i="42"/>
  <c r="B5" i="42" s="1"/>
  <c r="F22" i="10" s="1"/>
  <c r="I11" i="33"/>
  <c r="AD11" i="33" s="1"/>
  <c r="AK11" i="33" s="1"/>
  <c r="AT11" i="33"/>
  <c r="D77" i="39"/>
  <c r="D79" i="39" s="1"/>
  <c r="D31" i="39"/>
  <c r="D85" i="39"/>
  <c r="D32" i="42"/>
  <c r="D78" i="42"/>
  <c r="D80" i="42" s="1"/>
  <c r="D86" i="42"/>
  <c r="B16" i="33"/>
  <c r="I9" i="33"/>
  <c r="AT9" i="33"/>
  <c r="D74" i="42"/>
  <c r="B6" i="42" s="1"/>
  <c r="G22" i="10" s="1"/>
  <c r="D32" i="39"/>
  <c r="D78" i="39"/>
  <c r="D80" i="39" s="1"/>
  <c r="D86" i="39"/>
  <c r="M11" i="3"/>
  <c r="N4" i="3" s="1"/>
  <c r="D81" i="42"/>
  <c r="D89" i="42"/>
  <c r="M63" i="8"/>
  <c r="M70" i="8" s="1"/>
  <c r="G83" i="8"/>
  <c r="C3" i="10"/>
  <c r="B129" i="42"/>
  <c r="E106" i="10" s="1"/>
  <c r="E111" i="10" s="1"/>
  <c r="G50" i="8"/>
  <c r="M50" i="8" s="1"/>
  <c r="M30" i="8"/>
  <c r="M37" i="8" s="1"/>
  <c r="M29" i="3"/>
  <c r="M32" i="3" s="1"/>
  <c r="M21" i="8"/>
  <c r="M8" i="8"/>
  <c r="G32" i="3"/>
  <c r="D54" i="39"/>
  <c r="B5" i="39" s="1"/>
  <c r="F20" i="10" s="1"/>
  <c r="M4" i="7"/>
  <c r="C3" i="2" s="1"/>
  <c r="D81" i="39"/>
  <c r="D89" i="39"/>
  <c r="D97" i="39" s="1"/>
  <c r="D77" i="42"/>
  <c r="D79" i="42" s="1"/>
  <c r="D31" i="42"/>
  <c r="D85" i="42"/>
  <c r="M83" i="8" l="1"/>
  <c r="M90" i="8" s="1"/>
  <c r="D34" i="42"/>
  <c r="B4" i="42" s="1"/>
  <c r="E22" i="10" s="1"/>
  <c r="I16" i="33"/>
  <c r="D82" i="10" s="1"/>
  <c r="D89" i="10" s="1"/>
  <c r="F27" i="10"/>
  <c r="G27" i="10"/>
  <c r="C7" i="2"/>
  <c r="M24" i="8"/>
  <c r="M25" i="8" s="1"/>
  <c r="M11" i="8"/>
  <c r="M12" i="8" s="1"/>
  <c r="C6" i="2"/>
  <c r="D82" i="42"/>
  <c r="B7" i="42" s="1"/>
  <c r="D82" i="39"/>
  <c r="B7" i="39" s="1"/>
  <c r="D87" i="42"/>
  <c r="D93" i="42"/>
  <c r="D95" i="42" s="1"/>
  <c r="D97" i="42"/>
  <c r="D88" i="42"/>
  <c r="D94" i="42"/>
  <c r="D96" i="42" s="1"/>
  <c r="AT16" i="33"/>
  <c r="BA9" i="33"/>
  <c r="N26" i="33"/>
  <c r="C5" i="2"/>
  <c r="BA11" i="33"/>
  <c r="N28" i="33"/>
  <c r="C33" i="3"/>
  <c r="B33" i="3"/>
  <c r="L33" i="3"/>
  <c r="I33" i="3"/>
  <c r="J33" i="3"/>
  <c r="F33" i="3"/>
  <c r="D33" i="3"/>
  <c r="E33" i="3"/>
  <c r="M22" i="3"/>
  <c r="H33" i="3"/>
  <c r="D88" i="39"/>
  <c r="D94" i="39"/>
  <c r="D96" i="39" s="1"/>
  <c r="M57" i="8"/>
  <c r="N9" i="3"/>
  <c r="N8" i="3"/>
  <c r="N10" i="3"/>
  <c r="N6" i="3"/>
  <c r="N7" i="3"/>
  <c r="N5" i="3"/>
  <c r="D87" i="39"/>
  <c r="D90" i="39" s="1"/>
  <c r="B8" i="39" s="1"/>
  <c r="D93" i="39"/>
  <c r="D95" i="39" s="1"/>
  <c r="K28" i="33"/>
  <c r="B28" i="33"/>
  <c r="L28" i="33" s="1"/>
  <c r="G33" i="3"/>
  <c r="AD9" i="33"/>
  <c r="AK9" i="33" s="1"/>
  <c r="AK16" i="33" s="1"/>
  <c r="D34" i="39"/>
  <c r="B4" i="39" s="1"/>
  <c r="E20" i="10" s="1"/>
  <c r="E27" i="10" s="1"/>
  <c r="C34" i="2" l="1"/>
  <c r="C8" i="2"/>
  <c r="B26" i="33"/>
  <c r="AD16" i="33"/>
  <c r="K26" i="33"/>
  <c r="BA16" i="33"/>
  <c r="D98" i="42"/>
  <c r="B9" i="42" s="1"/>
  <c r="H22" i="10" s="1"/>
  <c r="I22" i="10" s="1"/>
  <c r="P26" i="33"/>
  <c r="O26" i="33"/>
  <c r="S26" i="33"/>
  <c r="N33" i="33"/>
  <c r="M28" i="33"/>
  <c r="R28" i="33"/>
  <c r="D90" i="42"/>
  <c r="B8" i="42" s="1"/>
  <c r="S28" i="33"/>
  <c r="P28" i="33"/>
  <c r="O28" i="33"/>
  <c r="T28" i="33" s="1"/>
  <c r="Q28" i="33"/>
  <c r="D98" i="39"/>
  <c r="B9" i="39" l="1"/>
  <c r="H20" i="10" s="1"/>
  <c r="D100" i="39"/>
  <c r="O33" i="33"/>
  <c r="T26" i="33"/>
  <c r="B33" i="33"/>
  <c r="L26" i="33"/>
  <c r="S33" i="33"/>
  <c r="O42" i="33"/>
  <c r="D75" i="10"/>
  <c r="Q26" i="33"/>
  <c r="K33" i="33"/>
  <c r="D100" i="42"/>
  <c r="M26" i="33" l="1"/>
  <c r="R26" i="33"/>
  <c r="L33" i="33"/>
  <c r="T33" i="33"/>
  <c r="P33" i="33"/>
  <c r="O43" i="33"/>
  <c r="O44" i="33" s="1"/>
  <c r="H27" i="10"/>
  <c r="C4" i="10" s="1"/>
  <c r="E35" i="10"/>
  <c r="E37" i="10" s="1"/>
  <c r="F35" i="10"/>
  <c r="I20" i="10"/>
  <c r="I27" i="10" s="1"/>
  <c r="D74" i="10"/>
  <c r="Q33" i="33"/>
  <c r="K42" i="33"/>
  <c r="M33" i="33" l="1"/>
  <c r="K43" i="33"/>
  <c r="K44" i="33" s="1"/>
  <c r="R33" i="33"/>
  <c r="F37" i="10"/>
  <c r="K35" i="10"/>
  <c r="K37" i="10" s="1"/>
  <c r="AB35" i="10"/>
  <c r="AB37" i="10" s="1"/>
  <c r="H35" i="10"/>
  <c r="H37" i="10" s="1"/>
  <c r="M35" i="10"/>
  <c r="M37" i="10" s="1"/>
  <c r="Q35" i="10"/>
  <c r="Q37" i="10" s="1"/>
  <c r="T35" i="10"/>
  <c r="T37" i="10" s="1"/>
  <c r="AA35" i="10"/>
  <c r="AA37" i="10" s="1"/>
  <c r="AD35" i="10"/>
  <c r="AD37" i="10" s="1"/>
  <c r="W35" i="10"/>
  <c r="W37" i="10" s="1"/>
  <c r="G35" i="10"/>
  <c r="G37" i="10" s="1"/>
  <c r="L35" i="10"/>
  <c r="L37" i="10" s="1"/>
  <c r="AC35" i="10"/>
  <c r="AC37" i="10" s="1"/>
  <c r="P35" i="10"/>
  <c r="P37" i="10" s="1"/>
  <c r="I35" i="10"/>
  <c r="I37" i="10" s="1"/>
  <c r="N35" i="10"/>
  <c r="N37" i="10" s="1"/>
  <c r="O35" i="10"/>
  <c r="O37" i="10" s="1"/>
  <c r="X35" i="10"/>
  <c r="X37" i="10" s="1"/>
  <c r="J35" i="10"/>
  <c r="J37" i="10" s="1"/>
  <c r="U35" i="10"/>
  <c r="U37" i="10" s="1"/>
  <c r="Y35" i="10"/>
  <c r="Y37" i="10" s="1"/>
  <c r="R35" i="10"/>
  <c r="R37" i="10" s="1"/>
  <c r="V35" i="10"/>
  <c r="V37" i="10" s="1"/>
  <c r="Z35" i="10"/>
  <c r="Z37" i="10" s="1"/>
  <c r="S35" i="10"/>
  <c r="S37" i="10" s="1"/>
  <c r="E75" i="10"/>
  <c r="D78" i="10" l="1"/>
  <c r="D79" i="10"/>
  <c r="C14" i="2" l="1"/>
  <c r="E45" i="10"/>
  <c r="D77" i="10" l="1"/>
  <c r="AC45" i="10"/>
  <c r="U45" i="10"/>
  <c r="Z45" i="10"/>
  <c r="AB45" i="10"/>
  <c r="W45" i="10"/>
  <c r="Y45" i="10"/>
  <c r="AD45" i="10"/>
  <c r="Q45" i="10"/>
  <c r="AA45" i="10"/>
  <c r="S45" i="10"/>
  <c r="K45" i="10"/>
  <c r="M45" i="10"/>
  <c r="O45" i="10"/>
  <c r="I45" i="10"/>
  <c r="G45" i="10"/>
  <c r="Z46" i="10"/>
  <c r="AD46" i="10"/>
  <c r="AA46" i="10"/>
  <c r="U46" i="10"/>
  <c r="AB46" i="10"/>
  <c r="S46" i="10"/>
  <c r="Y46" i="10"/>
  <c r="AC46" i="10"/>
  <c r="Q46" i="10"/>
  <c r="W46" i="10"/>
  <c r="I46" i="10"/>
  <c r="K46" i="10"/>
  <c r="G46" i="10"/>
  <c r="O46" i="10"/>
  <c r="M46" i="10"/>
  <c r="C28" i="2"/>
  <c r="C21" i="2"/>
  <c r="C23" i="2"/>
  <c r="D3" i="10"/>
  <c r="F3" i="10" s="1"/>
  <c r="C27" i="2"/>
  <c r="C22" i="2"/>
  <c r="C18" i="2"/>
  <c r="C24" i="2" s="1"/>
  <c r="C19" i="2"/>
  <c r="C25" i="2" s="1"/>
  <c r="C20" i="2"/>
  <c r="C26" i="2" s="1"/>
  <c r="L48" i="10"/>
  <c r="U48" i="10"/>
  <c r="Y54" i="10"/>
  <c r="Z54" i="10"/>
  <c r="Z52" i="10"/>
  <c r="M52" i="10"/>
  <c r="AD56" i="10"/>
  <c r="AD57" i="10" s="1"/>
  <c r="AA56" i="10"/>
  <c r="K50" i="10"/>
  <c r="S50" i="10"/>
  <c r="M48" i="10"/>
  <c r="V48" i="10"/>
  <c r="S54" i="10"/>
  <c r="AA54" i="10"/>
  <c r="N52" i="10"/>
  <c r="Z56" i="10"/>
  <c r="AB56" i="10"/>
  <c r="V50" i="10"/>
  <c r="R50" i="10"/>
  <c r="N50" i="10"/>
  <c r="P48" i="10"/>
  <c r="O48" i="10"/>
  <c r="V54" i="10"/>
  <c r="P54" i="10"/>
  <c r="W52" i="10"/>
  <c r="P52" i="10"/>
  <c r="T56" i="10"/>
  <c r="W56" i="10"/>
  <c r="U50" i="10"/>
  <c r="P50" i="10"/>
  <c r="J48" i="10"/>
  <c r="S48" i="10"/>
  <c r="X54" i="10"/>
  <c r="V52" i="10"/>
  <c r="O52" i="10"/>
  <c r="Y56" i="10"/>
  <c r="W50" i="10"/>
  <c r="T50" i="10"/>
  <c r="N48" i="10"/>
  <c r="R48" i="10"/>
  <c r="R54" i="10"/>
  <c r="Q54" i="10"/>
  <c r="U52" i="10"/>
  <c r="S52" i="10"/>
  <c r="S56" i="10"/>
  <c r="U56" i="10"/>
  <c r="Q50" i="10"/>
  <c r="M50" i="10"/>
  <c r="T48" i="10"/>
  <c r="T54" i="10"/>
  <c r="W54" i="10"/>
  <c r="X52" i="10"/>
  <c r="R52" i="10"/>
  <c r="V56" i="10"/>
  <c r="Q56" i="10"/>
  <c r="L50" i="10"/>
  <c r="O50" i="10"/>
  <c r="X50" i="10"/>
  <c r="H48" i="10"/>
  <c r="I48" i="10"/>
  <c r="AB54" i="10"/>
  <c r="N54" i="10"/>
  <c r="L52" i="10"/>
  <c r="Y52" i="10"/>
  <c r="AC56" i="10"/>
  <c r="R56" i="10"/>
  <c r="J50" i="10"/>
  <c r="K48" i="10"/>
  <c r="Q48" i="10"/>
  <c r="O54" i="10"/>
  <c r="U54" i="10"/>
  <c r="T52" i="10"/>
  <c r="Q52" i="10"/>
  <c r="X56" i="10"/>
  <c r="P56" i="10"/>
  <c r="C30" i="2" l="1"/>
  <c r="C29" i="2"/>
  <c r="E52" i="10"/>
  <c r="E54" i="10"/>
  <c r="C31" i="2"/>
  <c r="C32" i="2"/>
  <c r="E56" i="10"/>
  <c r="E50" i="10"/>
  <c r="E48" i="10"/>
  <c r="B31" i="10"/>
  <c r="D112" i="10"/>
  <c r="E112" i="10"/>
  <c r="E114" i="10" s="1"/>
  <c r="D28" i="10"/>
  <c r="D29" i="10" s="1"/>
  <c r="F44" i="10" l="1"/>
  <c r="R45" i="10" l="1"/>
  <c r="R46" i="10"/>
  <c r="P45" i="10"/>
  <c r="P46" i="10"/>
  <c r="V46" i="10"/>
  <c r="V45" i="10"/>
  <c r="U51" i="10"/>
  <c r="R51" i="10"/>
  <c r="W51" i="10"/>
  <c r="X51" i="10"/>
  <c r="Q51" i="10"/>
  <c r="S51" i="10"/>
  <c r="O51" i="10"/>
  <c r="V51" i="10"/>
  <c r="T51" i="10"/>
  <c r="L51" i="10"/>
  <c r="N51" i="10"/>
  <c r="P51" i="10"/>
  <c r="Y51" i="10"/>
  <c r="K51" i="10"/>
  <c r="M51" i="10"/>
  <c r="J46" i="10"/>
  <c r="J45" i="10"/>
  <c r="Y55" i="10"/>
  <c r="P55" i="10"/>
  <c r="V55" i="10"/>
  <c r="X55" i="10"/>
  <c r="U55" i="10"/>
  <c r="Q55" i="10"/>
  <c r="S55" i="10"/>
  <c r="AB55" i="10"/>
  <c r="AB57" i="10" s="1"/>
  <c r="Z55" i="10"/>
  <c r="O55" i="10"/>
  <c r="R55" i="10"/>
  <c r="AA55" i="10"/>
  <c r="T55" i="10"/>
  <c r="W55" i="10"/>
  <c r="AC55" i="10"/>
  <c r="AC57" i="10" s="1"/>
  <c r="N45" i="10"/>
  <c r="N46" i="10"/>
  <c r="Q49" i="10"/>
  <c r="R49" i="10"/>
  <c r="U49" i="10"/>
  <c r="O49" i="10"/>
  <c r="M49" i="10"/>
  <c r="L49" i="10"/>
  <c r="S49" i="10"/>
  <c r="I49" i="10"/>
  <c r="W49" i="10"/>
  <c r="P49" i="10"/>
  <c r="T49" i="10"/>
  <c r="J49" i="10"/>
  <c r="N49" i="10"/>
  <c r="V49" i="10"/>
  <c r="V57" i="10" s="1"/>
  <c r="K49" i="10"/>
  <c r="H46" i="10"/>
  <c r="H45" i="10"/>
  <c r="T45" i="10"/>
  <c r="T46" i="10"/>
  <c r="C62" i="10"/>
  <c r="I47" i="10"/>
  <c r="G47" i="10"/>
  <c r="S47" i="10"/>
  <c r="N47" i="10"/>
  <c r="M47" i="10"/>
  <c r="R47" i="10"/>
  <c r="P47" i="10"/>
  <c r="K47" i="10"/>
  <c r="L47" i="10"/>
  <c r="Q47" i="10"/>
  <c r="H47" i="10"/>
  <c r="H57" i="10" s="1"/>
  <c r="J47" i="10"/>
  <c r="J57" i="10" s="1"/>
  <c r="U47" i="10"/>
  <c r="T47" i="10"/>
  <c r="O47" i="10"/>
  <c r="F45" i="10"/>
  <c r="F46" i="10"/>
  <c r="X46" i="10"/>
  <c r="X45" i="10"/>
  <c r="Q53" i="10"/>
  <c r="W53" i="10"/>
  <c r="V53" i="10"/>
  <c r="T53" i="10"/>
  <c r="O53" i="10"/>
  <c r="Z53" i="10"/>
  <c r="S53" i="10"/>
  <c r="R53" i="10"/>
  <c r="N53" i="10"/>
  <c r="U53" i="10"/>
  <c r="P53" i="10"/>
  <c r="X53" i="10"/>
  <c r="Y53" i="10"/>
  <c r="AA53" i="10"/>
  <c r="AA57" i="10" s="1"/>
  <c r="M53" i="10"/>
  <c r="L45" i="10"/>
  <c r="L46" i="10"/>
  <c r="S57" i="10" l="1"/>
  <c r="Z57" i="10"/>
  <c r="L57" i="10"/>
  <c r="N57" i="10"/>
  <c r="E49" i="10"/>
  <c r="E53" i="10"/>
  <c r="Q57" i="10"/>
  <c r="E47" i="10"/>
  <c r="G57" i="10"/>
  <c r="I57" i="10"/>
  <c r="K57" i="10"/>
  <c r="E51" i="10"/>
  <c r="K38" i="33"/>
  <c r="O39" i="33"/>
  <c r="O38" i="33"/>
  <c r="K39" i="33"/>
  <c r="C86" i="10"/>
  <c r="C74" i="10"/>
  <c r="C82" i="10"/>
  <c r="C83" i="10"/>
  <c r="C88" i="10"/>
  <c r="C87" i="10"/>
  <c r="C84" i="10"/>
  <c r="C85" i="10"/>
  <c r="C64" i="10"/>
  <c r="C65" i="10"/>
  <c r="C63" i="10"/>
  <c r="P57" i="10"/>
  <c r="Y57" i="10"/>
  <c r="O57" i="10"/>
  <c r="T57" i="10"/>
  <c r="R57" i="10"/>
  <c r="X57" i="10"/>
  <c r="U57" i="10"/>
  <c r="M57" i="10"/>
  <c r="W57" i="10"/>
  <c r="E55" i="10"/>
  <c r="O40" i="33" l="1"/>
  <c r="C89" i="10"/>
  <c r="K40" i="33"/>
  <c r="E57" i="10"/>
  <c r="D4" i="10" s="1"/>
  <c r="G58" i="10"/>
  <c r="H58" i="10" s="1"/>
  <c r="I58" i="10" s="1"/>
  <c r="J58" i="10" s="1"/>
  <c r="K58" i="10" s="1"/>
  <c r="L58" i="10" s="1"/>
  <c r="M58" i="10" s="1"/>
  <c r="N58" i="10" s="1"/>
  <c r="O58" i="10" s="1"/>
  <c r="P58" i="10" s="1"/>
  <c r="Q58" i="10" s="1"/>
  <c r="R58" i="10" s="1"/>
  <c r="S58" i="10" s="1"/>
  <c r="T58" i="10" s="1"/>
  <c r="U58" i="10" s="1"/>
  <c r="V58" i="10" s="1"/>
  <c r="W58" i="10" s="1"/>
  <c r="X58" i="10" s="1"/>
  <c r="Y58" i="10" s="1"/>
  <c r="Z58" i="10" s="1"/>
  <c r="AA58" i="10" s="1"/>
  <c r="AB58" i="10" s="1"/>
  <c r="AC58" i="10" s="1"/>
  <c r="AD58" i="10" s="1"/>
  <c r="D68" i="10" l="1"/>
  <c r="D5" i="10"/>
  <c r="D6" i="10" s="1"/>
  <c r="C68" i="10" l="1"/>
  <c r="D71" i="10"/>
  <c r="D70" i="10"/>
  <c r="D69" i="10"/>
</calcChain>
</file>

<file path=xl/sharedStrings.xml><?xml version="1.0" encoding="utf-8"?>
<sst xmlns="http://schemas.openxmlformats.org/spreadsheetml/2006/main" count="5986" uniqueCount="779">
  <si>
    <t>Instructions to users</t>
  </si>
  <si>
    <t>Blue color indicates an input field</t>
  </si>
  <si>
    <t>Green color indicates an output field</t>
  </si>
  <si>
    <t>Grey color indicates a field which should not be modified</t>
  </si>
  <si>
    <t>The main KPIs can be found here, which are compounded results from the detailed outputs sheets</t>
  </si>
  <si>
    <t xml:space="preserve">The "Input_Area and Costs" Sheet: </t>
  </si>
  <si>
    <t>allows the user to integrate the detailed information about built / renovated area and associated construction / renovation costs</t>
  </si>
  <si>
    <t>shows the assumptions made to calculate the investment cost for low carbon strategies (energy and materials)</t>
  </si>
  <si>
    <t xml:space="preserve">The "Input_Energy Context" Sheet: </t>
  </si>
  <si>
    <t>allow the user to integrate the detailed information about energy price (electricity and gas) for each country and for residential/non-residential building types</t>
  </si>
  <si>
    <t>allow the user to integrate the detailed information about CO2 content for each energy type for each country of the program</t>
  </si>
  <si>
    <t>allow the user to integrate the fact that a country has or has not yet enforced a building energy efficiency code</t>
  </si>
  <si>
    <t xml:space="preserve">The "Input_LC Materials" Sheet: </t>
  </si>
  <si>
    <t>allows the user to integrate whether a country is considered "high tech" or "low tech" to account for the potential to implement low carbon materials strategies</t>
  </si>
  <si>
    <t xml:space="preserve">The "Output_Carbon savings" Sheet: </t>
  </si>
  <si>
    <t>Shows the details of the CO2 emissions savings of the program for each country and each building type over the selected time horizon due to energy efficiency and low carbon materials</t>
  </si>
  <si>
    <t>It also provides the share of CO2 emissions savings due to low carbon materials for each building type and country</t>
  </si>
  <si>
    <t xml:space="preserve">The "Output_Financial savings" Sheet: </t>
  </si>
  <si>
    <t>Shows the details of the energy bills reduction for each country, building type and energy type</t>
  </si>
  <si>
    <t>General KPIs at the scale of the studied pipeline</t>
  </si>
  <si>
    <t>CO2 emissions saved - package 40% energy savings</t>
  </si>
  <si>
    <t>tCO2</t>
  </si>
  <si>
    <t>CO2 emissions saved - package 20% energy savings</t>
  </si>
  <si>
    <t xml:space="preserve">CO2 emissions saved - average of packages 40% et 20% - PEEB Cool program objective </t>
  </si>
  <si>
    <t>Investment on low carbon strategies - package 40% energy savings</t>
  </si>
  <si>
    <t>€</t>
  </si>
  <si>
    <t>Investment on low carbon strategies - package 20% energy savings</t>
  </si>
  <si>
    <t xml:space="preserve">Investment on low carbon strategies - average of packages 40% et 20% - PEEB Cool program objective </t>
  </si>
  <si>
    <t>PEEB Cool program scale general inputs</t>
  </si>
  <si>
    <t>Time horizon for CO2 emissions savings calculation</t>
  </si>
  <si>
    <t>years</t>
  </si>
  <si>
    <t>Factor for linear extrapolation of the KPIs at the scale of the studied pipeline to the scale of the PEEB Cool program</t>
  </si>
  <si>
    <t>General KPIs at the scale of the PEEB Cool program</t>
  </si>
  <si>
    <t>Investment per ton of CO2 saved based on Green Fund Amount - package 40% energy savings</t>
  </si>
  <si>
    <t>€/tCO2</t>
  </si>
  <si>
    <t>Investment per ton of CO2 saved based on Green Fund Amount - package 20% energy savings</t>
  </si>
  <si>
    <t xml:space="preserve">Investment per ton of CO2 saved based on Green Fund Amount - average of packages 40% et 20% - PEEB Cool program objective </t>
  </si>
  <si>
    <t>Energy bills reduction - package 40% energy savings</t>
  </si>
  <si>
    <t>€/year</t>
  </si>
  <si>
    <t>Energy bills reduction - package 20% energy savings</t>
  </si>
  <si>
    <t xml:space="preserve">Energy bills reduction - average of packages 40% et 20% - PEEB Cool program objective </t>
  </si>
  <si>
    <t>Payback period - package 40% energy savings</t>
  </si>
  <si>
    <t>Payback period - package 20% energy savings</t>
  </si>
  <si>
    <t xml:space="preserve">Payback period - average of packages 40% et 20% - PEEB Cool program objective </t>
  </si>
  <si>
    <t>BUILT OR RENOVATED AREA</t>
  </si>
  <si>
    <t>Unit: m²</t>
  </si>
  <si>
    <t>Djibouti</t>
  </si>
  <si>
    <t>Mali</t>
  </si>
  <si>
    <t>Morocco</t>
  </si>
  <si>
    <t>Nigeria</t>
  </si>
  <si>
    <t>Tunisia</t>
  </si>
  <si>
    <t>Argentina</t>
  </si>
  <si>
    <t>Mexico</t>
  </si>
  <si>
    <t>Indonesia</t>
  </si>
  <si>
    <t>Sri Lanka</t>
  </si>
  <si>
    <t>Albania</t>
  </si>
  <si>
    <t>Total for each building type</t>
  </si>
  <si>
    <t>Program area share of each building type</t>
  </si>
  <si>
    <t>Residential</t>
  </si>
  <si>
    <t>Small scale healthcare</t>
  </si>
  <si>
    <t>Hospital</t>
  </si>
  <si>
    <t>Education</t>
  </si>
  <si>
    <t>Small scale office</t>
  </si>
  <si>
    <t>Hotel</t>
  </si>
  <si>
    <t>Retail</t>
  </si>
  <si>
    <t>CONSTRUCTION / RENOVATION COSTS</t>
  </si>
  <si>
    <t>Unit: €/m²</t>
  </si>
  <si>
    <t>Average for each building type</t>
  </si>
  <si>
    <t>Unit: Euros (€)</t>
  </si>
  <si>
    <t>Total par typologie</t>
  </si>
  <si>
    <t>New construction</t>
  </si>
  <si>
    <t>Renovation</t>
  </si>
  <si>
    <t>PACKAGE 40%</t>
  </si>
  <si>
    <t>energy efficiency</t>
  </si>
  <si>
    <t>low carbon materials</t>
  </si>
  <si>
    <t>total</t>
  </si>
  <si>
    <t>PACKAGE 20%</t>
  </si>
  <si>
    <t>ENERGY PRICE</t>
  </si>
  <si>
    <t>Energy price (€)</t>
  </si>
  <si>
    <t>Average for each energy type</t>
  </si>
  <si>
    <t>Residential electricity</t>
  </si>
  <si>
    <t>Non-residential electricity</t>
  </si>
  <si>
    <t>Residential gas</t>
  </si>
  <si>
    <t>Non residential gas</t>
  </si>
  <si>
    <t>CO2 CONTENT OF ELECTRICITY AND GAS FOR EACH COUNTRY</t>
  </si>
  <si>
    <t>COUNTRY</t>
  </si>
  <si>
    <t>Average</t>
  </si>
  <si>
    <t>COEF GAZ (kgCO2/kWh)
Source: ADEME</t>
  </si>
  <si>
    <t>BUILDING ENERGY EFFICIENCY CODE</t>
  </si>
  <si>
    <t>Does the country have enforced a building energy efficiency code?</t>
  </si>
  <si>
    <t>x</t>
  </si>
  <si>
    <t>ENERGY SAVINGS CALCULATED ON EDGE SOFTWARE FOR PACKAGE 40%</t>
  </si>
  <si>
    <t>Unit: kWh/m2/year</t>
  </si>
  <si>
    <t>Average energy saving for each building type - package 40%</t>
  </si>
  <si>
    <t>CLIMATE</t>
  </si>
  <si>
    <t>désertique</t>
  </si>
  <si>
    <t>méditerranéen</t>
  </si>
  <si>
    <t>tropical</t>
  </si>
  <si>
    <t>subtropical humide</t>
  </si>
  <si>
    <t>tropical sur la moitié du pays, aride sur l’autre moitié du pays</t>
  </si>
  <si>
    <t>Equatorial</t>
  </si>
  <si>
    <t>Tropical</t>
  </si>
  <si>
    <t>Méditerranéen</t>
  </si>
  <si>
    <t>Semi-continental</t>
  </si>
  <si>
    <t>50/50</t>
  </si>
  <si>
    <t>ELEC (autres usages)</t>
  </si>
  <si>
    <t>GAZ (chauffage + ECS)</t>
  </si>
  <si>
    <t>Average energy saving for each climate zone - package 40%</t>
  </si>
  <si>
    <t>arid</t>
  </si>
  <si>
    <t>subtropipcal humid</t>
  </si>
  <si>
    <t>mediterrannean</t>
  </si>
  <si>
    <t>highlands</t>
  </si>
  <si>
    <t>ENERGY SAVINGS CALCULATED ON EDGE SOFTWARE FOR PACKAGE 20%</t>
  </si>
  <si>
    <t>Average energy saving for each building type - package 20%</t>
  </si>
  <si>
    <t>Average energy saving for each climate zone - package 20%</t>
  </si>
  <si>
    <t>LOW CARBON MATERIALS CO2 EMISSIONS SAVED PER M²</t>
  </si>
  <si>
    <t>HT</t>
  </si>
  <si>
    <t>LT</t>
  </si>
  <si>
    <t>Building type</t>
  </si>
  <si>
    <t>High Tech country</t>
  </si>
  <si>
    <t>% saved compared to baseline building</t>
  </si>
  <si>
    <t>Low Tech Country</t>
  </si>
  <si>
    <t>CO2 savings (kgeqCO2/m²)</t>
  </si>
  <si>
    <t>*Embodied energy assumptions can be found in chaper 3.1.2 Avoided emissions relating to construction  of the feasibility study</t>
  </si>
  <si>
    <t>Pays LT : le reste</t>
  </si>
  <si>
    <t>Unit : kgeqCO2/m2</t>
  </si>
  <si>
    <t>Choose whether the country is high tech (HT) or low tech (LT)</t>
  </si>
  <si>
    <t>CO2 EMISSIONS SAVED OVER THE SELECTED TIME HORIZON (ENERGY PACKAGE 40% + MATERIALS)</t>
  </si>
  <si>
    <t>Coefficient RT</t>
  </si>
  <si>
    <t>Unit: Tons CO2 (tCO2)</t>
  </si>
  <si>
    <t>SHARE OF CO2 EMISSIONS SAVINGS DUE TO LOW CARBON MATERIALS STRATEGIES FOR PACKAGE 40%</t>
  </si>
  <si>
    <t>Unit: %</t>
  </si>
  <si>
    <t>CO2 EMISSIONS SAVED OVER THE SELECTED TIME HORIZON (ENERGY PACKAGE 20% + MATERIALS)</t>
  </si>
  <si>
    <t>Unité: Tonnes de CO2 (tCO2)</t>
  </si>
  <si>
    <t>TOTAL PAR TYPO</t>
  </si>
  <si>
    <t>SHARE OF CO2 EMISSIONS SAVINGS DUE TO LOW CARBON MATERIALS STRATEGIES FOR PACKAGE 20%</t>
  </si>
  <si>
    <t>CO2 EMISSIONS SAVED OVER THE SELECTED TIME HORIZON ONLY FROM ENERGY SAVINGS - PACKAGE 40%</t>
  </si>
  <si>
    <t>Unit: CO2eq/m2/year</t>
  </si>
  <si>
    <t>Average CO2 saving for each climate zone - package 40%</t>
  </si>
  <si>
    <t>CO2 EMISSIONS SAVED OVER THE SELECTED TIME HORIZON ONLY FROM ENERGY SAVINGS - PACKAGE 20%</t>
  </si>
  <si>
    <t>Average CO2 saving for each climate zone - package 20%</t>
  </si>
  <si>
    <t>INVESTMENT RELATED TO LOW CARBON STRATEGIES PACKAGE 40%</t>
  </si>
  <si>
    <t>Total for the program</t>
  </si>
  <si>
    <t>of total construction / renovation costs</t>
  </si>
  <si>
    <t>INVESTMENT RELATED TO LOW CARBON STRATEGIES PACKAGE 20%</t>
  </si>
  <si>
    <t>Unité: Euros (€)</t>
  </si>
  <si>
    <t>ENERGY BILLS REDUCTION PACKAGE 40%</t>
  </si>
  <si>
    <t>Electricity
Unit: kWh/year</t>
  </si>
  <si>
    <t>Gas
Unit: kWh/year</t>
  </si>
  <si>
    <t>Electricity + Gas
€/year</t>
  </si>
  <si>
    <t>ENERGY BILLS REDUCTION PACKAGE 20%</t>
  </si>
  <si>
    <t>Baseline for energy consumption per climate is presented (kWh/smq/year) below:</t>
  </si>
  <si>
    <t>Equatorial (Abidjan)</t>
  </si>
  <si>
    <t>Tropical (Ziguinchor)</t>
  </si>
  <si>
    <t>Desert (Desert)</t>
  </si>
  <si>
    <t>Subtropical (Buenos Aires)</t>
  </si>
  <si>
    <t>Mediterranean (Tunis)</t>
  </si>
  <si>
    <t>Highland (Addis Ababa)</t>
  </si>
  <si>
    <t>Semi-continental (Skopje)</t>
  </si>
  <si>
    <t>Small multi-family residential</t>
  </si>
  <si>
    <t>Health centers</t>
  </si>
  <si>
    <t>Hospitals</t>
  </si>
  <si>
    <t>Schools</t>
  </si>
  <si>
    <t>Offices</t>
  </si>
  <si>
    <t>-</t>
  </si>
  <si>
    <t>Hotels</t>
  </si>
  <si>
    <t>Overview of energy consumption results, in kWh/m2fa</t>
  </si>
  <si>
    <t>Scenario</t>
  </si>
  <si>
    <t>Mediter. (Tunis)</t>
  </si>
  <si>
    <t>Highland (Addis-Abeba)</t>
  </si>
  <si>
    <t>Semi-continental (Skopje</t>
  </si>
  <si>
    <t xml:space="preserve">Small multi-family residential </t>
  </si>
  <si>
    <t>Baseline</t>
  </si>
  <si>
    <t>20%EE</t>
  </si>
  <si>
    <t>40%EE</t>
  </si>
  <si>
    <t>20% EE scenario</t>
  </si>
  <si>
    <t>40% EE scenario</t>
  </si>
  <si>
    <t>Water consumption</t>
  </si>
  <si>
    <t>230,16</t>
  </si>
  <si>
    <t>201,64</t>
  </si>
  <si>
    <t>(L/patient.day)</t>
  </si>
  <si>
    <t>Embodied energy (MJ/m²)</t>
  </si>
  <si>
    <t>Total embodied energy</t>
  </si>
  <si>
    <t>Floor</t>
  </si>
  <si>
    <t>Roof</t>
  </si>
  <si>
    <t>Exterior walls</t>
  </si>
  <si>
    <t>Interior walls</t>
  </si>
  <si>
    <t>Ground</t>
  </si>
  <si>
    <t>Windows and joinery</t>
  </si>
  <si>
    <t xml:space="preserve">7.3.1.   Health centers </t>
  </si>
  <si>
    <t>Equatorial climate (Abidjan, Côte d’Ivoire):</t>
  </si>
  <si>
    <t xml:space="preserve"> </t>
  </si>
  <si>
    <t>Energy consumption (kWh/m². year)</t>
  </si>
  <si>
    <t>Total final energy consumption</t>
  </si>
  <si>
    <t>56</t>
  </si>
  <si>
    <t>Laundry</t>
  </si>
  <si>
    <t>DHW</t>
  </si>
  <si>
    <t>Lighting</t>
  </si>
  <si>
    <t>Other equipment</t>
  </si>
  <si>
    <t>CO2 Emissions</t>
  </si>
  <si>
    <t>kgCO2/m²/year</t>
  </si>
  <si>
    <t>Tropical climate (Ziguinchor, Senegal):</t>
  </si>
  <si>
    <t xml:space="preserve">Baseline </t>
  </si>
  <si>
    <t xml:space="preserve">20% EE scenario </t>
  </si>
  <si>
    <t xml:space="preserve">40% EE scenario </t>
  </si>
  <si>
    <t>53</t>
  </si>
  <si>
    <t>Desert climate (Djibouti, Republic of Djibouti):</t>
  </si>
  <si>
    <t>57</t>
  </si>
  <si>
    <t>Humid subtropical climate (Buenos Aires, Argentina):</t>
  </si>
  <si>
    <t>Heating</t>
  </si>
  <si>
    <t>14,5</t>
  </si>
  <si>
    <t>Mediterranean climate (Tunis, Tunisia):</t>
  </si>
  <si>
    <t>18</t>
  </si>
  <si>
    <t>Mountain or Highland climate (Addis Abeba, Ethiopia) :</t>
  </si>
  <si>
    <t>Air conditioning (cooling + fan + pumps)</t>
  </si>
  <si>
    <t>Semi-continental climate (Skopje, North Macedonia) :</t>
  </si>
  <si>
    <t>Roof insulation</t>
  </si>
  <si>
    <t>7.3.2.   Social housing</t>
  </si>
  <si>
    <t>NA</t>
  </si>
  <si>
    <t>Domestic appliances</t>
  </si>
  <si>
    <t>Common amenities</t>
  </si>
  <si>
    <t>7.3.3.   Mid-income housing</t>
  </si>
  <si>
    <t>Air conditioning (+fan energy)</t>
  </si>
  <si>
    <t>Insulation</t>
  </si>
  <si>
    <t>7.3.4.   Hospitals</t>
  </si>
  <si>
    <t>107</t>
  </si>
  <si>
    <t>Catering</t>
  </si>
  <si>
    <t>172</t>
  </si>
  <si>
    <t>163</t>
  </si>
  <si>
    <t>37</t>
  </si>
  <si>
    <t>43</t>
  </si>
  <si>
    <t>Air conditioning (cooling + fan + pump)</t>
  </si>
  <si>
    <t>7.3.5.   Education</t>
  </si>
  <si>
    <t>Mechanical ventilation (fan energy)</t>
  </si>
  <si>
    <t>2,5</t>
  </si>
  <si>
    <t>9,4</t>
  </si>
  <si>
    <t>6,4</t>
  </si>
  <si>
    <t>7.3.6.   Offices</t>
  </si>
  <si>
    <t>Air conditioning (including fans and pumps)</t>
  </si>
  <si>
    <t>Roof insultation</t>
  </si>
  <si>
    <t>7.3.7.   Hotels</t>
  </si>
  <si>
    <t>7,2</t>
  </si>
  <si>
    <t>7,1</t>
  </si>
  <si>
    <t>4,1</t>
  </si>
  <si>
    <t xml:space="preserve">7.3.8.   Retail </t>
  </si>
  <si>
    <t>Refrigeration</t>
  </si>
  <si>
    <t>Country</t>
  </si>
  <si>
    <t>m2 impacted</t>
  </si>
  <si>
    <t>Emission reductions over buildings lifetime (average of 20% and 40% reduction cases)</t>
  </si>
  <si>
    <t>20% reduction case</t>
  </si>
  <si>
    <t>40% reduction case</t>
  </si>
  <si>
    <t>m2</t>
  </si>
  <si>
    <t xml:space="preserve">tCO2 </t>
  </si>
  <si>
    <t>Source of information</t>
  </si>
  <si>
    <t>Unit</t>
  </si>
  <si>
    <t>Value</t>
  </si>
  <si>
    <t>Type of building</t>
  </si>
  <si>
    <t>A</t>
  </si>
  <si>
    <t>Lifetime of investment</t>
  </si>
  <si>
    <t>L</t>
  </si>
  <si>
    <t>Years</t>
  </si>
  <si>
    <t>Energy consumption</t>
  </si>
  <si>
    <t>Electricity</t>
  </si>
  <si>
    <t>B1</t>
  </si>
  <si>
    <t>kWh/m2/yr</t>
  </si>
  <si>
    <t>Natural gas</t>
  </si>
  <si>
    <t>C1</t>
  </si>
  <si>
    <t>GHG emissions factors</t>
  </si>
  <si>
    <t>D</t>
  </si>
  <si>
    <t>kgCO2/kWh</t>
  </si>
  <si>
    <t>E</t>
  </si>
  <si>
    <t>Total GHG emissions per unit</t>
  </si>
  <si>
    <t>F1 = B1 x D</t>
  </si>
  <si>
    <t>kgCO2/m2</t>
  </si>
  <si>
    <t>G1 = C1 x E</t>
  </si>
  <si>
    <t>Building materials</t>
  </si>
  <si>
    <t>H1</t>
  </si>
  <si>
    <t>Total GHG emissions</t>
  </si>
  <si>
    <t>I1 = F1 x A</t>
  </si>
  <si>
    <t>tCO2/yr</t>
  </si>
  <si>
    <t>J1 = G1 x A</t>
  </si>
  <si>
    <t>I1 = F1 x A x L</t>
  </si>
  <si>
    <t>J1 = G1 x A x L</t>
  </si>
  <si>
    <t>K1 = H1 x A</t>
  </si>
  <si>
    <t>Total</t>
  </si>
  <si>
    <t>Characteristics of building</t>
  </si>
  <si>
    <t>B2</t>
  </si>
  <si>
    <t>C2</t>
  </si>
  <si>
    <t>F2 = B2 x D</t>
  </si>
  <si>
    <t>G2 = C2 x E</t>
  </si>
  <si>
    <t>H2</t>
  </si>
  <si>
    <t>I2 = F2 x A</t>
  </si>
  <si>
    <t>J2 = G2 x A</t>
  </si>
  <si>
    <t>I2 = F2 x A x L</t>
  </si>
  <si>
    <t>J2 = G2 x A x L</t>
  </si>
  <si>
    <t>K2 = H2 x A</t>
  </si>
  <si>
    <t>B3</t>
  </si>
  <si>
    <t>C3</t>
  </si>
  <si>
    <t>tCO2/MWh</t>
  </si>
  <si>
    <t>F3 = B3 x D</t>
  </si>
  <si>
    <t>G3 = C3 x E</t>
  </si>
  <si>
    <t>H3</t>
  </si>
  <si>
    <t>kgCO2/m2 (lifetime)</t>
  </si>
  <si>
    <t>I3 = F3 x A</t>
  </si>
  <si>
    <t>J3 = G3 x A</t>
  </si>
  <si>
    <t>I3 = F3 x A x L</t>
  </si>
  <si>
    <t>J3 = G3 x A x L</t>
  </si>
  <si>
    <t>K3 = H3 x A</t>
  </si>
  <si>
    <t>GHG reductions - 20% reduction case</t>
  </si>
  <si>
    <t>I1 - I2</t>
  </si>
  <si>
    <t>J1 - J2</t>
  </si>
  <si>
    <t>(I1 - I2) x L</t>
  </si>
  <si>
    <t>(J1 - J2) x L</t>
  </si>
  <si>
    <t>K1 - K2</t>
  </si>
  <si>
    <t>Sum of 20% case</t>
  </si>
  <si>
    <t>GHG reductions - 40% reduction case</t>
  </si>
  <si>
    <t>I1 - I3</t>
  </si>
  <si>
    <t>J1 - J3</t>
  </si>
  <si>
    <t>(I1 - I3) x L</t>
  </si>
  <si>
    <t>(J1 - J3) x L</t>
  </si>
  <si>
    <t>K1 - K3</t>
  </si>
  <si>
    <t>Sum of 40% case</t>
  </si>
  <si>
    <t>GHG reductions - average of 20% and 40% reduction case</t>
  </si>
  <si>
    <t>Average 20% and 40% case</t>
  </si>
  <si>
    <t>Sum of above</t>
  </si>
  <si>
    <t>N/A</t>
  </si>
  <si>
    <t>GHG reductions- 20% reduction case</t>
  </si>
  <si>
    <t>Identité</t>
  </si>
  <si>
    <t>Instruction - Octroi UE</t>
  </si>
  <si>
    <t>Identification - Octroi AFD</t>
  </si>
  <si>
    <t>Formalisation UE</t>
  </si>
  <si>
    <t>Contractualisation AFD</t>
  </si>
  <si>
    <t>Statut</t>
  </si>
  <si>
    <t>ChargéappuiDAT</t>
  </si>
  <si>
    <t>DivisionTech</t>
  </si>
  <si>
    <t>DepartementGeo</t>
  </si>
  <si>
    <t>Opération</t>
  </si>
  <si>
    <t>ModèleConventiondél</t>
  </si>
  <si>
    <t>MoAdirecte</t>
  </si>
  <si>
    <t>Ficheprojet</t>
  </si>
  <si>
    <t>QR</t>
  </si>
  <si>
    <t>PPT</t>
  </si>
  <si>
    <t>PrésenceTAM</t>
  </si>
  <si>
    <t>PrésenceBoard</t>
  </si>
  <si>
    <t>Présenceautrecomité</t>
  </si>
  <si>
    <t>FIP</t>
  </si>
  <si>
    <t>PrésenceCID</t>
  </si>
  <si>
    <t>FPP</t>
  </si>
  <si>
    <t>PrésenceCCR</t>
  </si>
  <si>
    <t>Résolution</t>
  </si>
  <si>
    <t>CPs</t>
  </si>
  <si>
    <t>Annexes</t>
  </si>
  <si>
    <t>FSECUE</t>
  </si>
  <si>
    <t>Conventionfin</t>
  </si>
  <si>
    <t>Identification</t>
  </si>
  <si>
    <t>IB</t>
  </si>
  <si>
    <t>AES</t>
  </si>
  <si>
    <t>AFR</t>
  </si>
  <si>
    <t>UE-AFIF</t>
  </si>
  <si>
    <t>DA</t>
  </si>
  <si>
    <t>oui</t>
  </si>
  <si>
    <t>relue</t>
  </si>
  <si>
    <t>revues</t>
  </si>
  <si>
    <t>revu</t>
  </si>
  <si>
    <t>relues</t>
  </si>
  <si>
    <t>validée</t>
  </si>
  <si>
    <t>Faisabilité</t>
  </si>
  <si>
    <t>VD</t>
  </si>
  <si>
    <t>APM</t>
  </si>
  <si>
    <t>ALC</t>
  </si>
  <si>
    <t>UE-AIF</t>
  </si>
  <si>
    <t>IMDA</t>
  </si>
  <si>
    <t>non</t>
  </si>
  <si>
    <t>relue avec commentaires</t>
  </si>
  <si>
    <t>revues avec commentaires</t>
  </si>
  <si>
    <t>revu avec commentaires</t>
  </si>
  <si>
    <t>relues avec commentaires</t>
  </si>
  <si>
    <t>validée avec observations</t>
  </si>
  <si>
    <t>Evaluation</t>
  </si>
  <si>
    <t>MC</t>
  </si>
  <si>
    <t>ARB</t>
  </si>
  <si>
    <t>ASI</t>
  </si>
  <si>
    <t>UE-BEKOU</t>
  </si>
  <si>
    <t>PAGODA 1</t>
  </si>
  <si>
    <t>partielle</t>
  </si>
  <si>
    <t>appui rédaction</t>
  </si>
  <si>
    <t>non revue</t>
  </si>
  <si>
    <t>non relue</t>
  </si>
  <si>
    <t>non reçue</t>
  </si>
  <si>
    <t>Abandonné</t>
  </si>
  <si>
    <t>SD</t>
  </si>
  <si>
    <t>ARC</t>
  </si>
  <si>
    <t>MED</t>
  </si>
  <si>
    <t>UE-CIF</t>
  </si>
  <si>
    <t>PAGODA 2</t>
  </si>
  <si>
    <t>appui négociation</t>
  </si>
  <si>
    <t>non revu</t>
  </si>
  <si>
    <t>Annulé</t>
  </si>
  <si>
    <t>MS</t>
  </si>
  <si>
    <t>CLD</t>
  </si>
  <si>
    <t>OMR</t>
  </si>
  <si>
    <t>UE-FFU</t>
  </si>
  <si>
    <t>Letter of intent</t>
  </si>
  <si>
    <t>non relues</t>
  </si>
  <si>
    <t>Exécution</t>
  </si>
  <si>
    <t>VM</t>
  </si>
  <si>
    <t>CLI</t>
  </si>
  <si>
    <t>UE-FIV</t>
  </si>
  <si>
    <t>Achevé</t>
  </si>
  <si>
    <t>CM</t>
  </si>
  <si>
    <t>CNS</t>
  </si>
  <si>
    <t>UE-IFCA</t>
  </si>
  <si>
    <t>Instruction</t>
  </si>
  <si>
    <t>QL</t>
  </si>
  <si>
    <t>DPO</t>
  </si>
  <si>
    <t>UE-IFP</t>
  </si>
  <si>
    <t>Décision</t>
  </si>
  <si>
    <t>EAA</t>
  </si>
  <si>
    <t>UE-ITF</t>
  </si>
  <si>
    <t>Formalisation</t>
  </si>
  <si>
    <t>EDU</t>
  </si>
  <si>
    <t>UE-LAIF</t>
  </si>
  <si>
    <t>Versement</t>
  </si>
  <si>
    <t>FIN</t>
  </si>
  <si>
    <t>UE-MADAD</t>
  </si>
  <si>
    <t>Suivi Port.</t>
  </si>
  <si>
    <t>GAR</t>
  </si>
  <si>
    <t>UE-THEMATIQUE</t>
  </si>
  <si>
    <t>IFP</t>
  </si>
  <si>
    <t>UNION EUROP</t>
  </si>
  <si>
    <t>JUR</t>
  </si>
  <si>
    <t>NDE</t>
  </si>
  <si>
    <t>NTE</t>
  </si>
  <si>
    <t>SAN</t>
  </si>
  <si>
    <t>TED</t>
  </si>
  <si>
    <t>Suivi UE - Reporting annuel &amp; final</t>
  </si>
  <si>
    <t>Suivi AFD</t>
  </si>
  <si>
    <t>AvenantUE</t>
  </si>
  <si>
    <t>CRA1ValidéUE</t>
  </si>
  <si>
    <t>CRA2Validé UE</t>
  </si>
  <si>
    <t>CRA3ValidéUE</t>
  </si>
  <si>
    <t>CRA4ValidéUE</t>
  </si>
  <si>
    <t>CRA5ValidéUE</t>
  </si>
  <si>
    <t>CRFValidéUE</t>
  </si>
  <si>
    <t>AppuiDAT</t>
  </si>
  <si>
    <t>AvenantAFD</t>
  </si>
  <si>
    <t>relu</t>
  </si>
  <si>
    <t>relu avec commentaires</t>
  </si>
  <si>
    <t>non relu</t>
  </si>
  <si>
    <t>Title</t>
  </si>
  <si>
    <t>TOE per MWh</t>
  </si>
  <si>
    <t>GEL per EUR</t>
  </si>
  <si>
    <t>Official exchange rate on 04/8/2020: https://www.nbg.gov.ge/index.php?m=582&amp;lng=eng</t>
  </si>
  <si>
    <t>TOE per GJ</t>
  </si>
  <si>
    <t>USD per EUR</t>
  </si>
  <si>
    <t xml:space="preserve">Official exchange rate on 04/8/2020: https://www.ecb.europa.eu/stats/exchange/eurofxref/html/eurofxref-graph-usd.en.html </t>
  </si>
  <si>
    <t>MWh per GJ</t>
  </si>
  <si>
    <t>Cost per man-month - government</t>
  </si>
  <si>
    <t>Cost per man-month - international consultant</t>
  </si>
  <si>
    <t>Gcal per MWh</t>
  </si>
  <si>
    <t>Cost per man-month -  municipality</t>
  </si>
  <si>
    <t>Cost per man - month - national consultant</t>
  </si>
  <si>
    <t>Energy Content of Selected Fuels for End Use</t>
  </si>
  <si>
    <t xml:space="preserve">Energy commodity </t>
  </si>
  <si>
    <t>Value (lower bound)</t>
  </si>
  <si>
    <t>Value (upper bound)</t>
  </si>
  <si>
    <t>CO2</t>
  </si>
  <si>
    <t>Warming factor</t>
  </si>
  <si>
    <t>CH4</t>
  </si>
  <si>
    <t>N2O</t>
  </si>
  <si>
    <t>Light fuel oil (diesel)</t>
  </si>
  <si>
    <t>Energy content</t>
  </si>
  <si>
    <t>GJ/kg</t>
  </si>
  <si>
    <t>Energy Efficiency Directive - referring to Eurostat</t>
  </si>
  <si>
    <t>toe/kg</t>
  </si>
  <si>
    <t>MWh/kg</t>
  </si>
  <si>
    <t>GJ/liter</t>
  </si>
  <si>
    <t>Markal model - as from the International Gas Union</t>
  </si>
  <si>
    <t>GHG Emissions - stationary combustion in energy industries</t>
  </si>
  <si>
    <t>tonnes CO2eq/GJ</t>
  </si>
  <si>
    <t>IPCC (2006) Guidelines for National GHG Inventories</t>
  </si>
  <si>
    <t>GHG Emissions - stationary combustion in manufacturing industries and construction</t>
  </si>
  <si>
    <t>GHG Emissions - stationary combustion in commercial/ institutional</t>
  </si>
  <si>
    <t>GHG Emissions - stationary combustion in residential and agriculture, etc.</t>
  </si>
  <si>
    <t>GHG Emissions - mobile combustion for road transport</t>
  </si>
  <si>
    <t>Motor spirit (petrol/gasoline)</t>
  </si>
  <si>
    <t>MARKAL model</t>
  </si>
  <si>
    <t>GJ/m3</t>
  </si>
  <si>
    <t>Georgia Energy balance</t>
  </si>
  <si>
    <t>MWh/1000 m3</t>
  </si>
  <si>
    <t>Calculated</t>
  </si>
  <si>
    <t>GHG Emissions - gas
distribution losses</t>
  </si>
  <si>
    <t>tonnes CO2eq/1000 m3</t>
  </si>
  <si>
    <t>Calculated based on CDM Project 2404-Leak Reduction in Gas Distribution-CER Spreadsheet</t>
  </si>
  <si>
    <t>GHG Emissions - gas distribution losses</t>
  </si>
  <si>
    <t>tonnes CO2eq/MWh</t>
  </si>
  <si>
    <t>Liquefied natural gas (same as Compressed Natural Gas)</t>
  </si>
  <si>
    <t>Markal Model (for natural gas in transport)</t>
  </si>
  <si>
    <t>Liquefied petroleum gas</t>
  </si>
  <si>
    <t>Markal Model (for LPG in transport)</t>
  </si>
  <si>
    <t>Kerosene - jet fuel</t>
  </si>
  <si>
    <t>Other Kerosene</t>
  </si>
  <si>
    <t>Anthracite</t>
  </si>
  <si>
    <t>Other bituminous coal</t>
  </si>
  <si>
    <t>Patent fuel</t>
  </si>
  <si>
    <t>Wood (25 % humidity)</t>
  </si>
  <si>
    <t>Electricity from natural gas</t>
  </si>
  <si>
    <t>GJ/MWh</t>
  </si>
  <si>
    <t>toe/MWh</t>
  </si>
  <si>
    <t>Calculated under Sector stats-1 of primary energy calculations sheet</t>
  </si>
  <si>
    <t>Electricity from the grid in general</t>
  </si>
  <si>
    <t>Interview with the Ministry of Environment and Natural Resources Protection of Georgia</t>
  </si>
  <si>
    <t>Coke/ Oven Coke</t>
  </si>
  <si>
    <t>Hard coal</t>
  </si>
  <si>
    <t>GHG Emissions - stationary combustion in energy industries (Other bituminous coal)</t>
  </si>
  <si>
    <t>GHG Emissions - stationary combustion in manufacturing industries (Other bituminous coal)</t>
  </si>
  <si>
    <t>GHG Emissions - stationary combustion in commercial/ institutional (Other bituminous coal)</t>
  </si>
  <si>
    <t>Brown coal briquettes</t>
  </si>
  <si>
    <t>GHG Emissions - stationary combustion in manufacturing industries</t>
  </si>
  <si>
    <t>Brown coal</t>
  </si>
  <si>
    <t>GHG Emissions - stationary combustion in energy industries (same as Brown coal briquettes)</t>
  </si>
  <si>
    <t>GHG Emissions - stationary combustion in manufacturing industries (same as Brown coal briquettes)</t>
  </si>
  <si>
    <t>GHG Emissions - stationary combustion in commercial/ institutional (same as Brown coal briquettes)</t>
  </si>
  <si>
    <t>Black lignite</t>
  </si>
  <si>
    <t>Pellets/wood bricks</t>
  </si>
  <si>
    <t>GHG Emissions - stationary combustion in energy industries (same as wood)</t>
  </si>
  <si>
    <t>GHG Emissions - stationary combustion in manufacturing industries (same as wood)</t>
  </si>
  <si>
    <t>GHG Emissions - stationary combustion in commercial/ institutional (same as wood)</t>
  </si>
  <si>
    <t>GHG Emissions - stationary combustion in residential and agriculture, etc. (same as wood)</t>
  </si>
  <si>
    <t>Oil shale</t>
  </si>
  <si>
    <t>Peat</t>
  </si>
  <si>
    <t>Peat briquettes</t>
  </si>
  <si>
    <t>GHG Emissions - stationary combustion in energy industries (same as peat)</t>
  </si>
  <si>
    <t>GHG Emissions - stationary combustion in manufacturing industries (same as peat)</t>
  </si>
  <si>
    <t>GHG Emissions - stationary combustion in commercial/ institutional (same as peat)</t>
  </si>
  <si>
    <t>GHG Emissions - stationary combustion in residential and agriculture, etc. (same as peat)</t>
  </si>
  <si>
    <t>Residual fuel oil (heavy oil)</t>
  </si>
  <si>
    <t>Paraffin</t>
  </si>
  <si>
    <t>Waste</t>
  </si>
  <si>
    <t>Biodiesel</t>
  </si>
  <si>
    <t>Energy content (from rapeseed oil)</t>
  </si>
  <si>
    <t>Biomass Energy Centre Web-site: http://www.biomassenergycentre.org.uk/</t>
  </si>
  <si>
    <t>Commodity</t>
  </si>
  <si>
    <t>(tonnes CO2eq/GJ)</t>
  </si>
  <si>
    <t>(tonnes CO2eq/toe)</t>
  </si>
  <si>
    <t>(unit)</t>
  </si>
  <si>
    <t xml:space="preserve">Emissions Factor - stationary combustion in residential and agriculture, etc. </t>
  </si>
  <si>
    <t>GHG emissions (tCO2e)</t>
  </si>
  <si>
    <t>Sources:</t>
  </si>
  <si>
    <t xml:space="preserve">2030 NDC target </t>
  </si>
  <si>
    <t>Consumption (000 toe)</t>
  </si>
  <si>
    <t>Assumptions:</t>
  </si>
  <si>
    <t>https://au-afrec.org/en/energy-balances</t>
  </si>
  <si>
    <t>https://www.carbonbrief.org/the-carbon-brief-profile-nigeria</t>
  </si>
  <si>
    <t>TOTAL (tCO2e)</t>
  </si>
  <si>
    <t>TOTAL (MtCO2e)</t>
  </si>
  <si>
    <t>https://www.esdm.go.id/assets/media/content/content-handbook-of-energy-and-economic-statistics-of-indonesia-2018-final-edition.pdf</t>
  </si>
  <si>
    <t>Sectors: Residential/households, commercial, other</t>
  </si>
  <si>
    <t>1 boe = 0.136 toe</t>
  </si>
  <si>
    <t>https://www.gob.mx/cms/uploads/attachment/file/528054/Balance_Nacional_de_Energ_a_2018.pdf</t>
  </si>
  <si>
    <t>Consumption (000 boe)</t>
  </si>
  <si>
    <t>Consumption (ktoe)</t>
  </si>
  <si>
    <t>http://www.energy.gov.lk/images/energy-balance/energy-balance-2019-lq.pdf</t>
  </si>
  <si>
    <r>
      <t>Government Secretariat of Energy, National Energy Balance of the Argentine Republic (2017),</t>
    </r>
    <r>
      <rPr>
        <sz val="11"/>
        <color rgb="FF005BAE"/>
        <rFont val="Arial"/>
        <family val="2"/>
      </rPr>
      <t> http://www.argentina.gob.ar/energia/hidrocarburos/balances-energeticos-0</t>
    </r>
  </si>
  <si>
    <t>http://www.instat.gov.al/en/themes/environment-and-energy/energy/#tab2</t>
  </si>
  <si>
    <t>https://www.iea.org/data-and-statistics?country=MOROCCO&amp;fuel=CO2%20emissions&amp;indicator=CO2BySector</t>
  </si>
  <si>
    <t>Nigeria (IEA)</t>
  </si>
  <si>
    <t>https://ourworldindata.org/grapher/total-ghg-emissions?tab=table&amp;country=~ALB</t>
  </si>
  <si>
    <t>https://ourworldindata.org/co2/country/albania#total-greenhouse-gas-emissions-how-much-does-the-average-person-emit-where-do-emissions-come-from</t>
  </si>
  <si>
    <t>Annual CO2 emissions (excluding land-use)</t>
  </si>
  <si>
    <t>Total CO2 emissions 2020</t>
  </si>
  <si>
    <t>https://www.iea.org/data-and-statistics/data-browser?country=ALBANIA&amp;fuel=CO2%20emissions&amp;indicator=TotCO2</t>
  </si>
  <si>
    <t>Grid emissions factor (country specific)</t>
  </si>
  <si>
    <t>Grid emissions factor:</t>
  </si>
  <si>
    <t>Source</t>
  </si>
  <si>
    <t>EDGE</t>
  </si>
  <si>
    <t>Consumption (GJ)</t>
  </si>
  <si>
    <t>tCO2 over lifetime</t>
  </si>
  <si>
    <t>Year</t>
  </si>
  <si>
    <t>Investment</t>
  </si>
  <si>
    <t>% of project completion (construction)</t>
  </si>
  <si>
    <t>Cumulative CO2 savings</t>
  </si>
  <si>
    <t>Total CO2 reductions</t>
  </si>
  <si>
    <t>CO2 reductions - Year 1</t>
  </si>
  <si>
    <t>CO2 reductions - Year 2</t>
  </si>
  <si>
    <t>Notes / sources</t>
  </si>
  <si>
    <t>Category</t>
  </si>
  <si>
    <t>%</t>
  </si>
  <si>
    <t>Million EUR</t>
  </si>
  <si>
    <t>Note that this does not include baseline investments which do not have environmental benefits which can be calculated here</t>
  </si>
  <si>
    <t>GCF budget</t>
  </si>
  <si>
    <t>CO2 reductions - Year 3</t>
  </si>
  <si>
    <t>CO2 reductions - Year 4</t>
  </si>
  <si>
    <t>CO2 reductions - Year 5</t>
  </si>
  <si>
    <t>CO2 reductions - Year 6</t>
  </si>
  <si>
    <t>CO2 reductions - Year 7</t>
  </si>
  <si>
    <t>CO2 reductions - Year 8</t>
  </si>
  <si>
    <t>Cumulative CO2 reductions</t>
  </si>
  <si>
    <t>Total CO2 reductions (tCO2/year)</t>
  </si>
  <si>
    <t>Expected disbursement*</t>
  </si>
  <si>
    <t>GHG emissions without EE measures:</t>
  </si>
  <si>
    <t>GHG emissions summary (tCO2 over lifetime)</t>
  </si>
  <si>
    <t>GHG baseline emissions and emissions reductions for Djibouti small scale office</t>
  </si>
  <si>
    <t>Emissions without EE measures (baseline)</t>
  </si>
  <si>
    <t>Emissions - 20% reduction case</t>
  </si>
  <si>
    <t>Emissions - 40% reduction case</t>
  </si>
  <si>
    <t>Emissions reductions - 20% reduction case</t>
  </si>
  <si>
    <t>Emissions reductions - average of 20% and 40% reduction case</t>
  </si>
  <si>
    <t>Emissions reductions - 40% reduction case</t>
  </si>
  <si>
    <t>GHG baseline emissions and emissions reductions for Nigeria residential case</t>
  </si>
  <si>
    <t>Emissions without EE measures (baseline):</t>
  </si>
  <si>
    <t>Emission reductions per year (average of 20% and 40% reduction cases)</t>
  </si>
  <si>
    <t>GHG baseline emissions and emissions reductions for Tunisia residential case</t>
  </si>
  <si>
    <t>GHG baseline emissions and emissions reductions for Tunisia hospital case</t>
  </si>
  <si>
    <t>GHG baseline emissions and emissions reductions for Argentina residential case</t>
  </si>
  <si>
    <t>GHG baseline emissions and emissions reductions for Albania hospital case</t>
  </si>
  <si>
    <t>All climates</t>
  </si>
  <si>
    <t>7.3 EDGE simulation results</t>
  </si>
  <si>
    <t>Indicators</t>
  </si>
  <si>
    <t>Total surface area built (m2)</t>
  </si>
  <si>
    <t>Input</t>
  </si>
  <si>
    <t>Assumption</t>
  </si>
  <si>
    <t>Number of assets (m^2 devided by default area in EDGE)</t>
  </si>
  <si>
    <t xml:space="preserve">Beneficiary by asset </t>
  </si>
  <si>
    <t>Direct beneficiaries</t>
  </si>
  <si>
    <t>Beneficiaries by Gender</t>
  </si>
  <si>
    <t>Household members</t>
  </si>
  <si>
    <t>Health Centers/100000 people</t>
  </si>
  <si>
    <t>Hospitals/100000 people</t>
  </si>
  <si>
    <t>Education (Occupanty Density m2/person)</t>
  </si>
  <si>
    <t>Small scale office  (Occupanty Density m2/person)</t>
  </si>
  <si>
    <t>Hotel  (Occupanty Density m2/person)</t>
  </si>
  <si>
    <t>Retail  (Occupanty Density m2/person)</t>
  </si>
  <si>
    <t>Residential (Sex Ratio - males/100 females)</t>
  </si>
  <si>
    <t>Source of Data</t>
  </si>
  <si>
    <t>Feasibility study</t>
  </si>
  <si>
    <r>
      <rPr>
        <sz val="10"/>
        <rFont val="Arial"/>
        <family val="2"/>
      </rPr>
      <t xml:space="preserve">WHO </t>
    </r>
    <r>
      <rPr>
        <u/>
        <sz val="10"/>
        <color rgb="FF1155CC"/>
        <rFont val="Arial"/>
        <family val="2"/>
      </rPr>
      <t>Global Health Observatory</t>
    </r>
  </si>
  <si>
    <r>
      <rPr>
        <u/>
        <sz val="10"/>
        <color rgb="FF1155CC"/>
        <rFont val="Arial"/>
        <family val="2"/>
      </rPr>
      <t>EDGE</t>
    </r>
    <r>
      <rPr>
        <sz val="11"/>
        <color theme="1"/>
        <rFont val="Arial"/>
        <family val="2"/>
      </rPr>
      <t xml:space="preserve"> </t>
    </r>
  </si>
  <si>
    <t>Assumption: One household per 25years</t>
  </si>
  <si>
    <t>Assumption: A pupil will remain for 5 years in school</t>
  </si>
  <si>
    <r>
      <rPr>
        <u/>
        <sz val="10"/>
        <color rgb="FF1155CC"/>
        <rFont val="Arial"/>
        <family val="2"/>
      </rPr>
      <t>UN</t>
    </r>
    <r>
      <rPr>
        <sz val="10"/>
        <rFont val="Arial"/>
        <family val="2"/>
      </rPr>
      <t xml:space="preserve"> DESA </t>
    </r>
  </si>
  <si>
    <t>UN DESA 2019, 2017</t>
  </si>
  <si>
    <t>Direct Beneficiaries by gender and country (females)</t>
  </si>
  <si>
    <t>Population (thousands)</t>
  </si>
  <si>
    <t>Total Direct Beneficiaries</t>
  </si>
  <si>
    <t>Female Direct beneficiaries</t>
  </si>
  <si>
    <t>UNDESA for 2020</t>
  </si>
  <si>
    <t>N. Macedonia</t>
  </si>
  <si>
    <t>North Macedonia</t>
  </si>
  <si>
    <t>MtCO2eq</t>
  </si>
  <si>
    <t>MtCO2</t>
  </si>
  <si>
    <t xml:space="preserve">Key emissions figures </t>
  </si>
  <si>
    <t xml:space="preserve">*These figures are from IEA source which the GCF notes refer us to, however this source does not include Djibouti, hence why World in Data was used. </t>
  </si>
  <si>
    <t>GHG baseline emissions and emissions reductions for Morocco residential case</t>
  </si>
  <si>
    <t>GHG baseline emissions and emissions reductions for Morocco education case</t>
  </si>
  <si>
    <t>GHG baseline emissions and emissions reductions for North Macedonia retail case</t>
  </si>
  <si>
    <t>tCO2/year</t>
  </si>
  <si>
    <t xml:space="preserve">Nigeria </t>
  </si>
  <si>
    <t>Mexico*</t>
  </si>
  <si>
    <t>Indonesia**</t>
  </si>
  <si>
    <t>Sri Lanka**</t>
  </si>
  <si>
    <t>GHG baseline emissions and emissions reductions for Mexico residential case</t>
  </si>
  <si>
    <t>For Albania based on Feasibility Study</t>
  </si>
  <si>
    <t>GHG baseline emissions and emissions reductions for Indonesia residential case</t>
  </si>
  <si>
    <t>GHG baseline emissions and emissions reductions for Sri Lanka small scale office</t>
  </si>
  <si>
    <t>Green Fund and AFD Amount</t>
  </si>
  <si>
    <t>Total Indirect Beneficiaries</t>
  </si>
  <si>
    <t>Direct as % of the country population</t>
  </si>
  <si>
    <t>Indirect as % of the country population</t>
  </si>
  <si>
    <t>Direct Female as % of the country population</t>
  </si>
  <si>
    <t>Building energy efficiency code factor (i.e. improvement in EE above baseline if codes are non-existent)</t>
  </si>
  <si>
    <t>Matrix of material carbon gains by country and by type / Matrice des gains carbone matériaux par pays et par typologie</t>
  </si>
  <si>
    <t>*Expected disbursement and investments taken from Annex 4 Budget plan</t>
  </si>
  <si>
    <t>GCF allocation for mitigation</t>
  </si>
  <si>
    <t>Indirect Female as % of the country population</t>
  </si>
  <si>
    <t>Mid-Term</t>
  </si>
  <si>
    <t>Direct emissions reductions (tCO2eq - lifetime)</t>
  </si>
  <si>
    <t>Target for disbursement</t>
  </si>
  <si>
    <t>Total direct beneficiaries</t>
  </si>
  <si>
    <t>Total indirect beneficiaries</t>
  </si>
  <si>
    <t>Mitigation</t>
  </si>
  <si>
    <t>Adaptation / beneficiaries</t>
  </si>
  <si>
    <t>Female Indirect beneficiaries</t>
  </si>
  <si>
    <t>Indirect impact</t>
  </si>
  <si>
    <t>Impacted over 15 years due to policy improvements (3% building renovation / renewal rate)</t>
  </si>
  <si>
    <t>GCF allocation for adaptation</t>
  </si>
  <si>
    <r>
      <rPr>
        <b/>
        <sz val="10"/>
        <color rgb="FF365682"/>
        <rFont val="Arial"/>
        <family val="2"/>
      </rPr>
      <t>7.3.1.   Health centers</t>
    </r>
    <r>
      <rPr>
        <b/>
        <u/>
        <sz val="10"/>
        <color rgb="FF434343"/>
        <rFont val="Arial"/>
        <family val="2"/>
      </rPr>
      <t xml:space="preserve"> </t>
    </r>
  </si>
  <si>
    <r>
      <t>(m</t>
    </r>
    <r>
      <rPr>
        <vertAlign val="superscript"/>
        <sz val="10"/>
        <color rgb="FF434343"/>
        <rFont val="Arial"/>
        <family val="2"/>
      </rPr>
      <t>3</t>
    </r>
    <r>
      <rPr>
        <sz val="10"/>
        <color rgb="FF434343"/>
        <rFont val="Arial"/>
        <family val="2"/>
      </rPr>
      <t>/patient.year)</t>
    </r>
  </si>
  <si>
    <r>
      <t>(liter/m</t>
    </r>
    <r>
      <rPr>
        <vertAlign val="superscript"/>
        <sz val="10"/>
        <color rgb="FF434343"/>
        <rFont val="Arial"/>
        <family val="2"/>
      </rPr>
      <t>2</t>
    </r>
    <r>
      <rPr>
        <sz val="10"/>
        <color rgb="FF434343"/>
        <rFont val="Arial"/>
        <family val="2"/>
      </rPr>
      <t>.an)</t>
    </r>
  </si>
  <si>
    <r>
      <t>(m</t>
    </r>
    <r>
      <rPr>
        <vertAlign val="superscript"/>
        <sz val="10"/>
        <color rgb="FF434343"/>
        <rFont val="Arial"/>
        <family val="2"/>
      </rPr>
      <t>3</t>
    </r>
    <r>
      <rPr>
        <sz val="10"/>
        <color rgb="FF434343"/>
        <rFont val="Arial"/>
        <family val="2"/>
      </rPr>
      <t>/m</t>
    </r>
    <r>
      <rPr>
        <vertAlign val="superscript"/>
        <sz val="10"/>
        <color rgb="FF434343"/>
        <rFont val="Arial"/>
        <family val="2"/>
      </rPr>
      <t>2</t>
    </r>
    <r>
      <rPr>
        <sz val="10"/>
        <color rgb="FF434343"/>
        <rFont val="Arial"/>
        <family val="2"/>
      </rPr>
      <t>)</t>
    </r>
  </si>
  <si>
    <r>
      <t>7.3.2.</t>
    </r>
    <r>
      <rPr>
        <b/>
        <sz val="10"/>
        <color rgb="FF365682"/>
        <rFont val="Arial"/>
        <family val="2"/>
      </rPr>
      <t>   Social housing</t>
    </r>
    <r>
      <rPr>
        <b/>
        <u/>
        <sz val="10"/>
        <color rgb="FF434343"/>
        <rFont val="Arial"/>
        <family val="2"/>
      </rPr>
      <t xml:space="preserve"> </t>
    </r>
  </si>
  <si>
    <r>
      <t>7.3.3.   Mid-income housing</t>
    </r>
    <r>
      <rPr>
        <b/>
        <u/>
        <sz val="10"/>
        <color rgb="FF434343"/>
        <rFont val="Arial"/>
        <family val="2"/>
      </rPr>
      <t xml:space="preserve"> All climates</t>
    </r>
  </si>
  <si>
    <t>Water consumption (kL/unit/year)</t>
  </si>
  <si>
    <r>
      <t>7.3.4.   Hospitals</t>
    </r>
    <r>
      <rPr>
        <b/>
        <u/>
        <sz val="10"/>
        <color rgb="FF434343"/>
        <rFont val="Arial"/>
        <family val="2"/>
      </rPr>
      <t xml:space="preserve"> All climates</t>
    </r>
  </si>
  <si>
    <r>
      <t>7.3.5.   Education</t>
    </r>
    <r>
      <rPr>
        <b/>
        <u/>
        <sz val="10"/>
        <color rgb="FF434343"/>
        <rFont val="Arial"/>
        <family val="2"/>
      </rPr>
      <t xml:space="preserve"> All climates</t>
    </r>
  </si>
  <si>
    <r>
      <t>(m</t>
    </r>
    <r>
      <rPr>
        <vertAlign val="superscript"/>
        <sz val="10"/>
        <color rgb="FF434343"/>
        <rFont val="Arial"/>
        <family val="2"/>
      </rPr>
      <t>3</t>
    </r>
    <r>
      <rPr>
        <sz val="10"/>
        <color rgb="FF434343"/>
        <rFont val="Arial"/>
        <family val="2"/>
      </rPr>
      <t>/day)</t>
    </r>
  </si>
  <si>
    <r>
      <t>7.3.6.   Offices</t>
    </r>
    <r>
      <rPr>
        <b/>
        <u/>
        <sz val="10"/>
        <color rgb="FF434343"/>
        <rFont val="Arial"/>
        <family val="2"/>
      </rPr>
      <t xml:space="preserve"> All climates</t>
    </r>
  </si>
  <si>
    <r>
      <t>7.3.7.   Hotels</t>
    </r>
    <r>
      <rPr>
        <b/>
        <u/>
        <sz val="10"/>
        <color rgb="FF434343"/>
        <rFont val="Arial"/>
        <family val="2"/>
      </rPr>
      <t xml:space="preserve"> All climates</t>
    </r>
  </si>
  <si>
    <r>
      <t>(liter/m</t>
    </r>
    <r>
      <rPr>
        <vertAlign val="superscript"/>
        <sz val="10"/>
        <color rgb="FF434343"/>
        <rFont val="Arial"/>
        <family val="2"/>
      </rPr>
      <t>2</t>
    </r>
    <r>
      <rPr>
        <sz val="10"/>
        <color rgb="FF434343"/>
        <rFont val="Arial"/>
        <family val="2"/>
      </rPr>
      <t>.year)</t>
    </r>
  </si>
  <si>
    <r>
      <t>7.3.8.   Retail</t>
    </r>
    <r>
      <rPr>
        <b/>
        <u/>
        <sz val="10"/>
        <color rgb="FF434343"/>
        <rFont val="Arial"/>
        <family val="2"/>
      </rPr>
      <t xml:space="preserve"> All climates</t>
    </r>
  </si>
  <si>
    <t>Baseline characteristics of building</t>
  </si>
  <si>
    <t>Nigeria***</t>
  </si>
  <si>
    <t>GHG baseline emissions and emissions reductions for Mexico small scale office</t>
  </si>
  <si>
    <t>COEF CO2 ELEC (kgCO2/kWh)
Source: The  IFI  Dataset  of  Default  Grid Factors v.2.0 (2019)</t>
  </si>
  <si>
    <t>Annual emissions from buildings</t>
  </si>
  <si>
    <t xml:space="preserve">Total GHG emissions in 2016 including LULUCF </t>
  </si>
  <si>
    <t>Total avoided indirect GHG emissions for a 30% energy saving package (tCO2eq over 15 years)</t>
  </si>
  <si>
    <t>Total avoided direct GHG emissions for a 30% energy saving package (tCO2eq over 15 years)</t>
  </si>
  <si>
    <t>Total avoided direct and indirect GHG emissions for a 30% energy saving package (tCO2eq over 15 years)</t>
  </si>
  <si>
    <t>Percentage of reductions from building materials</t>
  </si>
  <si>
    <t>Scaled up to total programme</t>
  </si>
  <si>
    <t>% females relative to total direct beneficiaries</t>
  </si>
  <si>
    <t>% females relative to total indirect</t>
  </si>
  <si>
    <t>The  IFI  Dataset  of  Default  Grid Factors v.2.0 (2019)</t>
  </si>
  <si>
    <t>Office</t>
  </si>
  <si>
    <t>Assumption: Same business for 25 years</t>
  </si>
  <si>
    <t>Assumption: 12.5 year average occupancy</t>
  </si>
  <si>
    <t>** Estimated based on EUR 650 / m2 in Jakarta but adjusted downwards- Link</t>
  </si>
  <si>
    <t>* Residential - estimated based on Argentina case with increased cost per m2, Small-scale offices - per m2 cost of 400 EUR / m2 based on expert estimate</t>
  </si>
  <si>
    <t>* Estimated based on 350 EUR / m2 - based on review of relevant literature</t>
  </si>
  <si>
    <t>Total GHG emissions over buildings lifetime (15 years)</t>
  </si>
  <si>
    <t>Turnover in first 15 yrs</t>
  </si>
  <si>
    <t>Additional turnover from year 16 to 26</t>
  </si>
  <si>
    <t>Assumption: All covered population has used the hospital at least once during the first 15 years</t>
  </si>
  <si>
    <t>Assumption: All covered population has used the healthcare unit at least once during the first 15 years</t>
  </si>
  <si>
    <t>MWh/yr</t>
  </si>
  <si>
    <t xml:space="preserve">Electricity </t>
  </si>
  <si>
    <t>Natural Gas</t>
  </si>
  <si>
    <t>Energy consumption per m2</t>
  </si>
  <si>
    <t>Energy consumption per investment</t>
  </si>
  <si>
    <t>Energy savings</t>
  </si>
  <si>
    <t>30% reduction case</t>
  </si>
  <si>
    <t xml:space="preserve">Energy saving per investment </t>
  </si>
  <si>
    <t>Mid-term</t>
  </si>
  <si>
    <t>Mid-term direct</t>
  </si>
  <si>
    <t>Mid-term direct females</t>
  </si>
  <si>
    <t>Mid-term direct males</t>
  </si>
  <si>
    <t>Final direct males</t>
  </si>
  <si>
    <t>Final direct</t>
  </si>
  <si>
    <t>Final direct females</t>
  </si>
  <si>
    <t>Mid-term indirect</t>
  </si>
  <si>
    <t>Mid-term indirect females</t>
  </si>
  <si>
    <t>Mid-term indirect males</t>
  </si>
  <si>
    <t>Final indirect</t>
  </si>
  <si>
    <t>Final indirect females</t>
  </si>
  <si>
    <t>Final indirect males</t>
  </si>
  <si>
    <t>ARA3 outcome targets</t>
  </si>
  <si>
    <t>GAS (heating + hot water)</t>
  </si>
  <si>
    <t>ELEC (other uses)</t>
  </si>
  <si>
    <t>Mediterranean</t>
  </si>
  <si>
    <t>Desert</t>
  </si>
  <si>
    <t>Subtropical humid</t>
  </si>
  <si>
    <t>Tropical in half of the country, arid in the other half</t>
  </si>
  <si>
    <t>Annual and cumulative GHG emissions reductions for the programme</t>
  </si>
  <si>
    <t>GCF grant (MEUR)</t>
  </si>
  <si>
    <t>CO2 reductions - Year 9</t>
  </si>
  <si>
    <t>CO2 reductions - Year 10</t>
  </si>
  <si>
    <t>Buildings with interventions</t>
  </si>
  <si>
    <t/>
  </si>
  <si>
    <t>Pays HT : Asie + Argentine + Tunisie + Maroc</t>
  </si>
  <si>
    <t>ADDITIONAL COSTS OF LOW CARBON STRATEGIES</t>
  </si>
  <si>
    <t>Pipeline</t>
  </si>
  <si>
    <t xml:space="preserve">The "General Inputs&amp;Outputs Sheet shows the input and output data at the scale of the studied pipeline (1,066MEUR of building infrastructure) and when extrapolated lineraly to the scale of the PEEB Cool program (1,287MEUR). </t>
  </si>
  <si>
    <t>Costa Rica</t>
  </si>
  <si>
    <t>GHG baseline emissions and emissions reductions for Costa Rica education case</t>
  </si>
  <si>
    <t>https://sepse.go.cr/balances-energeticos/</t>
  </si>
  <si>
    <t xml:space="preserve">Key findings based on the revised subproject pipeline studied </t>
  </si>
  <si>
    <t>Total GHG emissions reductions for subproject pipeline studied</t>
  </si>
  <si>
    <t>Investments in EE / subproject costs*</t>
  </si>
  <si>
    <t>Additional subproject costs (baseline investments, grants, TC)*</t>
  </si>
  <si>
    <t>End of programme</t>
  </si>
  <si>
    <t>Total budget (MEUR or USD eq)</t>
  </si>
  <si>
    <t>GCF contribution (MEUR or USD eq)</t>
  </si>
  <si>
    <t>Total project cost per tCO2eq reduced (lifetime) - EUR or USD eq</t>
  </si>
  <si>
    <t>GCF contribution per tCO2eq reduced (lifetime) -  EUR or USD eq</t>
  </si>
  <si>
    <t>GCF grant per tCO2eq reduced (lifetime) - EUR  or USD eq</t>
  </si>
  <si>
    <t>Total project cost per beneficiary - EUR or USD eq</t>
  </si>
  <si>
    <t>GCF contribution per beneficiary - EUR or USD eq</t>
  </si>
  <si>
    <t>GCF grant per beneficiary - EUR or USD eq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</si>
</sst>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9">
    <numFmt numFmtId="43" formatCode="_-* #,##0.00_-;\-* #,##0.00_-;_-* &quot;-&quot;??_-;_-@_-"/>
    <numFmt numFmtId="164" formatCode="_(* #,##0.00_);_(* \(#,##0.00\);_(* &quot;-&quot;??_);_(@_)"/>
    <numFmt numFmtId="165" formatCode="0.0"/>
    <numFmt numFmtId="166" formatCode="_-* #,##0_-;\-* #,##0_-;_-* &quot;-&quot;??_-;_-@"/>
    <numFmt numFmtId="167" formatCode="0.000"/>
    <numFmt numFmtId="168" formatCode="_-[$€-2]\ * #,##0_-;\-[$€-2]\ * #,##0_-;_-[$€-2]\ * &quot;-&quot;??_-;_-@_-"/>
    <numFmt numFmtId="169" formatCode="#,##0.000000"/>
    <numFmt numFmtId="170" formatCode="_(* #,##0_);_(* \(#,##0\);_(* &quot;-&quot;??_);_(@_)"/>
    <numFmt numFmtId="171" formatCode="_(* #,##0.00000_);_(* \(#,##0.00000\);_(* &quot;-&quot;??_);_(@_)"/>
    <numFmt numFmtId="172" formatCode="_(* #,##0.0000000_);_(* \(#,##0.0000000\);_(* &quot;-&quot;??_);_(@_)"/>
    <numFmt numFmtId="173" formatCode="_(* #,##0.000000_);_(* \(#,##0.000000\);_(* &quot;-&quot;??_);_(@_)"/>
    <numFmt numFmtId="174" formatCode="_-* #,##0.0_-;\-* #,##0.0_-;_-* &quot;-&quot;??_-;_-@_-"/>
    <numFmt numFmtId="175" formatCode="_-* #,##0.000_-;\-* #,##0.000_-;_-* &quot;-&quot;??_-;_-@_-"/>
    <numFmt numFmtId="176" formatCode="_-* #,##0_-;\-* #,##0_-;_-* &quot;-&quot;??_-;_-@_-"/>
    <numFmt numFmtId="177" formatCode="[$€-413]\ #,##0.00"/>
    <numFmt numFmtId="178" formatCode="[$€-1809]#,##0.00"/>
    <numFmt numFmtId="179" formatCode="0.0%"/>
    <numFmt numFmtId="180" formatCode="_(* #,##0.0_);_(* \(#,##0.0\);_(* &quot;-&quot;?_);_(@_)"/>
    <numFmt numFmtId="181" formatCode="0.000%"/>
  </numFmts>
  <fonts count="69" x14ac:knownFonts="1">
    <font>
      <sz val="11"/>
      <color theme="1"/>
      <name val="Arial"/>
    </font>
    <font>
      <sz val="11"/>
      <color theme="1"/>
      <name val="Calibri"/>
      <family val="2"/>
      <scheme val="minor"/>
    </font>
    <font>
      <sz val="11"/>
      <color theme="1"/>
      <name val="Calibri"/>
      <family val="2"/>
      <scheme val="minor"/>
    </font>
    <font>
      <sz val="12"/>
      <color theme="1"/>
      <name val="Calibri"/>
      <family val="2"/>
      <scheme val="minor"/>
    </font>
    <font>
      <b/>
      <sz val="11"/>
      <color theme="1"/>
      <name val="Calibri"/>
      <family val="2"/>
    </font>
    <font>
      <sz val="11"/>
      <color theme="1"/>
      <name val="Calibri"/>
      <family val="2"/>
    </font>
    <font>
      <sz val="11"/>
      <color theme="1"/>
      <name val="Calibri"/>
      <family val="2"/>
    </font>
    <font>
      <b/>
      <i/>
      <sz val="11"/>
      <color theme="1"/>
      <name val="Calibri"/>
      <family val="2"/>
    </font>
    <font>
      <b/>
      <sz val="11"/>
      <color theme="0"/>
      <name val="Calibri"/>
      <family val="2"/>
    </font>
    <font>
      <b/>
      <sz val="11"/>
      <color rgb="FF434343"/>
      <name val="Calibri"/>
      <family val="2"/>
    </font>
    <font>
      <sz val="11"/>
      <color theme="1"/>
      <name val="Arial"/>
      <family val="2"/>
    </font>
    <font>
      <sz val="11"/>
      <color rgb="FFFF0000"/>
      <name val="Calibri"/>
      <family val="2"/>
    </font>
    <font>
      <sz val="11"/>
      <name val="Arial"/>
      <family val="2"/>
    </font>
    <font>
      <sz val="11"/>
      <color rgb="FF434343"/>
      <name val="Calibri"/>
      <family val="2"/>
    </font>
    <font>
      <sz val="10"/>
      <color rgb="FF365682"/>
      <name val="Arial"/>
      <family val="2"/>
    </font>
    <font>
      <sz val="9"/>
      <color theme="1"/>
      <name val="Arial"/>
      <family val="2"/>
    </font>
    <font>
      <sz val="10"/>
      <color theme="1"/>
      <name val="Arial"/>
      <family val="2"/>
    </font>
    <font>
      <i/>
      <sz val="10"/>
      <color rgb="FF434343"/>
      <name val="Arial"/>
      <family val="2"/>
    </font>
    <font>
      <u/>
      <sz val="11"/>
      <color theme="1"/>
      <name val="Calibri"/>
      <family val="2"/>
    </font>
    <font>
      <u/>
      <sz val="11"/>
      <color theme="1"/>
      <name val="Calibri"/>
      <family val="2"/>
    </font>
    <font>
      <u/>
      <sz val="11"/>
      <color theme="1"/>
      <name val="Calibri"/>
      <family val="2"/>
    </font>
    <font>
      <u/>
      <sz val="11"/>
      <color theme="1"/>
      <name val="Calibri"/>
      <family val="2"/>
    </font>
    <font>
      <u/>
      <sz val="11"/>
      <color theme="1"/>
      <name val="Calibri"/>
      <family val="2"/>
    </font>
    <font>
      <u/>
      <sz val="11"/>
      <color theme="1"/>
      <name val="Calibri"/>
      <family val="2"/>
    </font>
    <font>
      <b/>
      <sz val="10"/>
      <color theme="1"/>
      <name val="Trebuchet MS"/>
      <family val="2"/>
    </font>
    <font>
      <sz val="10"/>
      <color theme="1"/>
      <name val="Trebuchet MS"/>
      <family val="2"/>
    </font>
    <font>
      <b/>
      <sz val="11"/>
      <color theme="1"/>
      <name val="Trebuchet MS"/>
      <family val="2"/>
    </font>
    <font>
      <sz val="11"/>
      <color theme="1"/>
      <name val="Trebuchet MS"/>
      <family val="2"/>
    </font>
    <font>
      <b/>
      <sz val="12"/>
      <color theme="1"/>
      <name val="Calibri"/>
      <family val="2"/>
      <scheme val="minor"/>
    </font>
    <font>
      <sz val="12"/>
      <color theme="0"/>
      <name val="Calibri"/>
      <family val="2"/>
      <scheme val="minor"/>
    </font>
    <font>
      <sz val="11"/>
      <color theme="1"/>
      <name val="Arial"/>
      <family val="2"/>
    </font>
    <font>
      <b/>
      <sz val="11"/>
      <color theme="1"/>
      <name val="Arial"/>
      <family val="2"/>
    </font>
    <font>
      <sz val="11"/>
      <color theme="1"/>
      <name val="Calibri"/>
      <family val="2"/>
    </font>
    <font>
      <u/>
      <sz val="11"/>
      <color theme="10"/>
      <name val="Arial"/>
      <family val="2"/>
    </font>
    <font>
      <sz val="11"/>
      <color rgb="FF060606"/>
      <name val="Arial"/>
      <family val="2"/>
    </font>
    <font>
      <sz val="11"/>
      <color rgb="FF005BAE"/>
      <name val="Arial"/>
      <family val="2"/>
    </font>
    <font>
      <b/>
      <sz val="9"/>
      <color theme="1"/>
      <name val="Arial"/>
      <family val="2"/>
    </font>
    <font>
      <sz val="8"/>
      <name val="Arial"/>
      <family val="2"/>
    </font>
    <font>
      <b/>
      <sz val="11"/>
      <color theme="1"/>
      <name val="Calibri"/>
      <family val="2"/>
      <scheme val="minor"/>
    </font>
    <font>
      <sz val="11"/>
      <color theme="1"/>
      <name val="Calibri"/>
      <family val="2"/>
      <scheme val="minor"/>
    </font>
    <font>
      <sz val="10"/>
      <color theme="1"/>
      <name val="Arial"/>
      <family val="2"/>
    </font>
    <font>
      <b/>
      <sz val="11"/>
      <color theme="1"/>
      <name val="Calibri"/>
      <family val="2"/>
    </font>
    <font>
      <sz val="11"/>
      <color theme="1"/>
      <name val="Calibri"/>
      <family val="2"/>
    </font>
    <font>
      <u/>
      <sz val="10"/>
      <color rgb="FF1155CC"/>
      <name val="Arial"/>
      <family val="2"/>
    </font>
    <font>
      <u/>
      <sz val="10"/>
      <color rgb="FF0000FF"/>
      <name val="Arial"/>
      <family val="2"/>
    </font>
    <font>
      <sz val="10"/>
      <name val="Arial"/>
      <family val="2"/>
    </font>
    <font>
      <b/>
      <sz val="10"/>
      <color theme="1"/>
      <name val="Arial"/>
      <family val="2"/>
    </font>
    <font>
      <u/>
      <sz val="11"/>
      <color theme="10"/>
      <name val="Calibri"/>
      <family val="2"/>
      <scheme val="minor"/>
    </font>
    <font>
      <i/>
      <sz val="10"/>
      <color theme="1"/>
      <name val="Arial"/>
      <family val="2"/>
    </font>
    <font>
      <sz val="11"/>
      <color theme="1"/>
      <name val="Arial"/>
      <family val="2"/>
    </font>
    <font>
      <sz val="10"/>
      <color rgb="FF434343"/>
      <name val="Arial"/>
      <family val="2"/>
    </font>
    <font>
      <b/>
      <sz val="10"/>
      <color rgb="FF434343"/>
      <name val="Arial"/>
      <family val="2"/>
    </font>
    <font>
      <b/>
      <sz val="10"/>
      <color rgb="FF000000"/>
      <name val="Arial"/>
      <family val="2"/>
    </font>
    <font>
      <sz val="10"/>
      <color rgb="FF000000"/>
      <name val="Arial"/>
      <family val="2"/>
    </font>
    <font>
      <sz val="9"/>
      <color rgb="FF434343"/>
      <name val="Arial"/>
      <family val="2"/>
    </font>
    <font>
      <b/>
      <sz val="10"/>
      <color rgb="FF339977"/>
      <name val="Arial"/>
      <family val="2"/>
    </font>
    <font>
      <b/>
      <u/>
      <sz val="10"/>
      <color rgb="FF434343"/>
      <name val="Arial"/>
      <family val="2"/>
    </font>
    <font>
      <b/>
      <sz val="10"/>
      <color rgb="FF365682"/>
      <name val="Arial"/>
      <family val="2"/>
    </font>
    <font>
      <vertAlign val="superscript"/>
      <sz val="10"/>
      <color rgb="FF434343"/>
      <name val="Arial"/>
      <family val="2"/>
    </font>
    <font>
      <u/>
      <sz val="10"/>
      <color rgb="FF434343"/>
      <name val="Arial"/>
      <family val="2"/>
    </font>
    <font>
      <u/>
      <sz val="10"/>
      <color rgb="FF000000"/>
      <name val="Arial"/>
      <family val="2"/>
    </font>
    <font>
      <b/>
      <i/>
      <sz val="10"/>
      <color theme="1"/>
      <name val="Arial"/>
      <family val="2"/>
    </font>
    <font>
      <sz val="9"/>
      <name val="Arial"/>
      <family val="2"/>
    </font>
    <font>
      <sz val="9"/>
      <color rgb="FF000000"/>
      <name val="Arial"/>
      <family val="2"/>
    </font>
    <font>
      <u/>
      <sz val="9"/>
      <color theme="10"/>
      <name val="Arial"/>
      <family val="2"/>
    </font>
    <font>
      <b/>
      <u/>
      <sz val="10"/>
      <color theme="1"/>
      <name val="Arial"/>
      <family val="2"/>
    </font>
    <font>
      <b/>
      <u/>
      <sz val="9"/>
      <color theme="1"/>
      <name val="Arial"/>
      <family val="2"/>
    </font>
    <font>
      <b/>
      <u/>
      <sz val="11"/>
      <color theme="1"/>
      <name val="Arial"/>
      <family val="2"/>
    </font>
    <font>
      <sz val="11"/>
      <color theme="1"/>
      <name val="Arial"/>
    </font>
  </fonts>
  <fills count="14">
    <fill>
      <patternFill patternType="none"/>
    </fill>
    <fill>
      <patternFill patternType="gray125"/>
    </fill>
    <fill>
      <patternFill patternType="solid">
        <fgColor rgb="FF8DB3E2"/>
        <bgColor rgb="FF8DB3E2"/>
      </patternFill>
    </fill>
    <fill>
      <patternFill patternType="solid">
        <fgColor rgb="FF92D050"/>
        <bgColor rgb="FF92D050"/>
      </patternFill>
    </fill>
    <fill>
      <patternFill patternType="solid">
        <fgColor rgb="FFBFBFBF"/>
        <bgColor rgb="FFBFBFBF"/>
      </patternFill>
    </fill>
    <fill>
      <patternFill patternType="solid">
        <fgColor rgb="FF0070C0"/>
        <bgColor rgb="FF0070C0"/>
      </patternFill>
    </fill>
    <fill>
      <patternFill patternType="solid">
        <fgColor rgb="FFD8D8D8"/>
        <bgColor rgb="FFD8D8D8"/>
      </patternFill>
    </fill>
    <fill>
      <patternFill patternType="solid">
        <fgColor rgb="FFFFFF00"/>
        <bgColor indexed="64"/>
      </patternFill>
    </fill>
    <fill>
      <patternFill patternType="solid">
        <fgColor theme="0" tint="-0.14999847407452621"/>
        <bgColor indexed="64"/>
      </patternFill>
    </fill>
    <fill>
      <patternFill patternType="solid">
        <fgColor theme="4"/>
      </patternFill>
    </fill>
    <fill>
      <patternFill patternType="solid">
        <fgColor theme="4" tint="0.39997558519241921"/>
        <bgColor indexed="65"/>
      </patternFill>
    </fill>
    <fill>
      <patternFill patternType="solid">
        <fgColor rgb="FFE2EFD9"/>
        <bgColor rgb="FFE2EFD9"/>
      </patternFill>
    </fill>
    <fill>
      <patternFill patternType="solid">
        <fgColor rgb="FFFFFFFF"/>
        <bgColor indexed="64"/>
      </patternFill>
    </fill>
    <fill>
      <patternFill patternType="solid">
        <fgColor theme="9"/>
        <bgColor theme="9"/>
      </patternFill>
    </fill>
  </fills>
  <borders count="5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top/>
      <bottom/>
      <diagonal/>
    </border>
    <border>
      <left style="thin">
        <color rgb="FF000000"/>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style="thick">
        <color rgb="FF000000"/>
      </bottom>
      <diagonal/>
    </border>
    <border>
      <left/>
      <right style="medium">
        <color rgb="FF000000"/>
      </right>
      <top style="medium">
        <color rgb="FF000000"/>
      </top>
      <bottom style="thick">
        <color rgb="FF000000"/>
      </bottom>
      <diagonal/>
    </border>
    <border>
      <left style="medium">
        <color rgb="FF000000"/>
      </left>
      <right style="medium">
        <color rgb="FF000000"/>
      </right>
      <top style="thick">
        <color rgb="FF000000"/>
      </top>
      <bottom/>
      <diagonal/>
    </border>
    <border>
      <left style="medium">
        <color rgb="FF000000"/>
      </left>
      <right style="medium">
        <color rgb="FF000000"/>
      </right>
      <top/>
      <bottom/>
      <diagonal/>
    </border>
    <border>
      <left style="medium">
        <color rgb="FF000000"/>
      </left>
      <right style="medium">
        <color rgb="FF000000"/>
      </right>
      <top/>
      <bottom style="thick">
        <color rgb="FF000000"/>
      </bottom>
      <diagonal/>
    </border>
    <border>
      <left/>
      <right style="medium">
        <color rgb="FF000000"/>
      </right>
      <top/>
      <bottom style="thick">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n">
        <color rgb="FF000000"/>
      </left>
      <right/>
      <top/>
      <bottom style="thin">
        <color rgb="FF000000"/>
      </bottom>
      <diagonal/>
    </border>
    <border>
      <left/>
      <right/>
      <top/>
      <bottom style="thin">
        <color rgb="FF000000"/>
      </bottom>
      <diagonal/>
    </border>
    <border>
      <left style="thin">
        <color rgb="FF000000"/>
      </left>
      <right/>
      <top style="thin">
        <color rgb="FF000000"/>
      </top>
      <bottom/>
      <diagonal/>
    </border>
    <border>
      <left/>
      <right style="thin">
        <color rgb="FF000000"/>
      </right>
      <top/>
      <bottom/>
      <diagonal/>
    </border>
    <border>
      <left/>
      <right/>
      <top style="thin">
        <color rgb="FF000000"/>
      </top>
      <bottom/>
      <diagonal/>
    </border>
    <border>
      <left/>
      <right style="thin">
        <color rgb="FF000000"/>
      </right>
      <top/>
      <bottom style="thin">
        <color rgb="FF000000"/>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thin">
        <color theme="4"/>
      </top>
      <bottom style="double">
        <color theme="4"/>
      </bottom>
      <diagonal/>
    </border>
    <border>
      <left style="medium">
        <color indexed="64"/>
      </left>
      <right/>
      <top style="thin">
        <color theme="4"/>
      </top>
      <bottom style="double">
        <color theme="4"/>
      </bottom>
      <diagonal/>
    </border>
    <border>
      <left/>
      <right style="medium">
        <color indexed="64"/>
      </right>
      <top style="thin">
        <color theme="4"/>
      </top>
      <bottom style="double">
        <color theme="4"/>
      </bottom>
      <diagonal/>
    </border>
    <border>
      <left style="medium">
        <color indexed="64"/>
      </left>
      <right/>
      <top style="thin">
        <color theme="4"/>
      </top>
      <bottom style="medium">
        <color indexed="64"/>
      </bottom>
      <diagonal/>
    </border>
    <border>
      <left/>
      <right style="medium">
        <color indexed="64"/>
      </right>
      <top style="thin">
        <color theme="4"/>
      </top>
      <bottom style="medium">
        <color indexed="64"/>
      </bottom>
      <diagonal/>
    </border>
    <border>
      <left/>
      <right/>
      <top style="thin">
        <color theme="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s>
  <cellStyleXfs count="10">
    <xf numFmtId="0" fontId="0" fillId="0" borderId="0"/>
    <xf numFmtId="43" fontId="10" fillId="0" borderId="0" applyFont="0" applyFill="0" applyBorder="0" applyAlignment="0" applyProtection="0"/>
    <xf numFmtId="0" fontId="28" fillId="0" borderId="39" applyNumberFormat="0" applyFill="0" applyAlignment="0" applyProtection="0"/>
    <xf numFmtId="0" fontId="29" fillId="9" borderId="0" applyNumberFormat="0" applyBorder="0" applyAlignment="0" applyProtection="0"/>
    <xf numFmtId="0" fontId="3" fillId="10" borderId="0" applyNumberFormat="0" applyBorder="0" applyAlignment="0" applyProtection="0"/>
    <xf numFmtId="0" fontId="33" fillId="0" borderId="0" applyNumberFormat="0" applyFill="0" applyBorder="0" applyAlignment="0" applyProtection="0"/>
    <xf numFmtId="0" fontId="10" fillId="0" borderId="1"/>
    <xf numFmtId="9" fontId="49" fillId="0" borderId="0" applyFont="0" applyFill="0" applyBorder="0" applyAlignment="0" applyProtection="0"/>
    <xf numFmtId="0" fontId="68" fillId="0" borderId="1"/>
    <xf numFmtId="9" fontId="10" fillId="0" borderId="1" applyFont="0" applyFill="0" applyBorder="0" applyAlignment="0" applyProtection="0"/>
  </cellStyleXfs>
  <cellXfs count="508">
    <xf numFmtId="0" fontId="0" fillId="0" borderId="0" xfId="0" applyFont="1" applyAlignment="1"/>
    <xf numFmtId="0" fontId="4" fillId="0" borderId="0" xfId="0" applyFont="1"/>
    <xf numFmtId="0" fontId="5" fillId="2" borderId="1" xfId="0" applyFont="1" applyFill="1" applyBorder="1"/>
    <xf numFmtId="0" fontId="6" fillId="0" borderId="0" xfId="0" applyFont="1"/>
    <xf numFmtId="0" fontId="5" fillId="3" borderId="1" xfId="0" applyFont="1" applyFill="1" applyBorder="1"/>
    <xf numFmtId="0" fontId="5" fillId="4" borderId="1" xfId="0" applyFont="1" applyFill="1" applyBorder="1"/>
    <xf numFmtId="0" fontId="7" fillId="0" borderId="0" xfId="0" applyFont="1"/>
    <xf numFmtId="0" fontId="5" fillId="0" borderId="2" xfId="0" applyFont="1" applyBorder="1"/>
    <xf numFmtId="1" fontId="5" fillId="3" borderId="2" xfId="0" applyNumberFormat="1" applyFont="1" applyFill="1" applyBorder="1" applyAlignment="1">
      <alignment horizontal="center" vertical="center"/>
    </xf>
    <xf numFmtId="0" fontId="5" fillId="0" borderId="2" xfId="0" applyFont="1" applyBorder="1" applyAlignment="1">
      <alignment horizontal="center" vertical="center"/>
    </xf>
    <xf numFmtId="0" fontId="4" fillId="0" borderId="2" xfId="0" applyFont="1" applyBorder="1"/>
    <xf numFmtId="1" fontId="5" fillId="0" borderId="0" xfId="0" applyNumberFormat="1" applyFont="1"/>
    <xf numFmtId="0" fontId="5" fillId="2" borderId="2" xfId="0" applyFont="1" applyFill="1" applyBorder="1" applyAlignment="1">
      <alignment horizontal="center" vertical="center"/>
    </xf>
    <xf numFmtId="2" fontId="5" fillId="2" borderId="2" xfId="0" applyNumberFormat="1" applyFont="1" applyFill="1" applyBorder="1" applyAlignment="1">
      <alignment horizontal="center" vertical="center"/>
    </xf>
    <xf numFmtId="165" fontId="5" fillId="3" borderId="2" xfId="0" applyNumberFormat="1" applyFont="1" applyFill="1" applyBorder="1" applyAlignment="1">
      <alignment horizontal="center" vertical="center"/>
    </xf>
    <xf numFmtId="0" fontId="8" fillId="5" borderId="1" xfId="0" applyFont="1" applyFill="1" applyBorder="1" applyAlignment="1">
      <alignment vertical="center"/>
    </xf>
    <xf numFmtId="0" fontId="8" fillId="5" borderId="1" xfId="0" applyFont="1" applyFill="1" applyBorder="1" applyAlignment="1">
      <alignment horizontal="center" vertical="center"/>
    </xf>
    <xf numFmtId="0" fontId="5" fillId="0" borderId="0" xfId="0" applyFont="1" applyAlignment="1">
      <alignment horizontal="center"/>
    </xf>
    <xf numFmtId="0" fontId="4" fillId="0" borderId="2" xfId="0" applyFont="1" applyBorder="1" applyAlignment="1">
      <alignment vertical="center" wrapText="1"/>
    </xf>
    <xf numFmtId="0" fontId="4" fillId="0" borderId="2" xfId="0" applyFont="1" applyBorder="1" applyAlignment="1">
      <alignment horizontal="center" vertical="center" wrapText="1"/>
    </xf>
    <xf numFmtId="0" fontId="9" fillId="0" borderId="2" xfId="0" applyFont="1" applyBorder="1" applyAlignment="1">
      <alignment horizontal="center" vertical="center" wrapText="1"/>
    </xf>
    <xf numFmtId="0" fontId="4" fillId="0" borderId="2" xfId="0" applyFont="1" applyBorder="1" applyAlignment="1">
      <alignment horizontal="left" vertical="center" wrapText="1"/>
    </xf>
    <xf numFmtId="0" fontId="5" fillId="3" borderId="2" xfId="0" applyFont="1" applyFill="1" applyBorder="1" applyAlignment="1">
      <alignment horizontal="center" vertical="center"/>
    </xf>
    <xf numFmtId="9" fontId="5" fillId="3" borderId="2" xfId="0" applyNumberFormat="1" applyFont="1" applyFill="1" applyBorder="1" applyAlignment="1">
      <alignment horizontal="center" vertical="center"/>
    </xf>
    <xf numFmtId="1" fontId="10" fillId="0" borderId="0" xfId="0" applyNumberFormat="1" applyFont="1" applyAlignment="1">
      <alignment horizontal="center" vertical="center"/>
    </xf>
    <xf numFmtId="0" fontId="5" fillId="0" borderId="0" xfId="0" applyFont="1" applyAlignment="1">
      <alignment horizontal="left" vertical="center"/>
    </xf>
    <xf numFmtId="0" fontId="5" fillId="0" borderId="0" xfId="0" applyFont="1" applyAlignment="1">
      <alignment horizontal="center" vertical="center"/>
    </xf>
    <xf numFmtId="165" fontId="5" fillId="0" borderId="0" xfId="0" applyNumberFormat="1" applyFont="1" applyAlignment="1">
      <alignment horizontal="center" vertical="center"/>
    </xf>
    <xf numFmtId="0" fontId="11" fillId="0" borderId="0" xfId="0" applyFont="1" applyAlignment="1">
      <alignment horizontal="left" vertical="center"/>
    </xf>
    <xf numFmtId="1" fontId="5" fillId="0" borderId="0" xfId="0" applyNumberFormat="1" applyFont="1" applyAlignment="1">
      <alignment horizontal="center" vertical="center"/>
    </xf>
    <xf numFmtId="9" fontId="5" fillId="0" borderId="0" xfId="0" applyNumberFormat="1" applyFont="1" applyAlignment="1">
      <alignment horizontal="center" vertical="center"/>
    </xf>
    <xf numFmtId="0" fontId="4" fillId="0" borderId="0" xfId="0" applyFont="1" applyAlignment="1">
      <alignment vertical="center"/>
    </xf>
    <xf numFmtId="1" fontId="4" fillId="0" borderId="0" xfId="0" applyNumberFormat="1" applyFont="1" applyAlignment="1">
      <alignment horizontal="center" vertical="center"/>
    </xf>
    <xf numFmtId="165" fontId="4" fillId="0" borderId="0" xfId="0" applyNumberFormat="1" applyFont="1" applyAlignment="1">
      <alignment horizontal="left" vertical="center"/>
    </xf>
    <xf numFmtId="1" fontId="4" fillId="3" borderId="2" xfId="0" applyNumberFormat="1" applyFont="1" applyFill="1" applyBorder="1" applyAlignment="1">
      <alignment horizontal="center" vertical="center"/>
    </xf>
    <xf numFmtId="1" fontId="4" fillId="3" borderId="3" xfId="0" applyNumberFormat="1" applyFont="1" applyFill="1" applyBorder="1" applyAlignment="1">
      <alignment horizontal="center" vertical="center"/>
    </xf>
    <xf numFmtId="0" fontId="8" fillId="0" borderId="0" xfId="0" applyFont="1" applyAlignment="1">
      <alignment vertical="center"/>
    </xf>
    <xf numFmtId="0" fontId="8" fillId="0" borderId="0" xfId="0" applyFont="1" applyAlignment="1">
      <alignment horizontal="center" vertical="center"/>
    </xf>
    <xf numFmtId="0" fontId="5" fillId="0" borderId="2" xfId="0" applyFont="1" applyBorder="1" applyAlignment="1">
      <alignment horizontal="center" vertical="center" wrapText="1"/>
    </xf>
    <xf numFmtId="0" fontId="4" fillId="0" borderId="2" xfId="0" applyFont="1" applyBorder="1" applyAlignment="1">
      <alignment vertical="center"/>
    </xf>
    <xf numFmtId="9" fontId="5" fillId="4" borderId="2" xfId="0" applyNumberFormat="1" applyFont="1" applyFill="1" applyBorder="1" applyAlignment="1">
      <alignment horizontal="center" vertical="center"/>
    </xf>
    <xf numFmtId="10" fontId="5" fillId="4" borderId="2" xfId="0" applyNumberFormat="1" applyFont="1" applyFill="1" applyBorder="1" applyAlignment="1">
      <alignment horizontal="center" vertical="center"/>
    </xf>
    <xf numFmtId="0" fontId="5" fillId="0" borderId="0" xfId="0" applyFont="1" applyAlignment="1">
      <alignment horizontal="left" vertical="center" wrapText="1"/>
    </xf>
    <xf numFmtId="10" fontId="5" fillId="0" borderId="0" xfId="0" applyNumberFormat="1" applyFont="1" applyAlignment="1">
      <alignment horizontal="center" vertical="center"/>
    </xf>
    <xf numFmtId="0" fontId="5" fillId="0" borderId="0" xfId="0" applyFont="1"/>
    <xf numFmtId="0" fontId="5" fillId="0" borderId="2" xfId="0" applyFont="1" applyBorder="1" applyAlignment="1">
      <alignment vertical="center" wrapText="1"/>
    </xf>
    <xf numFmtId="0" fontId="5" fillId="0" borderId="0" xfId="0" applyFont="1" applyAlignment="1">
      <alignment vertical="center"/>
    </xf>
    <xf numFmtId="0" fontId="4" fillId="0" borderId="0" xfId="0" applyFont="1" applyAlignment="1">
      <alignment vertical="center" wrapText="1"/>
    </xf>
    <xf numFmtId="0" fontId="13" fillId="6" borderId="2" xfId="0" applyFont="1" applyFill="1" applyBorder="1" applyAlignment="1">
      <alignment horizontal="center" vertical="center" wrapText="1"/>
    </xf>
    <xf numFmtId="0" fontId="5" fillId="6" borderId="2" xfId="0" applyFont="1" applyFill="1" applyBorder="1" applyAlignment="1">
      <alignment horizontal="center" vertical="center" wrapText="1"/>
    </xf>
    <xf numFmtId="0" fontId="4" fillId="0" borderId="0" xfId="0" applyFont="1" applyAlignment="1">
      <alignment horizontal="left" vertical="center" wrapText="1"/>
    </xf>
    <xf numFmtId="0" fontId="5" fillId="6" borderId="1" xfId="0" applyFont="1" applyFill="1" applyBorder="1" applyAlignment="1">
      <alignment horizontal="center" vertical="center"/>
    </xf>
    <xf numFmtId="0" fontId="4" fillId="0" borderId="0" xfId="0" applyFont="1" applyAlignment="1">
      <alignment horizontal="center" vertical="center" wrapText="1"/>
    </xf>
    <xf numFmtId="0" fontId="5" fillId="6" borderId="2" xfId="0" applyFont="1" applyFill="1" applyBorder="1" applyAlignment="1">
      <alignment horizontal="center" vertical="center"/>
    </xf>
    <xf numFmtId="165" fontId="5" fillId="3" borderId="7" xfId="0" applyNumberFormat="1" applyFont="1" applyFill="1" applyBorder="1" applyAlignment="1">
      <alignment horizontal="center" vertical="center"/>
    </xf>
    <xf numFmtId="0" fontId="11" fillId="0" borderId="0" xfId="0" applyFont="1" applyAlignment="1">
      <alignment horizontal="center" vertical="center"/>
    </xf>
    <xf numFmtId="0" fontId="13" fillId="0" borderId="2" xfId="0" applyFont="1" applyBorder="1" applyAlignment="1">
      <alignment horizontal="center" vertical="center" wrapText="1"/>
    </xf>
    <xf numFmtId="165" fontId="5" fillId="0" borderId="2" xfId="0" applyNumberFormat="1" applyFont="1" applyBorder="1" applyAlignment="1">
      <alignment horizontal="center" vertical="center"/>
    </xf>
    <xf numFmtId="165" fontId="5" fillId="3" borderId="2" xfId="0" applyNumberFormat="1" applyFont="1" applyFill="1" applyBorder="1" applyAlignment="1">
      <alignment horizontal="center"/>
    </xf>
    <xf numFmtId="0" fontId="5" fillId="6" borderId="1" xfId="0" applyFont="1" applyFill="1" applyBorder="1" applyAlignment="1">
      <alignment horizontal="center"/>
    </xf>
    <xf numFmtId="1" fontId="5" fillId="6" borderId="2" xfId="0" applyNumberFormat="1" applyFont="1" applyFill="1" applyBorder="1" applyAlignment="1">
      <alignment horizontal="center"/>
    </xf>
    <xf numFmtId="9" fontId="5" fillId="6" borderId="2" xfId="0" applyNumberFormat="1" applyFont="1" applyFill="1" applyBorder="1" applyAlignment="1">
      <alignment horizontal="center"/>
    </xf>
    <xf numFmtId="0" fontId="4" fillId="0" borderId="10" xfId="0" applyFont="1" applyBorder="1" applyAlignment="1">
      <alignment horizontal="left" vertical="center" wrapText="1"/>
    </xf>
    <xf numFmtId="1" fontId="5" fillId="0" borderId="0" xfId="0" applyNumberFormat="1" applyFont="1" applyAlignment="1">
      <alignment horizontal="center"/>
    </xf>
    <xf numFmtId="165" fontId="5" fillId="3" borderId="2" xfId="0" applyNumberFormat="1" applyFont="1" applyFill="1" applyBorder="1" applyAlignment="1">
      <alignment horizontal="center" vertical="center" wrapText="1"/>
    </xf>
    <xf numFmtId="0" fontId="5" fillId="0" borderId="11" xfId="0" applyFont="1" applyBorder="1" applyAlignment="1">
      <alignment horizontal="center"/>
    </xf>
    <xf numFmtId="0" fontId="5" fillId="0" borderId="0" xfId="0" applyFont="1" applyAlignment="1">
      <alignment vertical="center" wrapText="1"/>
    </xf>
    <xf numFmtId="0" fontId="4" fillId="0" borderId="0" xfId="0" applyFont="1" applyAlignment="1">
      <alignment horizontal="center"/>
    </xf>
    <xf numFmtId="0" fontId="16" fillId="0" borderId="0" xfId="0" applyFont="1" applyAlignment="1">
      <alignment vertical="center"/>
    </xf>
    <xf numFmtId="0" fontId="18" fillId="0" borderId="9" xfId="0" applyFont="1" applyBorder="1" applyAlignment="1">
      <alignment horizontal="left" vertical="center"/>
    </xf>
    <xf numFmtId="0" fontId="5" fillId="0" borderId="9" xfId="0" applyFont="1" applyBorder="1"/>
    <xf numFmtId="0" fontId="19" fillId="0" borderId="0" xfId="0" applyFont="1" applyAlignment="1">
      <alignment horizontal="left" vertical="center"/>
    </xf>
    <xf numFmtId="0" fontId="20" fillId="0" borderId="2" xfId="0" applyFont="1" applyBorder="1"/>
    <xf numFmtId="0" fontId="21" fillId="0" borderId="5" xfId="0" applyFont="1" applyBorder="1"/>
    <xf numFmtId="0" fontId="22" fillId="0" borderId="4" xfId="0" applyFont="1" applyBorder="1"/>
    <xf numFmtId="0" fontId="23" fillId="0" borderId="6" xfId="0" applyFont="1" applyBorder="1"/>
    <xf numFmtId="0" fontId="5" fillId="0" borderId="8" xfId="0" applyFont="1" applyBorder="1"/>
    <xf numFmtId="0" fontId="5" fillId="0" borderId="27" xfId="0" applyFont="1" applyBorder="1"/>
    <xf numFmtId="0" fontId="5" fillId="0" borderId="10" xfId="0" applyFont="1" applyBorder="1"/>
    <xf numFmtId="0" fontId="5" fillId="0" borderId="11" xfId="0" applyFont="1" applyBorder="1"/>
    <xf numFmtId="0" fontId="5" fillId="0" borderId="28" xfId="0" applyFont="1" applyBorder="1"/>
    <xf numFmtId="0" fontId="5" fillId="0" borderId="29" xfId="0" applyFont="1" applyBorder="1"/>
    <xf numFmtId="0" fontId="5" fillId="0" borderId="26" xfId="0" applyFont="1" applyBorder="1"/>
    <xf numFmtId="0" fontId="5" fillId="0" borderId="25" xfId="0" applyFont="1" applyBorder="1"/>
    <xf numFmtId="0" fontId="5" fillId="0" borderId="30" xfId="0" applyFont="1" applyBorder="1"/>
    <xf numFmtId="0" fontId="5" fillId="0" borderId="9" xfId="0" applyFont="1" applyBorder="1" applyAlignment="1">
      <alignment horizontal="left" vertical="center"/>
    </xf>
    <xf numFmtId="0" fontId="5" fillId="0" borderId="10" xfId="0" applyFont="1" applyBorder="1" applyAlignment="1">
      <alignment horizontal="left" vertical="center"/>
    </xf>
    <xf numFmtId="0" fontId="24" fillId="0" borderId="0" xfId="0" applyFont="1" applyAlignment="1">
      <alignment wrapText="1"/>
    </xf>
    <xf numFmtId="0" fontId="25" fillId="0" borderId="0" xfId="0" applyFont="1" applyAlignment="1">
      <alignment wrapText="1"/>
    </xf>
    <xf numFmtId="0" fontId="25" fillId="0" borderId="0" xfId="0" applyFont="1"/>
    <xf numFmtId="168" fontId="25" fillId="7" borderId="0" xfId="1" applyNumberFormat="1" applyFont="1" applyFill="1" applyAlignment="1">
      <alignment wrapText="1"/>
    </xf>
    <xf numFmtId="168" fontId="25" fillId="7" borderId="0" xfId="1" applyNumberFormat="1" applyFont="1" applyFill="1"/>
    <xf numFmtId="0" fontId="24" fillId="0" borderId="0" xfId="0" applyFont="1"/>
    <xf numFmtId="0" fontId="26" fillId="0" borderId="0" xfId="0" applyFont="1"/>
    <xf numFmtId="0" fontId="24" fillId="0" borderId="0" xfId="0" applyFont="1" applyAlignment="1">
      <alignment horizontal="center" wrapText="1"/>
    </xf>
    <xf numFmtId="0" fontId="24" fillId="8" borderId="31" xfId="0" applyFont="1" applyFill="1" applyBorder="1" applyAlignment="1">
      <alignment wrapText="1"/>
    </xf>
    <xf numFmtId="0" fontId="26" fillId="8" borderId="32" xfId="0" applyFont="1" applyFill="1" applyBorder="1"/>
    <xf numFmtId="0" fontId="24" fillId="8" borderId="32" xfId="0" applyFont="1" applyFill="1" applyBorder="1" applyAlignment="1">
      <alignment wrapText="1"/>
    </xf>
    <xf numFmtId="0" fontId="24" fillId="8" borderId="32" xfId="0" applyFont="1" applyFill="1" applyBorder="1" applyAlignment="1">
      <alignment horizontal="center" wrapText="1"/>
    </xf>
    <xf numFmtId="0" fontId="24" fillId="8" borderId="33" xfId="0" applyFont="1" applyFill="1" applyBorder="1" applyAlignment="1">
      <alignment horizontal="center" wrapText="1"/>
    </xf>
    <xf numFmtId="0" fontId="25" fillId="0" borderId="31" xfId="0" applyFont="1" applyBorder="1" applyAlignment="1">
      <alignment wrapText="1"/>
    </xf>
    <xf numFmtId="0" fontId="25" fillId="0" borderId="32" xfId="0" applyFont="1" applyBorder="1" applyAlignment="1">
      <alignment wrapText="1"/>
    </xf>
    <xf numFmtId="169" fontId="25" fillId="0" borderId="32" xfId="0" applyNumberFormat="1" applyFont="1" applyBorder="1" applyAlignment="1">
      <alignment wrapText="1"/>
    </xf>
    <xf numFmtId="170" fontId="27" fillId="0" borderId="32" xfId="1" applyNumberFormat="1" applyFont="1" applyBorder="1"/>
    <xf numFmtId="0" fontId="27" fillId="0" borderId="32" xfId="0" applyFont="1" applyBorder="1"/>
    <xf numFmtId="43" fontId="27" fillId="0" borderId="32" xfId="1" applyFont="1" applyBorder="1"/>
    <xf numFmtId="0" fontId="27" fillId="0" borderId="33" xfId="0" applyFont="1" applyBorder="1"/>
    <xf numFmtId="0" fontId="25" fillId="0" borderId="34" xfId="0" applyFont="1" applyBorder="1" applyAlignment="1">
      <alignment wrapText="1"/>
    </xf>
    <xf numFmtId="169" fontId="25" fillId="0" borderId="0" xfId="0" applyNumberFormat="1" applyFont="1" applyAlignment="1">
      <alignment wrapText="1"/>
    </xf>
    <xf numFmtId="167" fontId="25" fillId="0" borderId="0" xfId="0" applyNumberFormat="1" applyFont="1" applyAlignment="1">
      <alignment horizontal="center" wrapText="1"/>
    </xf>
    <xf numFmtId="0" fontId="25" fillId="0" borderId="35" xfId="0" applyFont="1" applyBorder="1" applyAlignment="1">
      <alignment wrapText="1"/>
    </xf>
    <xf numFmtId="171" fontId="25" fillId="0" borderId="1" xfId="1" applyNumberFormat="1" applyFont="1" applyBorder="1" applyAlignment="1">
      <alignment horizontal="center" wrapText="1"/>
    </xf>
    <xf numFmtId="1" fontId="25" fillId="0" borderId="0" xfId="0" applyNumberFormat="1" applyFont="1" applyAlignment="1">
      <alignment horizontal="center" wrapText="1"/>
    </xf>
    <xf numFmtId="172" fontId="25" fillId="0" borderId="1" xfId="1" applyNumberFormat="1" applyFont="1" applyBorder="1" applyAlignment="1">
      <alignment wrapText="1"/>
    </xf>
    <xf numFmtId="173" fontId="25" fillId="0" borderId="1" xfId="1" applyNumberFormat="1" applyFont="1" applyBorder="1" applyAlignment="1">
      <alignment horizontal="center" wrapText="1"/>
    </xf>
    <xf numFmtId="0" fontId="27" fillId="0" borderId="0" xfId="0" applyFont="1"/>
    <xf numFmtId="2" fontId="25" fillId="0" borderId="0" xfId="0" applyNumberFormat="1" applyFont="1" applyAlignment="1">
      <alignment wrapText="1"/>
    </xf>
    <xf numFmtId="0" fontId="25" fillId="0" borderId="36" xfId="0" applyFont="1" applyBorder="1" applyAlignment="1">
      <alignment wrapText="1"/>
    </xf>
    <xf numFmtId="0" fontId="25" fillId="0" borderId="37" xfId="0" applyFont="1" applyBorder="1" applyAlignment="1">
      <alignment wrapText="1"/>
    </xf>
    <xf numFmtId="169" fontId="25" fillId="0" borderId="37" xfId="0" applyNumberFormat="1" applyFont="1" applyBorder="1" applyAlignment="1">
      <alignment wrapText="1"/>
    </xf>
    <xf numFmtId="171" fontId="25" fillId="0" borderId="37" xfId="1" applyNumberFormat="1" applyFont="1" applyBorder="1" applyAlignment="1">
      <alignment horizontal="center" wrapText="1"/>
    </xf>
    <xf numFmtId="1" fontId="25" fillId="0" borderId="37" xfId="0" applyNumberFormat="1" applyFont="1" applyBorder="1" applyAlignment="1">
      <alignment horizontal="center" wrapText="1"/>
    </xf>
    <xf numFmtId="172" fontId="25" fillId="0" borderId="37" xfId="1" applyNumberFormat="1" applyFont="1" applyBorder="1" applyAlignment="1">
      <alignment wrapText="1"/>
    </xf>
    <xf numFmtId="0" fontId="25" fillId="0" borderId="38" xfId="0" applyFont="1" applyBorder="1" applyAlignment="1">
      <alignment wrapText="1"/>
    </xf>
    <xf numFmtId="0" fontId="30" fillId="0" borderId="0" xfId="0" applyFont="1" applyAlignment="1"/>
    <xf numFmtId="0" fontId="31" fillId="0" borderId="0" xfId="0" applyFont="1" applyAlignment="1"/>
    <xf numFmtId="0" fontId="29" fillId="9" borderId="0" xfId="3" applyAlignment="1">
      <alignment horizontal="center" vertical="center" wrapText="1"/>
    </xf>
    <xf numFmtId="43" fontId="0" fillId="0" borderId="0" xfId="1" applyFont="1" applyAlignment="1"/>
    <xf numFmtId="0" fontId="3" fillId="10" borderId="0" xfId="4" applyAlignment="1">
      <alignment horizontal="center" vertical="center" wrapText="1"/>
    </xf>
    <xf numFmtId="0" fontId="28" fillId="0" borderId="39" xfId="2" applyAlignment="1"/>
    <xf numFmtId="0" fontId="33" fillId="0" borderId="0" xfId="5" applyAlignment="1"/>
    <xf numFmtId="0" fontId="34" fillId="0" borderId="0" xfId="0" applyFont="1" applyAlignment="1"/>
    <xf numFmtId="175" fontId="0" fillId="0" borderId="0" xfId="1" applyNumberFormat="1" applyFont="1" applyAlignment="1"/>
    <xf numFmtId="0" fontId="3" fillId="10" borderId="34" xfId="4" applyBorder="1" applyAlignment="1">
      <alignment horizontal="center" vertical="center" wrapText="1"/>
    </xf>
    <xf numFmtId="43" fontId="3" fillId="10" borderId="35" xfId="4" applyNumberFormat="1" applyBorder="1" applyAlignment="1">
      <alignment horizontal="center" vertical="center" wrapText="1"/>
    </xf>
    <xf numFmtId="176" fontId="0" fillId="0" borderId="34" xfId="1" applyNumberFormat="1" applyFont="1" applyBorder="1" applyAlignment="1"/>
    <xf numFmtId="176" fontId="0" fillId="0" borderId="35" xfId="1" applyNumberFormat="1" applyFont="1" applyBorder="1" applyAlignment="1"/>
    <xf numFmtId="174" fontId="28" fillId="0" borderId="42" xfId="1" applyNumberFormat="1" applyFont="1" applyBorder="1" applyAlignment="1"/>
    <xf numFmtId="174" fontId="28" fillId="0" borderId="43" xfId="1" applyNumberFormat="1" applyFont="1" applyBorder="1" applyAlignment="1"/>
    <xf numFmtId="0" fontId="3" fillId="10" borderId="1" xfId="4" applyBorder="1" applyAlignment="1">
      <alignment horizontal="center" vertical="center" wrapText="1"/>
    </xf>
    <xf numFmtId="176" fontId="0" fillId="0" borderId="1" xfId="1" applyNumberFormat="1" applyFont="1" applyBorder="1" applyAlignment="1"/>
    <xf numFmtId="174" fontId="28" fillId="0" borderId="44" xfId="1" applyNumberFormat="1" applyFont="1" applyBorder="1" applyAlignment="1"/>
    <xf numFmtId="176" fontId="28" fillId="0" borderId="40" xfId="1" applyNumberFormat="1" applyFont="1" applyBorder="1" applyAlignment="1"/>
    <xf numFmtId="176" fontId="28" fillId="0" borderId="39" xfId="1" applyNumberFormat="1" applyFont="1" applyBorder="1" applyAlignment="1"/>
    <xf numFmtId="176" fontId="28" fillId="0" borderId="41" xfId="1" applyNumberFormat="1" applyFont="1" applyBorder="1" applyAlignment="1"/>
    <xf numFmtId="176" fontId="32" fillId="0" borderId="34" xfId="1" applyNumberFormat="1" applyFont="1" applyBorder="1" applyAlignment="1"/>
    <xf numFmtId="175" fontId="28" fillId="0" borderId="39" xfId="1" applyNumberFormat="1" applyFont="1" applyBorder="1" applyAlignment="1"/>
    <xf numFmtId="0" fontId="0" fillId="0" borderId="1" xfId="0" applyFont="1" applyBorder="1" applyAlignment="1"/>
    <xf numFmtId="176" fontId="28" fillId="0" borderId="42" xfId="1" applyNumberFormat="1" applyFont="1" applyBorder="1" applyAlignment="1"/>
    <xf numFmtId="0" fontId="29" fillId="0" borderId="1" xfId="3" applyFill="1" applyBorder="1" applyAlignment="1">
      <alignment horizontal="center" vertical="center" wrapText="1"/>
    </xf>
    <xf numFmtId="0" fontId="3" fillId="0" borderId="1" xfId="4" applyFill="1" applyBorder="1" applyAlignment="1">
      <alignment horizontal="center" vertical="center" wrapText="1"/>
    </xf>
    <xf numFmtId="0" fontId="0" fillId="0" borderId="1" xfId="0" applyFont="1" applyFill="1" applyBorder="1" applyAlignment="1"/>
    <xf numFmtId="0" fontId="28" fillId="0" borderId="1" xfId="2" applyFill="1" applyBorder="1" applyAlignment="1"/>
    <xf numFmtId="0" fontId="0" fillId="0" borderId="45" xfId="0" applyFont="1" applyBorder="1" applyAlignment="1"/>
    <xf numFmtId="176" fontId="5" fillId="2" borderId="2" xfId="1" applyNumberFormat="1" applyFont="1" applyFill="1" applyBorder="1" applyAlignment="1">
      <alignment horizontal="center" vertical="center"/>
    </xf>
    <xf numFmtId="176" fontId="5" fillId="2" borderId="2" xfId="1" applyNumberFormat="1" applyFont="1" applyFill="1" applyBorder="1" applyAlignment="1">
      <alignment horizontal="center" vertical="center" wrapText="1"/>
    </xf>
    <xf numFmtId="176" fontId="5" fillId="2" borderId="2" xfId="1" applyNumberFormat="1" applyFont="1" applyFill="1" applyBorder="1" applyAlignment="1">
      <alignment horizontal="left" vertical="center"/>
    </xf>
    <xf numFmtId="176" fontId="5" fillId="3" borderId="2" xfId="1" applyNumberFormat="1" applyFont="1" applyFill="1" applyBorder="1" applyAlignment="1">
      <alignment horizontal="center" vertical="center"/>
    </xf>
    <xf numFmtId="175" fontId="5" fillId="2" borderId="2" xfId="1" applyNumberFormat="1" applyFont="1" applyFill="1" applyBorder="1" applyAlignment="1">
      <alignment horizontal="left" vertical="center" wrapText="1"/>
    </xf>
    <xf numFmtId="175" fontId="5" fillId="3" borderId="2" xfId="1" applyNumberFormat="1" applyFont="1" applyFill="1" applyBorder="1" applyAlignment="1">
      <alignment horizontal="center" vertical="center" wrapText="1"/>
    </xf>
    <xf numFmtId="175" fontId="11" fillId="2" borderId="2" xfId="1" applyNumberFormat="1" applyFont="1" applyFill="1" applyBorder="1" applyAlignment="1">
      <alignment horizontal="left" vertical="center" wrapText="1"/>
    </xf>
    <xf numFmtId="175" fontId="5" fillId="2" borderId="2" xfId="1" applyNumberFormat="1" applyFont="1" applyFill="1" applyBorder="1" applyAlignment="1">
      <alignment horizontal="center" vertical="center"/>
    </xf>
    <xf numFmtId="175" fontId="5" fillId="3" borderId="2" xfId="1" applyNumberFormat="1" applyFont="1" applyFill="1" applyBorder="1" applyAlignment="1">
      <alignment horizontal="center" vertical="center"/>
    </xf>
    <xf numFmtId="175" fontId="5" fillId="0" borderId="0" xfId="1" applyNumberFormat="1" applyFont="1"/>
    <xf numFmtId="175" fontId="5" fillId="0" borderId="0" xfId="1" applyNumberFormat="1" applyFont="1" applyAlignment="1">
      <alignment horizontal="center" vertical="center"/>
    </xf>
    <xf numFmtId="174" fontId="5" fillId="6" borderId="2" xfId="1" applyNumberFormat="1" applyFont="1" applyFill="1" applyBorder="1" applyAlignment="1">
      <alignment horizontal="center" vertical="center"/>
    </xf>
    <xf numFmtId="174" fontId="5" fillId="3" borderId="7" xfId="1" applyNumberFormat="1" applyFont="1" applyFill="1" applyBorder="1" applyAlignment="1">
      <alignment horizontal="center" vertical="center"/>
    </xf>
    <xf numFmtId="176" fontId="5" fillId="3" borderId="3" xfId="1" applyNumberFormat="1" applyFont="1" applyFill="1" applyBorder="1" applyAlignment="1">
      <alignment horizontal="center" vertical="center"/>
    </xf>
    <xf numFmtId="176" fontId="5" fillId="3" borderId="12" xfId="1" applyNumberFormat="1" applyFont="1" applyFill="1" applyBorder="1" applyAlignment="1">
      <alignment horizontal="center" vertical="center"/>
    </xf>
    <xf numFmtId="0" fontId="10" fillId="0" borderId="0" xfId="0" applyFont="1" applyAlignment="1"/>
    <xf numFmtId="0" fontId="36" fillId="11" borderId="2" xfId="0" applyFont="1" applyFill="1" applyBorder="1"/>
    <xf numFmtId="0" fontId="15" fillId="11" borderId="2" xfId="0" applyFont="1" applyFill="1" applyBorder="1"/>
    <xf numFmtId="0" fontId="36" fillId="0" borderId="2" xfId="0" applyFont="1" applyBorder="1"/>
    <xf numFmtId="0" fontId="15" fillId="0" borderId="2" xfId="0" applyFont="1" applyBorder="1"/>
    <xf numFmtId="9" fontId="36" fillId="0" borderId="2" xfId="0" applyNumberFormat="1" applyFont="1" applyBorder="1"/>
    <xf numFmtId="9" fontId="15" fillId="0" borderId="2" xfId="0" applyNumberFormat="1" applyFont="1" applyBorder="1"/>
    <xf numFmtId="0" fontId="15" fillId="0" borderId="2" xfId="0" applyFont="1" applyBorder="1" applyAlignment="1">
      <alignment wrapText="1"/>
    </xf>
    <xf numFmtId="177" fontId="36" fillId="0" borderId="2" xfId="0" applyNumberFormat="1" applyFont="1" applyBorder="1" applyAlignment="1">
      <alignment wrapText="1"/>
    </xf>
    <xf numFmtId="177" fontId="15" fillId="0" borderId="2" xfId="0" applyNumberFormat="1" applyFont="1" applyBorder="1"/>
    <xf numFmtId="0" fontId="15" fillId="0" borderId="8" xfId="0" applyFont="1" applyBorder="1" applyAlignment="1">
      <alignment wrapText="1"/>
    </xf>
    <xf numFmtId="177" fontId="36" fillId="0" borderId="8" xfId="0" applyNumberFormat="1" applyFont="1" applyBorder="1" applyAlignment="1">
      <alignment wrapText="1"/>
    </xf>
    <xf numFmtId="0" fontId="15" fillId="0" borderId="45" xfId="0" applyFont="1" applyBorder="1" applyAlignment="1">
      <alignment wrapText="1"/>
    </xf>
    <xf numFmtId="0" fontId="15" fillId="0" borderId="4" xfId="0" applyFont="1" applyBorder="1"/>
    <xf numFmtId="0" fontId="15" fillId="11" borderId="8" xfId="0" applyFont="1" applyFill="1" applyBorder="1"/>
    <xf numFmtId="0" fontId="15" fillId="0" borderId="45" xfId="0" applyFont="1" applyBorder="1" applyAlignment="1"/>
    <xf numFmtId="43" fontId="15" fillId="0" borderId="45" xfId="1" applyFont="1" applyBorder="1" applyAlignment="1"/>
    <xf numFmtId="43" fontId="15" fillId="0" borderId="54" xfId="1" applyFont="1" applyBorder="1" applyAlignment="1"/>
    <xf numFmtId="164" fontId="15" fillId="0" borderId="45" xfId="0" applyNumberFormat="1" applyFont="1" applyBorder="1" applyAlignment="1"/>
    <xf numFmtId="164" fontId="15" fillId="0" borderId="54" xfId="0" applyNumberFormat="1" applyFont="1" applyBorder="1" applyAlignment="1"/>
    <xf numFmtId="0" fontId="36" fillId="11" borderId="2" xfId="0" applyFont="1" applyFill="1" applyBorder="1" applyAlignment="1">
      <alignment wrapText="1"/>
    </xf>
    <xf numFmtId="0" fontId="38" fillId="0" borderId="0" xfId="0" applyFont="1" applyAlignment="1"/>
    <xf numFmtId="0" fontId="39" fillId="0" borderId="0" xfId="0" applyFont="1" applyAlignment="1"/>
    <xf numFmtId="0" fontId="39" fillId="0" borderId="49" xfId="0" applyFont="1" applyBorder="1" applyAlignment="1"/>
    <xf numFmtId="0" fontId="39" fillId="0" borderId="51" xfId="0" applyFont="1" applyBorder="1" applyAlignment="1"/>
    <xf numFmtId="0" fontId="0" fillId="2" borderId="1" xfId="0" applyFill="1" applyBorder="1"/>
    <xf numFmtId="0" fontId="0" fillId="0" borderId="0" xfId="0"/>
    <xf numFmtId="0" fontId="40" fillId="13" borderId="1" xfId="0" applyFont="1" applyFill="1" applyBorder="1"/>
    <xf numFmtId="0" fontId="41" fillId="0" borderId="0" xfId="0" applyFont="1" applyAlignment="1">
      <alignment wrapText="1"/>
    </xf>
    <xf numFmtId="0" fontId="40" fillId="0" borderId="0" xfId="0" applyFont="1"/>
    <xf numFmtId="4" fontId="40" fillId="0" borderId="26" xfId="0" applyNumberFormat="1" applyFont="1" applyBorder="1"/>
    <xf numFmtId="0" fontId="40" fillId="0" borderId="26" xfId="0" applyFont="1" applyBorder="1"/>
    <xf numFmtId="0" fontId="41" fillId="0" borderId="2" xfId="0" applyFont="1" applyBorder="1" applyAlignment="1">
      <alignment wrapText="1"/>
    </xf>
    <xf numFmtId="0" fontId="41" fillId="0" borderId="8" xfId="0" applyFont="1" applyBorder="1" applyAlignment="1">
      <alignment wrapText="1"/>
    </xf>
    <xf numFmtId="4" fontId="41" fillId="0" borderId="10" xfId="0" applyNumberFormat="1" applyFont="1" applyBorder="1" applyAlignment="1">
      <alignment wrapText="1"/>
    </xf>
    <xf numFmtId="0" fontId="41" fillId="0" borderId="28" xfId="0" applyFont="1" applyBorder="1" applyAlignment="1">
      <alignment wrapText="1"/>
    </xf>
    <xf numFmtId="0" fontId="41" fillId="0" borderId="2" xfId="0" applyFont="1" applyBorder="1" applyAlignment="1">
      <alignment horizontal="center" wrapText="1"/>
    </xf>
    <xf numFmtId="166" fontId="42" fillId="0" borderId="2" xfId="0" applyNumberFormat="1" applyFont="1" applyBorder="1" applyAlignment="1">
      <alignment horizontal="center"/>
    </xf>
    <xf numFmtId="1" fontId="40" fillId="0" borderId="45" xfId="0" applyNumberFormat="1" applyFont="1" applyBorder="1"/>
    <xf numFmtId="0" fontId="40" fillId="2" borderId="45" xfId="0" applyFont="1" applyFill="1" applyBorder="1"/>
    <xf numFmtId="0" fontId="40" fillId="13" borderId="45" xfId="0" applyFont="1" applyFill="1" applyBorder="1"/>
    <xf numFmtId="3" fontId="40" fillId="0" borderId="45" xfId="0" applyNumberFormat="1" applyFont="1" applyBorder="1"/>
    <xf numFmtId="4" fontId="40" fillId="2" borderId="45" xfId="0" applyNumberFormat="1" applyFont="1" applyFill="1" applyBorder="1" applyAlignment="1">
      <alignment horizontal="right"/>
    </xf>
    <xf numFmtId="3" fontId="40" fillId="0" borderId="45" xfId="0" applyNumberFormat="1" applyFont="1" applyBorder="1" applyAlignment="1">
      <alignment horizontal="right"/>
    </xf>
    <xf numFmtId="3" fontId="40" fillId="0" borderId="0" xfId="0" applyNumberFormat="1" applyFont="1" applyAlignment="1">
      <alignment horizontal="right"/>
    </xf>
    <xf numFmtId="0" fontId="41" fillId="0" borderId="4" xfId="0" applyFont="1" applyBorder="1" applyAlignment="1">
      <alignment horizontal="center" wrapText="1"/>
    </xf>
    <xf numFmtId="0" fontId="43" fillId="0" borderId="0" xfId="0" applyFont="1"/>
    <xf numFmtId="0" fontId="44" fillId="0" borderId="0" xfId="0" applyFont="1"/>
    <xf numFmtId="3" fontId="46" fillId="0" borderId="0" xfId="0" applyNumberFormat="1" applyFont="1"/>
    <xf numFmtId="4" fontId="44" fillId="2" borderId="1" xfId="0" applyNumberFormat="1" applyFont="1" applyFill="1" applyBorder="1" applyAlignment="1">
      <alignment horizontal="right"/>
    </xf>
    <xf numFmtId="3" fontId="46" fillId="0" borderId="0" xfId="0" applyNumberFormat="1" applyFont="1" applyAlignment="1">
      <alignment horizontal="right"/>
    </xf>
    <xf numFmtId="0" fontId="43" fillId="0" borderId="0" xfId="0" applyFont="1" applyAlignment="1">
      <alignment horizontal="left"/>
    </xf>
    <xf numFmtId="4" fontId="40" fillId="0" borderId="0" xfId="0" applyNumberFormat="1" applyFont="1"/>
    <xf numFmtId="3" fontId="40" fillId="0" borderId="0" xfId="0" applyNumberFormat="1" applyFont="1"/>
    <xf numFmtId="0" fontId="41" fillId="2" borderId="8" xfId="0" applyFont="1" applyFill="1" applyBorder="1" applyAlignment="1">
      <alignment wrapText="1"/>
    </xf>
    <xf numFmtId="10" fontId="40" fillId="0" borderId="45" xfId="0" applyNumberFormat="1" applyFont="1" applyBorder="1"/>
    <xf numFmtId="0" fontId="39" fillId="0" borderId="0" xfId="0" applyFont="1" applyAlignment="1">
      <alignment wrapText="1"/>
    </xf>
    <xf numFmtId="3" fontId="39" fillId="0" borderId="0" xfId="0" applyNumberFormat="1" applyFont="1" applyAlignment="1"/>
    <xf numFmtId="0" fontId="47" fillId="0" borderId="0" xfId="5" applyFont="1" applyAlignment="1"/>
    <xf numFmtId="0" fontId="39" fillId="0" borderId="1" xfId="0" applyFont="1" applyBorder="1"/>
    <xf numFmtId="0" fontId="39" fillId="0" borderId="45" xfId="0" applyFont="1" applyBorder="1" applyAlignment="1"/>
    <xf numFmtId="0" fontId="39" fillId="0" borderId="45" xfId="0" applyFont="1" applyBorder="1" applyAlignment="1">
      <alignment wrapText="1"/>
    </xf>
    <xf numFmtId="3" fontId="39" fillId="0" borderId="45" xfId="0" applyNumberFormat="1" applyFont="1" applyBorder="1" applyAlignment="1"/>
    <xf numFmtId="0" fontId="39" fillId="0" borderId="46" xfId="0" applyFont="1" applyBorder="1"/>
    <xf numFmtId="0" fontId="39" fillId="0" borderId="52" xfId="0" applyFont="1" applyBorder="1" applyAlignment="1"/>
    <xf numFmtId="43" fontId="39" fillId="0" borderId="52" xfId="1" applyFont="1" applyBorder="1" applyAlignment="1"/>
    <xf numFmtId="0" fontId="38" fillId="0" borderId="47" xfId="0" applyFont="1" applyBorder="1"/>
    <xf numFmtId="0" fontId="4" fillId="0" borderId="2" xfId="0" applyFont="1" applyBorder="1" applyAlignment="1">
      <alignment horizontal="center" wrapText="1"/>
    </xf>
    <xf numFmtId="0" fontId="4" fillId="0" borderId="4" xfId="0" applyFont="1" applyBorder="1" applyAlignment="1">
      <alignment horizontal="center" wrapText="1"/>
    </xf>
    <xf numFmtId="176" fontId="40" fillId="0" borderId="45" xfId="1" applyNumberFormat="1" applyFont="1" applyBorder="1"/>
    <xf numFmtId="176" fontId="40" fillId="2" borderId="45" xfId="1" applyNumberFormat="1" applyFont="1" applyFill="1" applyBorder="1"/>
    <xf numFmtId="176" fontId="4" fillId="3" borderId="2" xfId="1" applyNumberFormat="1" applyFont="1" applyFill="1" applyBorder="1" applyAlignment="1">
      <alignment horizontal="center" vertical="center"/>
    </xf>
    <xf numFmtId="0" fontId="16" fillId="0" borderId="0" xfId="0" applyFont="1"/>
    <xf numFmtId="0" fontId="4" fillId="0" borderId="8" xfId="0" applyFont="1" applyBorder="1" applyAlignment="1">
      <alignment wrapText="1"/>
    </xf>
    <xf numFmtId="0" fontId="40" fillId="0" borderId="0" xfId="0" applyNumberFormat="1" applyFont="1" applyAlignment="1">
      <alignment wrapText="1"/>
    </xf>
    <xf numFmtId="0" fontId="0" fillId="0" borderId="0" xfId="0" applyNumberFormat="1" applyAlignment="1">
      <alignment wrapText="1"/>
    </xf>
    <xf numFmtId="0" fontId="4" fillId="0" borderId="11" xfId="0" applyFont="1" applyFill="1" applyBorder="1" applyAlignment="1">
      <alignment horizontal="center" wrapText="1"/>
    </xf>
    <xf numFmtId="176" fontId="41" fillId="0" borderId="4" xfId="1" applyNumberFormat="1" applyFont="1" applyBorder="1" applyAlignment="1">
      <alignment horizontal="center" wrapText="1"/>
    </xf>
    <xf numFmtId="176" fontId="0" fillId="0" borderId="0" xfId="1" applyNumberFormat="1" applyFont="1"/>
    <xf numFmtId="0" fontId="46" fillId="0" borderId="0" xfId="0" applyNumberFormat="1" applyFont="1" applyAlignment="1">
      <alignment wrapText="1"/>
    </xf>
    <xf numFmtId="168" fontId="5" fillId="3" borderId="2" xfId="1" applyNumberFormat="1" applyFont="1" applyFill="1" applyBorder="1" applyAlignment="1">
      <alignment horizontal="center" vertical="center"/>
    </xf>
    <xf numFmtId="168" fontId="4" fillId="3" borderId="2" xfId="1" applyNumberFormat="1" applyFont="1" applyFill="1" applyBorder="1" applyAlignment="1">
      <alignment horizontal="center" vertical="center"/>
    </xf>
    <xf numFmtId="168" fontId="5" fillId="2" borderId="2" xfId="1" applyNumberFormat="1" applyFont="1" applyFill="1" applyBorder="1" applyAlignment="1">
      <alignment horizontal="center" vertical="center"/>
    </xf>
    <xf numFmtId="0" fontId="15" fillId="0" borderId="0" xfId="0" applyFont="1" applyAlignment="1">
      <alignment wrapText="1"/>
    </xf>
    <xf numFmtId="0" fontId="46" fillId="0" borderId="0" xfId="0" applyFont="1" applyAlignment="1"/>
    <xf numFmtId="0" fontId="16" fillId="0" borderId="0" xfId="0" applyFont="1" applyAlignment="1"/>
    <xf numFmtId="0" fontId="16" fillId="0" borderId="1" xfId="0" applyFont="1" applyBorder="1" applyAlignment="1"/>
    <xf numFmtId="0" fontId="16" fillId="0" borderId="46" xfId="0" applyFont="1" applyBorder="1" applyAlignment="1"/>
    <xf numFmtId="166" fontId="16" fillId="0" borderId="48" xfId="0" applyNumberFormat="1" applyFont="1" applyBorder="1"/>
    <xf numFmtId="0" fontId="16" fillId="0" borderId="49" xfId="0" applyFont="1" applyBorder="1"/>
    <xf numFmtId="166" fontId="16" fillId="0" borderId="50" xfId="0" applyNumberFormat="1" applyFont="1" applyBorder="1" applyAlignment="1"/>
    <xf numFmtId="0" fontId="16" fillId="0" borderId="49" xfId="0" applyFont="1" applyBorder="1" applyAlignment="1"/>
    <xf numFmtId="0" fontId="16" fillId="0" borderId="51" xfId="0" applyFont="1" applyBorder="1" applyAlignment="1"/>
    <xf numFmtId="166" fontId="16" fillId="0" borderId="53" xfId="0" applyNumberFormat="1" applyFont="1" applyBorder="1" applyAlignment="1"/>
    <xf numFmtId="0" fontId="46" fillId="0" borderId="48" xfId="0" applyFont="1" applyBorder="1"/>
    <xf numFmtId="0" fontId="46" fillId="0" borderId="49" xfId="0" applyFont="1" applyBorder="1"/>
    <xf numFmtId="0" fontId="16" fillId="0" borderId="50" xfId="0" applyFont="1" applyBorder="1" applyAlignment="1"/>
    <xf numFmtId="0" fontId="16" fillId="0" borderId="50" xfId="0" applyFont="1" applyBorder="1"/>
    <xf numFmtId="166" fontId="16" fillId="0" borderId="50" xfId="0" applyNumberFormat="1" applyFont="1" applyBorder="1"/>
    <xf numFmtId="0" fontId="48" fillId="0" borderId="49" xfId="0" applyFont="1" applyBorder="1"/>
    <xf numFmtId="167" fontId="16" fillId="0" borderId="50" xfId="0" applyNumberFormat="1" applyFont="1" applyBorder="1"/>
    <xf numFmtId="165" fontId="16" fillId="0" borderId="50" xfId="0" applyNumberFormat="1" applyFont="1" applyBorder="1"/>
    <xf numFmtId="0" fontId="46" fillId="0" borderId="0" xfId="0" applyFont="1"/>
    <xf numFmtId="0" fontId="46" fillId="0" borderId="31" xfId="0" applyFont="1" applyBorder="1"/>
    <xf numFmtId="0" fontId="16" fillId="0" borderId="33" xfId="0" applyFont="1" applyBorder="1" applyAlignment="1"/>
    <xf numFmtId="166" fontId="46" fillId="0" borderId="53" xfId="0" applyNumberFormat="1" applyFont="1" applyBorder="1"/>
    <xf numFmtId="0" fontId="46" fillId="0" borderId="51" xfId="0" applyFont="1" applyBorder="1"/>
    <xf numFmtId="43" fontId="36" fillId="0" borderId="45" xfId="0" applyNumberFormat="1" applyFont="1" applyBorder="1" applyAlignment="1"/>
    <xf numFmtId="10" fontId="46" fillId="0" borderId="45" xfId="0" applyNumberFormat="1" applyFont="1" applyBorder="1"/>
    <xf numFmtId="0" fontId="10" fillId="0" borderId="45" xfId="0" applyFont="1" applyBorder="1" applyAlignment="1"/>
    <xf numFmtId="0" fontId="31" fillId="0" borderId="45" xfId="0" applyFont="1" applyBorder="1" applyAlignment="1"/>
    <xf numFmtId="166" fontId="42" fillId="0" borderId="1" xfId="0" applyNumberFormat="1" applyFont="1" applyBorder="1" applyAlignment="1">
      <alignment horizontal="center"/>
    </xf>
    <xf numFmtId="0" fontId="4" fillId="0" borderId="1" xfId="0" applyFont="1" applyBorder="1" applyAlignment="1">
      <alignment horizontal="center" wrapText="1"/>
    </xf>
    <xf numFmtId="0" fontId="10" fillId="0" borderId="0" xfId="0" applyFont="1"/>
    <xf numFmtId="9" fontId="0" fillId="0" borderId="0" xfId="0" applyNumberFormat="1"/>
    <xf numFmtId="0" fontId="16" fillId="2" borderId="1" xfId="0" applyFont="1" applyFill="1" applyBorder="1"/>
    <xf numFmtId="0" fontId="17" fillId="0" borderId="45" xfId="0" applyFont="1" applyBorder="1" applyAlignment="1">
      <alignment horizontal="center" vertical="center" wrapText="1"/>
    </xf>
    <xf numFmtId="0" fontId="16" fillId="0" borderId="45" xfId="0" applyFont="1" applyBorder="1" applyAlignment="1">
      <alignment vertical="center" wrapText="1"/>
    </xf>
    <xf numFmtId="0" fontId="50" fillId="0" borderId="45" xfId="0" applyFont="1" applyBorder="1" applyAlignment="1">
      <alignment horizontal="left" vertical="center" wrapText="1"/>
    </xf>
    <xf numFmtId="0" fontId="51" fillId="0" borderId="45" xfId="0" applyFont="1" applyBorder="1" applyAlignment="1">
      <alignment horizontal="center" vertical="center" wrapText="1"/>
    </xf>
    <xf numFmtId="0" fontId="52" fillId="0" borderId="45" xfId="0" applyFont="1" applyBorder="1" applyAlignment="1">
      <alignment horizontal="center" vertical="center" wrapText="1"/>
    </xf>
    <xf numFmtId="0" fontId="50" fillId="0" borderId="45" xfId="0" applyFont="1" applyBorder="1" applyAlignment="1">
      <alignment horizontal="center" vertical="center" wrapText="1"/>
    </xf>
    <xf numFmtId="0" fontId="53" fillId="0" borderId="45" xfId="0" applyFont="1" applyBorder="1" applyAlignment="1">
      <alignment horizontal="center" vertical="center" wrapText="1"/>
    </xf>
    <xf numFmtId="0" fontId="50" fillId="0" borderId="13" xfId="0" applyFont="1" applyBorder="1" applyAlignment="1">
      <alignment horizontal="left" vertical="center" wrapText="1"/>
    </xf>
    <xf numFmtId="0" fontId="50" fillId="0" borderId="14" xfId="0" applyFont="1" applyBorder="1" applyAlignment="1">
      <alignment horizontal="left" vertical="center" wrapText="1"/>
    </xf>
    <xf numFmtId="0" fontId="50" fillId="0" borderId="15" xfId="0" applyFont="1" applyBorder="1" applyAlignment="1">
      <alignment horizontal="left" vertical="center" wrapText="1"/>
    </xf>
    <xf numFmtId="0" fontId="50" fillId="0" borderId="16" xfId="0" applyFont="1" applyBorder="1" applyAlignment="1">
      <alignment horizontal="left" vertical="center" wrapText="1"/>
    </xf>
    <xf numFmtId="0" fontId="55" fillId="0" borderId="0" xfId="0" applyFont="1"/>
    <xf numFmtId="0" fontId="50" fillId="0" borderId="17" xfId="0" applyFont="1" applyBorder="1" applyAlignment="1">
      <alignment horizontal="center" vertical="center" wrapText="1"/>
    </xf>
    <xf numFmtId="0" fontId="50" fillId="0" borderId="18" xfId="0" applyFont="1" applyBorder="1" applyAlignment="1">
      <alignment horizontal="center" vertical="center" wrapText="1"/>
    </xf>
    <xf numFmtId="0" fontId="50" fillId="0" borderId="16" xfId="0" applyFont="1" applyBorder="1" applyAlignment="1">
      <alignment horizontal="center" vertical="center" wrapText="1"/>
    </xf>
    <xf numFmtId="0" fontId="50" fillId="0" borderId="22" xfId="0" applyFont="1" applyBorder="1" applyAlignment="1">
      <alignment horizontal="center" vertical="center" wrapText="1"/>
    </xf>
    <xf numFmtId="0" fontId="14" fillId="0" borderId="0" xfId="0" applyFont="1" applyAlignment="1">
      <alignment horizontal="left" vertical="center"/>
    </xf>
    <xf numFmtId="0" fontId="56" fillId="0" borderId="0" xfId="0" applyFont="1" applyAlignment="1">
      <alignment vertical="center"/>
    </xf>
    <xf numFmtId="0" fontId="16" fillId="0" borderId="13" xfId="0" applyFont="1" applyBorder="1" applyAlignment="1">
      <alignment vertical="center" wrapText="1"/>
    </xf>
    <xf numFmtId="0" fontId="17" fillId="0" borderId="14" xfId="0" applyFont="1" applyBorder="1" applyAlignment="1">
      <alignment horizontal="center" vertical="center" wrapText="1"/>
    </xf>
    <xf numFmtId="0" fontId="50" fillId="0" borderId="15" xfId="0" applyFont="1" applyBorder="1" applyAlignment="1">
      <alignment vertical="center" wrapText="1"/>
    </xf>
    <xf numFmtId="0" fontId="46" fillId="0" borderId="0" xfId="0" applyFont="1" applyAlignment="1">
      <alignment vertical="center"/>
    </xf>
    <xf numFmtId="0" fontId="50" fillId="0" borderId="45" xfId="0" applyFont="1" applyBorder="1" applyAlignment="1">
      <alignment vertical="center" wrapText="1"/>
    </xf>
    <xf numFmtId="0" fontId="50" fillId="0" borderId="1" xfId="0" applyFont="1" applyBorder="1" applyAlignment="1">
      <alignment vertical="center" wrapText="1"/>
    </xf>
    <xf numFmtId="0" fontId="50" fillId="0" borderId="1" xfId="0" applyFont="1" applyBorder="1" applyAlignment="1">
      <alignment horizontal="center" vertical="center" wrapText="1"/>
    </xf>
    <xf numFmtId="0" fontId="50" fillId="0" borderId="0" xfId="0" applyFont="1" applyAlignment="1">
      <alignment vertical="center" wrapText="1"/>
    </xf>
    <xf numFmtId="0" fontId="50" fillId="0" borderId="0" xfId="0" applyFont="1" applyAlignment="1">
      <alignment horizontal="center" vertical="center" wrapText="1"/>
    </xf>
    <xf numFmtId="0" fontId="51" fillId="0" borderId="0" xfId="0" applyFont="1" applyAlignment="1">
      <alignment horizontal="center" vertical="center" wrapText="1"/>
    </xf>
    <xf numFmtId="0" fontId="59" fillId="0" borderId="0" xfId="0" applyFont="1" applyAlignment="1">
      <alignment vertical="center"/>
    </xf>
    <xf numFmtId="0" fontId="60" fillId="0" borderId="0" xfId="0" applyFont="1" applyAlignment="1">
      <alignment horizontal="left" vertical="center"/>
    </xf>
    <xf numFmtId="0" fontId="53" fillId="0" borderId="0" xfId="0" applyFont="1" applyAlignment="1">
      <alignment horizontal="left" vertical="center"/>
    </xf>
    <xf numFmtId="0" fontId="52" fillId="0" borderId="0" xfId="0" applyFont="1" applyAlignment="1">
      <alignment horizontal="left" vertical="center"/>
    </xf>
    <xf numFmtId="0" fontId="45" fillId="0" borderId="45" xfId="0" applyFont="1" applyBorder="1"/>
    <xf numFmtId="0" fontId="51" fillId="0" borderId="1" xfId="0" applyFont="1" applyBorder="1" applyAlignment="1">
      <alignment horizontal="center" vertical="center" wrapText="1"/>
    </xf>
    <xf numFmtId="0" fontId="57" fillId="0" borderId="0" xfId="0" applyFont="1" applyAlignment="1">
      <alignment vertical="center"/>
    </xf>
    <xf numFmtId="0" fontId="45" fillId="0" borderId="45" xfId="0" applyFont="1" applyBorder="1" applyAlignment="1"/>
    <xf numFmtId="0" fontId="17" fillId="0" borderId="45" xfId="0" applyFont="1" applyBorder="1" applyAlignment="1">
      <alignment horizontal="left" vertical="center" wrapText="1"/>
    </xf>
    <xf numFmtId="0" fontId="50" fillId="0" borderId="1" xfId="0" applyFont="1" applyBorder="1" applyAlignment="1">
      <alignment horizontal="left" vertical="center" wrapText="1"/>
    </xf>
    <xf numFmtId="0" fontId="52" fillId="0" borderId="1" xfId="0" applyFont="1" applyBorder="1" applyAlignment="1">
      <alignment horizontal="center" vertical="center" wrapText="1"/>
    </xf>
    <xf numFmtId="0" fontId="50" fillId="0" borderId="45" xfId="0" applyFont="1" applyBorder="1" applyAlignment="1">
      <alignment horizontal="right" vertical="center" wrapText="1"/>
    </xf>
    <xf numFmtId="0" fontId="61" fillId="0" borderId="51" xfId="0" applyFont="1" applyBorder="1"/>
    <xf numFmtId="0" fontId="46" fillId="0" borderId="47" xfId="6" applyFont="1" applyBorder="1" applyAlignment="1">
      <alignment wrapText="1"/>
    </xf>
    <xf numFmtId="0" fontId="16" fillId="0" borderId="0" xfId="0" applyFont="1" applyAlignment="1">
      <alignment wrapText="1"/>
    </xf>
    <xf numFmtId="0" fontId="46" fillId="0" borderId="56" xfId="0" applyFont="1" applyBorder="1" applyAlignment="1"/>
    <xf numFmtId="0" fontId="16" fillId="0" borderId="45" xfId="6" applyFont="1" applyBorder="1" applyAlignment="1">
      <alignment wrapText="1"/>
    </xf>
    <xf numFmtId="0" fontId="16" fillId="0" borderId="1" xfId="6" applyFont="1" applyAlignment="1">
      <alignment wrapText="1"/>
    </xf>
    <xf numFmtId="0" fontId="16" fillId="0" borderId="47" xfId="6" applyFont="1" applyBorder="1" applyAlignment="1">
      <alignment wrapText="1"/>
    </xf>
    <xf numFmtId="0" fontId="46" fillId="0" borderId="52" xfId="6" applyFont="1" applyBorder="1" applyAlignment="1">
      <alignment wrapText="1"/>
    </xf>
    <xf numFmtId="0" fontId="16" fillId="0" borderId="1" xfId="6" applyFont="1" applyBorder="1" applyAlignment="1">
      <alignment wrapText="1"/>
    </xf>
    <xf numFmtId="0" fontId="16" fillId="0" borderId="55" xfId="6" applyFont="1" applyBorder="1" applyAlignment="1">
      <alignment wrapText="1"/>
    </xf>
    <xf numFmtId="168" fontId="0" fillId="0" borderId="0" xfId="0" applyNumberFormat="1" applyFont="1" applyAlignment="1"/>
    <xf numFmtId="179" fontId="0" fillId="0" borderId="0" xfId="7" applyNumberFormat="1" applyFont="1" applyAlignment="1"/>
    <xf numFmtId="179" fontId="0" fillId="0" borderId="0" xfId="0" applyNumberFormat="1" applyFont="1" applyAlignment="1"/>
    <xf numFmtId="0" fontId="15" fillId="0" borderId="0" xfId="0" applyFont="1" applyAlignment="1"/>
    <xf numFmtId="0" fontId="54" fillId="12" borderId="46" xfId="0" applyFont="1" applyFill="1" applyBorder="1" applyAlignment="1">
      <alignment horizontal="justify" vertical="center" wrapText="1"/>
    </xf>
    <xf numFmtId="0" fontId="54" fillId="12" borderId="47" xfId="0" applyFont="1" applyFill="1" applyBorder="1" applyAlignment="1">
      <alignment horizontal="left" vertical="center" wrapText="1"/>
    </xf>
    <xf numFmtId="0" fontId="54" fillId="12" borderId="48" xfId="0" applyFont="1" applyFill="1" applyBorder="1" applyAlignment="1">
      <alignment horizontal="left" vertical="center" wrapText="1"/>
    </xf>
    <xf numFmtId="0" fontId="54" fillId="12" borderId="49" xfId="0" applyFont="1" applyFill="1" applyBorder="1" applyAlignment="1">
      <alignment horizontal="justify" vertical="center" wrapText="1"/>
    </xf>
    <xf numFmtId="3" fontId="15" fillId="0" borderId="45" xfId="0" applyNumberFormat="1" applyFont="1" applyBorder="1" applyAlignment="1"/>
    <xf numFmtId="176" fontId="15" fillId="0" borderId="50" xfId="1" applyNumberFormat="1" applyFont="1" applyBorder="1" applyAlignment="1"/>
    <xf numFmtId="43" fontId="15" fillId="0" borderId="0" xfId="0" applyNumberFormat="1" applyFont="1" applyAlignment="1"/>
    <xf numFmtId="176" fontId="15" fillId="0" borderId="50" xfId="0" applyNumberFormat="1" applyFont="1" applyBorder="1" applyAlignment="1"/>
    <xf numFmtId="0" fontId="54" fillId="12" borderId="51" xfId="0" applyFont="1" applyFill="1" applyBorder="1" applyAlignment="1">
      <alignment horizontal="justify" vertical="center" wrapText="1"/>
    </xf>
    <xf numFmtId="0" fontId="15" fillId="0" borderId="52" xfId="0" applyFont="1" applyBorder="1" applyAlignment="1"/>
    <xf numFmtId="176" fontId="15" fillId="0" borderId="53" xfId="0" applyNumberFormat="1" applyFont="1" applyBorder="1" applyAlignment="1"/>
    <xf numFmtId="0" fontId="36" fillId="0" borderId="0" xfId="0" applyFont="1" applyAlignment="1"/>
    <xf numFmtId="0" fontId="36" fillId="0" borderId="2" xfId="0" applyFont="1" applyBorder="1" applyAlignment="1">
      <alignment wrapText="1"/>
    </xf>
    <xf numFmtId="0" fontId="36" fillId="0" borderId="2" xfId="0" applyFont="1" applyFill="1" applyBorder="1" applyAlignment="1">
      <alignment wrapText="1"/>
    </xf>
    <xf numFmtId="0" fontId="15" fillId="0" borderId="2" xfId="0" applyFont="1" applyFill="1" applyBorder="1" applyAlignment="1">
      <alignment wrapText="1"/>
    </xf>
    <xf numFmtId="3" fontId="15" fillId="0" borderId="2" xfId="0" applyNumberFormat="1" applyFont="1" applyBorder="1"/>
    <xf numFmtId="3" fontId="15" fillId="0" borderId="2" xfId="0" applyNumberFormat="1" applyFont="1" applyFill="1" applyBorder="1"/>
    <xf numFmtId="3" fontId="36" fillId="0" borderId="2" xfId="0" applyNumberFormat="1" applyFont="1" applyBorder="1"/>
    <xf numFmtId="3" fontId="36" fillId="0" borderId="2" xfId="0" applyNumberFormat="1" applyFont="1" applyFill="1" applyBorder="1"/>
    <xf numFmtId="0" fontId="15" fillId="0" borderId="0" xfId="0" applyFont="1"/>
    <xf numFmtId="0" fontId="63" fillId="0" borderId="0" xfId="0" applyFont="1" applyAlignment="1"/>
    <xf numFmtId="0" fontId="15" fillId="0" borderId="1" xfId="0" applyFont="1" applyFill="1" applyBorder="1" applyAlignment="1"/>
    <xf numFmtId="9" fontId="15" fillId="0" borderId="0" xfId="0" applyNumberFormat="1" applyFont="1" applyAlignment="1"/>
    <xf numFmtId="43" fontId="15" fillId="0" borderId="0" xfId="1" applyFont="1" applyAlignment="1"/>
    <xf numFmtId="176" fontId="15" fillId="0" borderId="0" xfId="1" applyNumberFormat="1" applyFont="1" applyAlignment="1"/>
    <xf numFmtId="0" fontId="36" fillId="0" borderId="45" xfId="0" applyFont="1" applyBorder="1" applyAlignment="1"/>
    <xf numFmtId="9" fontId="15" fillId="0" borderId="45" xfId="0" applyNumberFormat="1" applyFont="1" applyBorder="1" applyAlignment="1"/>
    <xf numFmtId="178" fontId="15" fillId="0" borderId="45" xfId="0" applyNumberFormat="1" applyFont="1" applyBorder="1" applyAlignment="1"/>
    <xf numFmtId="0" fontId="36" fillId="0" borderId="45" xfId="0" applyFont="1" applyBorder="1" applyAlignment="1">
      <alignment wrapText="1"/>
    </xf>
    <xf numFmtId="176" fontId="15" fillId="0" borderId="45" xfId="0" applyNumberFormat="1" applyFont="1" applyBorder="1" applyAlignment="1"/>
    <xf numFmtId="0" fontId="36" fillId="0" borderId="45" xfId="0" applyFont="1" applyFill="1" applyBorder="1" applyAlignment="1">
      <alignment wrapText="1"/>
    </xf>
    <xf numFmtId="176" fontId="15" fillId="0" borderId="45" xfId="0" applyNumberFormat="1" applyFont="1" applyBorder="1" applyAlignment="1">
      <alignment horizontal="right"/>
    </xf>
    <xf numFmtId="0" fontId="15" fillId="0" borderId="45" xfId="0" applyFont="1" applyFill="1" applyBorder="1" applyAlignment="1">
      <alignment wrapText="1"/>
    </xf>
    <xf numFmtId="176" fontId="36" fillId="0" borderId="45" xfId="0" applyNumberFormat="1" applyFont="1" applyBorder="1" applyAlignment="1"/>
    <xf numFmtId="0" fontId="2" fillId="0" borderId="49" xfId="0" applyFont="1" applyBorder="1" applyAlignment="1">
      <alignment wrapText="1"/>
    </xf>
    <xf numFmtId="174" fontId="0" fillId="0" borderId="45" xfId="0" applyNumberFormat="1" applyFont="1" applyBorder="1" applyAlignment="1"/>
    <xf numFmtId="9" fontId="16" fillId="0" borderId="0" xfId="7" applyFont="1" applyAlignment="1"/>
    <xf numFmtId="3" fontId="36" fillId="0" borderId="1" xfId="0" applyNumberFormat="1" applyFont="1" applyBorder="1"/>
    <xf numFmtId="0" fontId="4" fillId="0" borderId="10" xfId="0" applyFont="1" applyFill="1" applyBorder="1" applyAlignment="1">
      <alignment wrapText="1"/>
    </xf>
    <xf numFmtId="179" fontId="40" fillId="0" borderId="45" xfId="0" applyNumberFormat="1" applyFont="1" applyBorder="1"/>
    <xf numFmtId="176" fontId="4" fillId="0" borderId="4" xfId="1" applyNumberFormat="1" applyFont="1" applyBorder="1" applyAlignment="1">
      <alignment horizontal="center" wrapText="1"/>
    </xf>
    <xf numFmtId="179" fontId="46" fillId="0" borderId="45" xfId="0" applyNumberFormat="1" applyFont="1" applyBorder="1"/>
    <xf numFmtId="179" fontId="0" fillId="0" borderId="0" xfId="0" applyNumberFormat="1"/>
    <xf numFmtId="176" fontId="15" fillId="0" borderId="0" xfId="0" applyNumberFormat="1" applyFont="1" applyAlignment="1"/>
    <xf numFmtId="0" fontId="64" fillId="0" borderId="0" xfId="5" applyFont="1" applyAlignment="1">
      <alignment wrapText="1"/>
    </xf>
    <xf numFmtId="164" fontId="15" fillId="0" borderId="0" xfId="0" applyNumberFormat="1" applyFont="1" applyAlignment="1"/>
    <xf numFmtId="164" fontId="0" fillId="0" borderId="0" xfId="0" applyNumberFormat="1"/>
    <xf numFmtId="0" fontId="40" fillId="0" borderId="1" xfId="0" applyFont="1" applyBorder="1"/>
    <xf numFmtId="0" fontId="16" fillId="0" borderId="1" xfId="0" applyFont="1" applyBorder="1"/>
    <xf numFmtId="0" fontId="16" fillId="13" borderId="45" xfId="0" applyFont="1" applyFill="1" applyBorder="1"/>
    <xf numFmtId="3" fontId="40" fillId="0" borderId="1" xfId="0" applyNumberFormat="1" applyFont="1" applyFill="1" applyBorder="1" applyAlignment="1">
      <alignment horizontal="right"/>
    </xf>
    <xf numFmtId="43" fontId="0" fillId="0" borderId="0" xfId="0" applyNumberFormat="1"/>
    <xf numFmtId="9" fontId="16" fillId="0" borderId="0" xfId="0" applyNumberFormat="1" applyFont="1" applyAlignment="1"/>
    <xf numFmtId="166" fontId="16" fillId="0" borderId="0" xfId="0" applyNumberFormat="1" applyFont="1" applyAlignment="1"/>
    <xf numFmtId="0" fontId="46" fillId="0" borderId="46" xfId="0" applyFont="1" applyBorder="1" applyAlignment="1"/>
    <xf numFmtId="0" fontId="16" fillId="0" borderId="48" xfId="0" applyFont="1" applyBorder="1" applyAlignment="1"/>
    <xf numFmtId="0" fontId="46" fillId="0" borderId="49" xfId="0" applyFont="1" applyBorder="1" applyAlignment="1"/>
    <xf numFmtId="9" fontId="46" fillId="0" borderId="49" xfId="0" applyNumberFormat="1" applyFont="1" applyBorder="1" applyAlignment="1">
      <alignment horizontal="left"/>
    </xf>
    <xf numFmtId="0" fontId="16" fillId="0" borderId="53" xfId="0" applyFont="1" applyBorder="1" applyAlignment="1"/>
    <xf numFmtId="0" fontId="65" fillId="0" borderId="0" xfId="0" applyFont="1" applyAlignment="1"/>
    <xf numFmtId="0" fontId="16" fillId="0" borderId="57" xfId="0" applyFont="1" applyBorder="1" applyAlignment="1"/>
    <xf numFmtId="0" fontId="66" fillId="0" borderId="0" xfId="0" applyFont="1" applyAlignment="1"/>
    <xf numFmtId="166" fontId="16" fillId="0" borderId="1" xfId="0" applyNumberFormat="1" applyFont="1" applyBorder="1" applyAlignment="1"/>
    <xf numFmtId="0" fontId="15" fillId="0" borderId="45" xfId="0" applyFont="1" applyBorder="1"/>
    <xf numFmtId="3" fontId="15" fillId="0" borderId="45" xfId="0" applyNumberFormat="1" applyFont="1" applyBorder="1"/>
    <xf numFmtId="0" fontId="36" fillId="0" borderId="45" xfId="0" applyFont="1" applyBorder="1"/>
    <xf numFmtId="3" fontId="36" fillId="0" borderId="45" xfId="0" applyNumberFormat="1" applyFont="1" applyBorder="1"/>
    <xf numFmtId="0" fontId="36" fillId="0" borderId="46" xfId="0" applyFont="1" applyBorder="1" applyAlignment="1">
      <alignment wrapText="1"/>
    </xf>
    <xf numFmtId="0" fontId="36" fillId="0" borderId="47" xfId="0" applyFont="1" applyBorder="1" applyAlignment="1">
      <alignment wrapText="1"/>
    </xf>
    <xf numFmtId="0" fontId="15" fillId="0" borderId="49" xfId="0" applyFont="1" applyBorder="1" applyAlignment="1">
      <alignment wrapText="1"/>
    </xf>
    <xf numFmtId="0" fontId="15" fillId="0" borderId="50" xfId="0" applyFont="1" applyBorder="1" applyAlignment="1"/>
    <xf numFmtId="0" fontId="15" fillId="0" borderId="49" xfId="0" applyFont="1" applyBorder="1"/>
    <xf numFmtId="0" fontId="36" fillId="0" borderId="49" xfId="0" applyFont="1" applyBorder="1"/>
    <xf numFmtId="3" fontId="36" fillId="0" borderId="50" xfId="0" applyNumberFormat="1" applyFont="1" applyBorder="1"/>
    <xf numFmtId="0" fontId="15" fillId="0" borderId="51" xfId="0" applyFont="1" applyBorder="1"/>
    <xf numFmtId="0" fontId="15" fillId="0" borderId="52" xfId="0" applyFont="1" applyBorder="1"/>
    <xf numFmtId="3" fontId="36" fillId="0" borderId="52" xfId="0" applyNumberFormat="1" applyFont="1" applyBorder="1"/>
    <xf numFmtId="0" fontId="36" fillId="0" borderId="48" xfId="0" applyFont="1" applyBorder="1" applyAlignment="1"/>
    <xf numFmtId="180" fontId="10" fillId="0" borderId="0" xfId="0" applyNumberFormat="1" applyFont="1"/>
    <xf numFmtId="0" fontId="10" fillId="0" borderId="45" xfId="0" applyFont="1" applyBorder="1"/>
    <xf numFmtId="164" fontId="0" fillId="0" borderId="45" xfId="0" applyNumberFormat="1" applyBorder="1"/>
    <xf numFmtId="0" fontId="0" fillId="0" borderId="45" xfId="0" applyBorder="1"/>
    <xf numFmtId="0" fontId="10" fillId="0" borderId="45" xfId="0" applyFont="1" applyFill="1" applyBorder="1"/>
    <xf numFmtId="176" fontId="0" fillId="0" borderId="45" xfId="0" applyNumberFormat="1" applyBorder="1"/>
    <xf numFmtId="0" fontId="10" fillId="0" borderId="46" xfId="0" applyFont="1" applyBorder="1"/>
    <xf numFmtId="164" fontId="0" fillId="0" borderId="47" xfId="0" applyNumberFormat="1" applyBorder="1"/>
    <xf numFmtId="0" fontId="0" fillId="0" borderId="47" xfId="0" applyBorder="1"/>
    <xf numFmtId="0" fontId="10" fillId="0" borderId="47" xfId="0" applyFont="1" applyBorder="1"/>
    <xf numFmtId="180" fontId="0" fillId="0" borderId="48" xfId="0" applyNumberFormat="1" applyBorder="1"/>
    <xf numFmtId="0" fontId="10" fillId="0" borderId="49" xfId="0" applyFont="1" applyBorder="1"/>
    <xf numFmtId="164" fontId="0" fillId="0" borderId="50" xfId="0" applyNumberFormat="1" applyBorder="1"/>
    <xf numFmtId="0" fontId="10" fillId="0" borderId="49" xfId="0" applyFont="1" applyFill="1" applyBorder="1"/>
    <xf numFmtId="0" fontId="0" fillId="0" borderId="49" xfId="0" applyBorder="1"/>
    <xf numFmtId="0" fontId="0" fillId="0" borderId="50" xfId="0" applyBorder="1"/>
    <xf numFmtId="176" fontId="0" fillId="0" borderId="50" xfId="0" applyNumberFormat="1" applyBorder="1"/>
    <xf numFmtId="0" fontId="10" fillId="0" borderId="51" xfId="0" applyFont="1" applyBorder="1"/>
    <xf numFmtId="176" fontId="0" fillId="0" borderId="52" xfId="0" applyNumberFormat="1" applyBorder="1"/>
    <xf numFmtId="0" fontId="0" fillId="0" borderId="52" xfId="0" applyBorder="1"/>
    <xf numFmtId="0" fontId="10" fillId="0" borderId="52" xfId="0" applyFont="1" applyBorder="1"/>
    <xf numFmtId="176" fontId="0" fillId="0" borderId="53" xfId="0" applyNumberFormat="1" applyBorder="1"/>
    <xf numFmtId="0" fontId="67" fillId="0" borderId="0" xfId="0" applyFont="1"/>
    <xf numFmtId="175" fontId="15" fillId="0" borderId="0" xfId="0" applyNumberFormat="1" applyFont="1" applyAlignment="1"/>
    <xf numFmtId="0" fontId="46" fillId="0" borderId="1" xfId="8" applyFont="1" applyAlignment="1"/>
    <xf numFmtId="0" fontId="16" fillId="0" borderId="1" xfId="8" applyFont="1" applyAlignment="1"/>
    <xf numFmtId="0" fontId="16" fillId="0" borderId="1" xfId="8" applyFont="1" applyAlignment="1">
      <alignment wrapText="1"/>
    </xf>
    <xf numFmtId="0" fontId="16" fillId="0" borderId="1" xfId="8" applyFont="1" applyBorder="1" applyAlignment="1"/>
    <xf numFmtId="0" fontId="16" fillId="0" borderId="46" xfId="8" applyFont="1" applyBorder="1" applyAlignment="1"/>
    <xf numFmtId="166" fontId="16" fillId="0" borderId="48" xfId="8" applyNumberFormat="1" applyFont="1" applyBorder="1"/>
    <xf numFmtId="0" fontId="16" fillId="0" borderId="49" xfId="8" applyFont="1" applyBorder="1"/>
    <xf numFmtId="166" fontId="16" fillId="0" borderId="50" xfId="8" applyNumberFormat="1" applyFont="1" applyBorder="1" applyAlignment="1"/>
    <xf numFmtId="0" fontId="16" fillId="0" borderId="49" xfId="8" applyFont="1" applyBorder="1" applyAlignment="1"/>
    <xf numFmtId="0" fontId="16" fillId="0" borderId="51" xfId="8" applyFont="1" applyBorder="1" applyAlignment="1"/>
    <xf numFmtId="166" fontId="16" fillId="0" borderId="53" xfId="8" applyNumberFormat="1" applyFont="1" applyBorder="1" applyAlignment="1"/>
    <xf numFmtId="0" fontId="46" fillId="0" borderId="56" xfId="8" applyFont="1" applyBorder="1" applyAlignment="1"/>
    <xf numFmtId="0" fontId="46" fillId="0" borderId="48" xfId="8" applyFont="1" applyBorder="1"/>
    <xf numFmtId="0" fontId="46" fillId="0" borderId="49" xfId="8" applyFont="1" applyBorder="1"/>
    <xf numFmtId="0" fontId="16" fillId="0" borderId="50" xfId="8" applyFont="1" applyBorder="1" applyAlignment="1"/>
    <xf numFmtId="0" fontId="16" fillId="0" borderId="50" xfId="8" applyFont="1" applyBorder="1"/>
    <xf numFmtId="166" fontId="16" fillId="0" borderId="50" xfId="8" applyNumberFormat="1" applyFont="1" applyBorder="1"/>
    <xf numFmtId="0" fontId="48" fillId="0" borderId="49" xfId="8" applyFont="1" applyBorder="1"/>
    <xf numFmtId="167" fontId="16" fillId="0" borderId="50" xfId="8" applyNumberFormat="1" applyFont="1" applyBorder="1"/>
    <xf numFmtId="165" fontId="16" fillId="0" borderId="50" xfId="8" applyNumberFormat="1" applyFont="1" applyBorder="1"/>
    <xf numFmtId="0" fontId="61" fillId="0" borderId="51" xfId="8" applyFont="1" applyBorder="1"/>
    <xf numFmtId="166" fontId="46" fillId="0" borderId="53" xfId="8" applyNumberFormat="1" applyFont="1" applyBorder="1"/>
    <xf numFmtId="0" fontId="46" fillId="0" borderId="31" xfId="8" applyFont="1" applyBorder="1"/>
    <xf numFmtId="0" fontId="16" fillId="0" borderId="33" xfId="8" applyFont="1" applyBorder="1" applyAlignment="1"/>
    <xf numFmtId="0" fontId="46" fillId="0" borderId="51" xfId="8" applyFont="1" applyBorder="1"/>
    <xf numFmtId="9" fontId="16" fillId="0" borderId="1" xfId="9" applyFont="1" applyAlignment="1"/>
    <xf numFmtId="0" fontId="65" fillId="0" borderId="1" xfId="8" applyFont="1" applyAlignment="1"/>
    <xf numFmtId="0" fontId="46" fillId="0" borderId="46" xfId="8" applyFont="1" applyBorder="1" applyAlignment="1"/>
    <xf numFmtId="0" fontId="16" fillId="0" borderId="48" xfId="8" applyFont="1" applyBorder="1" applyAlignment="1"/>
    <xf numFmtId="0" fontId="46" fillId="0" borderId="49" xfId="8" applyFont="1" applyBorder="1" applyAlignment="1"/>
    <xf numFmtId="9" fontId="46" fillId="0" borderId="49" xfId="8" applyNumberFormat="1" applyFont="1" applyBorder="1" applyAlignment="1">
      <alignment horizontal="left"/>
    </xf>
    <xf numFmtId="0" fontId="16" fillId="0" borderId="53" xfId="8" applyFont="1" applyBorder="1" applyAlignment="1"/>
    <xf numFmtId="166" fontId="16" fillId="0" borderId="1" xfId="8" applyNumberFormat="1" applyFont="1" applyAlignment="1"/>
    <xf numFmtId="0" fontId="16" fillId="0" borderId="57" xfId="8" applyFont="1" applyBorder="1" applyAlignment="1"/>
    <xf numFmtId="179" fontId="0" fillId="0" borderId="1" xfId="9" applyNumberFormat="1" applyFont="1" applyAlignment="1"/>
    <xf numFmtId="0" fontId="1" fillId="0" borderId="45" xfId="0" applyFont="1" applyBorder="1" applyAlignment="1"/>
    <xf numFmtId="0" fontId="0" fillId="0" borderId="35" xfId="1" applyNumberFormat="1" applyFont="1" applyBorder="1" applyAlignment="1"/>
    <xf numFmtId="0" fontId="16" fillId="2" borderId="45" xfId="0" applyFont="1" applyFill="1" applyBorder="1"/>
    <xf numFmtId="4" fontId="16" fillId="2" borderId="45" xfId="0" applyNumberFormat="1" applyFont="1" applyFill="1" applyBorder="1" applyAlignment="1">
      <alignment horizontal="right"/>
    </xf>
    <xf numFmtId="176" fontId="16" fillId="2" borderId="45" xfId="1" applyNumberFormat="1" applyFont="1" applyFill="1" applyBorder="1"/>
    <xf numFmtId="181" fontId="46" fillId="0" borderId="45" xfId="0" applyNumberFormat="1" applyFont="1" applyBorder="1"/>
    <xf numFmtId="0" fontId="36" fillId="0" borderId="4" xfId="0" applyFont="1" applyBorder="1" applyAlignment="1">
      <alignment wrapText="1"/>
    </xf>
    <xf numFmtId="0" fontId="62" fillId="0" borderId="5" xfId="0" applyFont="1" applyBorder="1"/>
    <xf numFmtId="0" fontId="62" fillId="0" borderId="6" xfId="0" applyFont="1" applyBorder="1"/>
    <xf numFmtId="0" fontId="50" fillId="0" borderId="45" xfId="0" applyFont="1" applyBorder="1" applyAlignment="1">
      <alignment vertical="center" wrapText="1"/>
    </xf>
    <xf numFmtId="0" fontId="45" fillId="0" borderId="45" xfId="0" applyFont="1" applyBorder="1"/>
    <xf numFmtId="0" fontId="51" fillId="0" borderId="45" xfId="0" applyFont="1" applyBorder="1" applyAlignment="1">
      <alignment horizontal="left" vertical="center" wrapText="1"/>
    </xf>
    <xf numFmtId="0" fontId="51" fillId="0" borderId="19" xfId="0" applyFont="1" applyBorder="1" applyAlignment="1">
      <alignment horizontal="center" vertical="center" wrapText="1"/>
    </xf>
    <xf numFmtId="0" fontId="45" fillId="0" borderId="20" xfId="0" applyFont="1" applyBorder="1"/>
    <xf numFmtId="0" fontId="45" fillId="0" borderId="21" xfId="0" applyFont="1" applyBorder="1"/>
    <xf numFmtId="0" fontId="45" fillId="0" borderId="15" xfId="0" applyFont="1" applyBorder="1"/>
    <xf numFmtId="0" fontId="50" fillId="0" borderId="23" xfId="0" applyFont="1" applyBorder="1" applyAlignment="1">
      <alignment vertical="center" wrapText="1"/>
    </xf>
    <xf numFmtId="0" fontId="45" fillId="0" borderId="24" xfId="0" applyFont="1" applyBorder="1"/>
    <xf numFmtId="0" fontId="45" fillId="0" borderId="14" xfId="0" applyFont="1" applyBorder="1"/>
    <xf numFmtId="0" fontId="29" fillId="9" borderId="31" xfId="3" applyBorder="1" applyAlignment="1">
      <alignment horizontal="center" vertical="center" wrapText="1"/>
    </xf>
    <xf numFmtId="0" fontId="29" fillId="9" borderId="33" xfId="3" applyBorder="1" applyAlignment="1">
      <alignment horizontal="center" vertical="center" wrapText="1"/>
    </xf>
    <xf numFmtId="0" fontId="29" fillId="9" borderId="32" xfId="3" applyBorder="1" applyAlignment="1">
      <alignment horizontal="center" vertical="center" wrapText="1"/>
    </xf>
    <xf numFmtId="0" fontId="29" fillId="9" borderId="0" xfId="3" applyAlignment="1">
      <alignment horizontal="center" vertical="center" wrapText="1"/>
    </xf>
    <xf numFmtId="0" fontId="5" fillId="0" borderId="4" xfId="0" applyFont="1" applyBorder="1" applyAlignment="1">
      <alignment horizontal="center" vertical="center"/>
    </xf>
    <xf numFmtId="0" fontId="12" fillId="0" borderId="5" xfId="0" applyFont="1" applyBorder="1"/>
    <xf numFmtId="0" fontId="12" fillId="0" borderId="6" xfId="0" applyFont="1" applyBorder="1"/>
    <xf numFmtId="0" fontId="25" fillId="0" borderId="0" xfId="0" applyFont="1" applyAlignment="1">
      <alignment horizontal="left" wrapText="1"/>
    </xf>
    <xf numFmtId="0" fontId="4" fillId="0" borderId="8" xfId="0" applyFont="1" applyBorder="1" applyAlignment="1">
      <alignment horizontal="center" vertical="center" wrapText="1"/>
    </xf>
    <xf numFmtId="0" fontId="12" fillId="0" borderId="9" xfId="0" applyFont="1" applyBorder="1"/>
    <xf numFmtId="0" fontId="5" fillId="0" borderId="8" xfId="0" applyFont="1" applyBorder="1" applyAlignment="1">
      <alignment horizontal="center" vertical="center" wrapText="1"/>
    </xf>
    <xf numFmtId="0" fontId="5" fillId="0" borderId="25" xfId="0" applyFont="1" applyBorder="1" applyAlignment="1">
      <alignment horizontal="center" vertical="center"/>
    </xf>
    <xf numFmtId="0" fontId="12" fillId="0" borderId="26" xfId="0" applyFont="1" applyBorder="1"/>
  </cellXfs>
  <cellStyles count="10">
    <cellStyle name="60 % - Accent1" xfId="4" builtinId="32"/>
    <cellStyle name="Accent1" xfId="3" builtinId="29"/>
    <cellStyle name="Lien hypertexte" xfId="5" builtinId="8"/>
    <cellStyle name="Milliers" xfId="1" builtinId="3"/>
    <cellStyle name="Normal" xfId="0" builtinId="0"/>
    <cellStyle name="Normal 2" xfId="6"/>
    <cellStyle name="Normal 3" xfId="8"/>
    <cellStyle name="Pourcentage" xfId="7" builtinId="5"/>
    <cellStyle name="Pourcentage 2" xfId="9"/>
    <cellStyle name="Total" xfId="2" builtinId="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21" Type="http://schemas.openxmlformats.org/officeDocument/2006/relationships/worksheet" Target="worksheets/sheet21.xml"/><Relationship Id="rId42"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2.xml"/><Relationship Id="rId40" Type="http://schemas.openxmlformats.org/officeDocument/2006/relationships/styles" Target="styles.xml"/><Relationship Id="rId45"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xml"/><Relationship Id="rId44"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43" Type="http://schemas.openxmlformats.org/officeDocument/2006/relationships/customXml" Target="../customXml/item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3.xml"/><Relationship Id="rId38" Type="http://customschemas.google.com/relationships/workbookmetadata" Target="metadata"/></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fr-FR"/>
              <a:t>CO2 content of</a:t>
            </a:r>
            <a:r>
              <a:rPr lang="fr-FR" baseline="0"/>
              <a:t> electricity for each country of the program PEEB Cool</a:t>
            </a:r>
            <a:endParaRPr lang="fr-F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fr-FR"/>
        </a:p>
      </c:txPr>
    </c:title>
    <c:autoTitleDeleted val="0"/>
    <c:plotArea>
      <c:layout/>
      <c:barChart>
        <c:barDir val="col"/>
        <c:grouping val="clustered"/>
        <c:varyColors val="0"/>
        <c:ser>
          <c:idx val="0"/>
          <c:order val="0"/>
          <c:spPr>
            <a:solidFill>
              <a:schemeClr val="accent1"/>
            </a:solidFill>
            <a:ln>
              <a:noFill/>
            </a:ln>
            <a:effectLst/>
          </c:spPr>
          <c:invertIfNegative val="0"/>
          <c:cat>
            <c:strRef>
              <c:f>'Sector emissions'!$A$50:$A$60</c:f>
              <c:strCache>
                <c:ptCount val="11"/>
                <c:pt idx="0">
                  <c:v>Albania</c:v>
                </c:pt>
                <c:pt idx="1">
                  <c:v>Argentina</c:v>
                </c:pt>
                <c:pt idx="2">
                  <c:v>Costa Rica</c:v>
                </c:pt>
                <c:pt idx="3">
                  <c:v>Djibouti</c:v>
                </c:pt>
                <c:pt idx="4">
                  <c:v>Indonesia</c:v>
                </c:pt>
                <c:pt idx="5">
                  <c:v>Mexico</c:v>
                </c:pt>
                <c:pt idx="6">
                  <c:v>Morocco</c:v>
                </c:pt>
                <c:pt idx="7">
                  <c:v>Nigeria</c:v>
                </c:pt>
                <c:pt idx="8">
                  <c:v>N. Macedonia</c:v>
                </c:pt>
                <c:pt idx="9">
                  <c:v>Sri Lanka</c:v>
                </c:pt>
                <c:pt idx="10">
                  <c:v>Tunisia</c:v>
                </c:pt>
              </c:strCache>
            </c:strRef>
          </c:cat>
          <c:val>
            <c:numRef>
              <c:f>'Sector emissions'!$B$50:$B$60</c:f>
              <c:numCache>
                <c:formatCode>_-* #\ ##0.000_-;\-* #\ ##0.000_-;_-* "-"??_-;_-@_-</c:formatCode>
                <c:ptCount val="11"/>
                <c:pt idx="0">
                  <c:v>4.2965859968044848E-2</c:v>
                </c:pt>
                <c:pt idx="1">
                  <c:v>0.35019264315809107</c:v>
                </c:pt>
                <c:pt idx="2">
                  <c:v>0.14515986502334785</c:v>
                </c:pt>
                <c:pt idx="3">
                  <c:v>0.6388533474370115</c:v>
                </c:pt>
                <c:pt idx="4">
                  <c:v>0.6373106018054876</c:v>
                </c:pt>
                <c:pt idx="5">
                  <c:v>0.31962067261904487</c:v>
                </c:pt>
                <c:pt idx="6">
                  <c:v>0.55057909980594144</c:v>
                </c:pt>
                <c:pt idx="7">
                  <c:v>0.39531206159723237</c:v>
                </c:pt>
                <c:pt idx="8">
                  <c:v>0.69079323816859484</c:v>
                </c:pt>
                <c:pt idx="9">
                  <c:v>0.46810625912218568</c:v>
                </c:pt>
                <c:pt idx="10">
                  <c:v>0.40406164852080534</c:v>
                </c:pt>
              </c:numCache>
            </c:numRef>
          </c:val>
          <c:extLst>
            <c:ext xmlns:c16="http://schemas.microsoft.com/office/drawing/2014/chart" uri="{C3380CC4-5D6E-409C-BE32-E72D297353CC}">
              <c16:uniqueId val="{00000000-551E-4110-9E60-F677E37066C7}"/>
            </c:ext>
          </c:extLst>
        </c:ser>
        <c:dLbls>
          <c:showLegendKey val="0"/>
          <c:showVal val="0"/>
          <c:showCatName val="0"/>
          <c:showSerName val="0"/>
          <c:showPercent val="0"/>
          <c:showBubbleSize val="0"/>
        </c:dLbls>
        <c:gapWidth val="219"/>
        <c:overlap val="-27"/>
        <c:axId val="486803480"/>
        <c:axId val="486801840"/>
      </c:barChart>
      <c:catAx>
        <c:axId val="4868034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86801840"/>
        <c:crosses val="autoZero"/>
        <c:auto val="1"/>
        <c:lblAlgn val="ctr"/>
        <c:lblOffset val="100"/>
        <c:noMultiLvlLbl val="0"/>
      </c:catAx>
      <c:valAx>
        <c:axId val="4868018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fr-FR"/>
                  <a:t>kgCO2/kWh</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fr-FR"/>
            </a:p>
          </c:txPr>
        </c:title>
        <c:numFmt formatCode="_-* #\ ##0.000_-;\-* #\ ##0.000_-;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868034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c:style val="2"/>
  <c:chart>
    <c:title>
      <c:tx>
        <c:rich>
          <a:bodyPr/>
          <a:lstStyle/>
          <a:p>
            <a:pPr lvl="0">
              <a:defRPr sz="1400" b="0" i="0">
                <a:solidFill>
                  <a:srgbClr val="757575"/>
                </a:solidFill>
                <a:latin typeface="+mn-lt"/>
              </a:defRPr>
            </a:pPr>
            <a:r>
              <a:rPr lang="en-GB" sz="1400" b="0" i="0">
                <a:solidFill>
                  <a:srgbClr val="757575"/>
                </a:solidFill>
                <a:latin typeface="+mn-lt"/>
              </a:rPr>
              <a:t>Average energy savings for each building type - package -20%</a:t>
            </a:r>
          </a:p>
        </c:rich>
      </c:tx>
      <c:overlay val="0"/>
    </c:title>
    <c:autoTitleDeleted val="0"/>
    <c:plotArea>
      <c:layout/>
      <c:barChart>
        <c:barDir val="col"/>
        <c:grouping val="clustered"/>
        <c:varyColors val="1"/>
        <c:ser>
          <c:idx val="0"/>
          <c:order val="0"/>
          <c:spPr>
            <a:solidFill>
              <a:srgbClr val="4F81BD"/>
            </a:solidFill>
            <a:ln cmpd="sng">
              <a:solidFill>
                <a:srgbClr val="000000"/>
              </a:solidFill>
            </a:ln>
          </c:spPr>
          <c:invertIfNegative val="1"/>
          <c:cat>
            <c:strRef>
              <c:f>'Input_EDGE energy savings'!$A$46:$A$64</c:f>
              <c:strCache>
                <c:ptCount val="7"/>
                <c:pt idx="0">
                  <c:v>Residential</c:v>
                </c:pt>
                <c:pt idx="1">
                  <c:v>Small scale healthcare</c:v>
                </c:pt>
                <c:pt idx="2">
                  <c:v>Hospital</c:v>
                </c:pt>
                <c:pt idx="3">
                  <c:v>Education</c:v>
                </c:pt>
                <c:pt idx="4">
                  <c:v>Small scale office</c:v>
                </c:pt>
                <c:pt idx="5">
                  <c:v>Hotel</c:v>
                </c:pt>
                <c:pt idx="6">
                  <c:v>Retail</c:v>
                </c:pt>
              </c:strCache>
            </c:strRef>
          </c:cat>
          <c:val>
            <c:numRef>
              <c:f>'Input_EDGE energy savings'!$M$46:$M$64</c:f>
              <c:numCache>
                <c:formatCode>0.0</c:formatCode>
                <c:ptCount val="7"/>
                <c:pt idx="0">
                  <c:v>31</c:v>
                </c:pt>
                <c:pt idx="1">
                  <c:v>22.772727272727273</c:v>
                </c:pt>
                <c:pt idx="2">
                  <c:v>92.272727272727266</c:v>
                </c:pt>
                <c:pt idx="3">
                  <c:v>10.227272727272727</c:v>
                </c:pt>
                <c:pt idx="4">
                  <c:v>60.6875</c:v>
                </c:pt>
                <c:pt idx="5">
                  <c:v>26.25</c:v>
                </c:pt>
                <c:pt idx="6">
                  <c:v>59.75</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3EEB-4150-9116-8FE5A4207CE9}"/>
            </c:ext>
          </c:extLst>
        </c:ser>
        <c:dLbls>
          <c:showLegendKey val="0"/>
          <c:showVal val="0"/>
          <c:showCatName val="0"/>
          <c:showSerName val="0"/>
          <c:showPercent val="0"/>
          <c:showBubbleSize val="0"/>
        </c:dLbls>
        <c:gapWidth val="150"/>
        <c:axId val="489414285"/>
        <c:axId val="1489348919"/>
      </c:barChart>
      <c:catAx>
        <c:axId val="489414285"/>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fr-FR"/>
          </a:p>
        </c:txPr>
        <c:crossAx val="1489348919"/>
        <c:crosses val="autoZero"/>
        <c:auto val="1"/>
        <c:lblAlgn val="ctr"/>
        <c:lblOffset val="100"/>
        <c:noMultiLvlLbl val="1"/>
      </c:catAx>
      <c:valAx>
        <c:axId val="1489348919"/>
        <c:scaling>
          <c:orientation val="minMax"/>
        </c:scaling>
        <c:delete val="0"/>
        <c:axPos val="l"/>
        <c:majorGridlines>
          <c:spPr>
            <a:ln>
              <a:solidFill>
                <a:srgbClr val="B7B7B7"/>
              </a:solidFill>
            </a:ln>
          </c:spPr>
        </c:majorGridlines>
        <c:title>
          <c:tx>
            <c:rich>
              <a:bodyPr/>
              <a:lstStyle/>
              <a:p>
                <a:pPr lvl="0">
                  <a:defRPr sz="1000" b="0" i="0">
                    <a:solidFill>
                      <a:srgbClr val="000000"/>
                    </a:solidFill>
                    <a:latin typeface="+mn-lt"/>
                  </a:defRPr>
                </a:pPr>
                <a:r>
                  <a:rPr lang="en-GB" sz="1000" b="0" i="0">
                    <a:solidFill>
                      <a:srgbClr val="000000"/>
                    </a:solidFill>
                    <a:latin typeface="+mn-lt"/>
                  </a:rPr>
                  <a:t>kWh/m²/year</a:t>
                </a:r>
              </a:p>
            </c:rich>
          </c:tx>
          <c:overlay val="0"/>
        </c:title>
        <c:numFmt formatCode="0.0" sourceLinked="1"/>
        <c:majorTickMark val="none"/>
        <c:minorTickMark val="none"/>
        <c:tickLblPos val="nextTo"/>
        <c:spPr>
          <a:ln/>
        </c:spPr>
        <c:txPr>
          <a:bodyPr/>
          <a:lstStyle/>
          <a:p>
            <a:pPr lvl="0">
              <a:defRPr sz="900" b="0" i="0">
                <a:solidFill>
                  <a:srgbClr val="000000"/>
                </a:solidFill>
                <a:latin typeface="+mn-lt"/>
              </a:defRPr>
            </a:pPr>
            <a:endParaRPr lang="fr-FR"/>
          </a:p>
        </c:txPr>
        <c:crossAx val="489414285"/>
        <c:crosses val="autoZero"/>
        <c:crossBetween val="between"/>
      </c:valAx>
    </c:plotArea>
    <c:plotVisOnly val="1"/>
    <c:dispBlanksAs val="zero"/>
    <c:showDLblsOverMax val="1"/>
  </c:chart>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c:style val="2"/>
  <c:chart>
    <c:title>
      <c:tx>
        <c:rich>
          <a:bodyPr/>
          <a:lstStyle/>
          <a:p>
            <a:pPr lvl="0">
              <a:defRPr sz="1400" b="0" i="0">
                <a:solidFill>
                  <a:srgbClr val="757575"/>
                </a:solidFill>
                <a:latin typeface="+mn-lt"/>
              </a:defRPr>
            </a:pPr>
            <a:r>
              <a:rPr lang="en-GB" sz="1400" b="0" i="0">
                <a:solidFill>
                  <a:srgbClr val="757575"/>
                </a:solidFill>
                <a:latin typeface="+mn-lt"/>
              </a:rPr>
              <a:t>Average energy savings for each climate zone - package 20%</a:t>
            </a:r>
          </a:p>
        </c:rich>
      </c:tx>
      <c:overlay val="0"/>
    </c:title>
    <c:autoTitleDeleted val="0"/>
    <c:plotArea>
      <c:layout/>
      <c:barChart>
        <c:barDir val="col"/>
        <c:grouping val="clustered"/>
        <c:varyColors val="1"/>
        <c:ser>
          <c:idx val="0"/>
          <c:order val="0"/>
          <c:spPr>
            <a:solidFill>
              <a:srgbClr val="4F81BD"/>
            </a:solidFill>
            <a:ln cmpd="sng">
              <a:solidFill>
                <a:srgbClr val="000000"/>
              </a:solidFill>
            </a:ln>
          </c:spPr>
          <c:invertIfNegative val="1"/>
          <c:cat>
            <c:strRef>
              <c:f>'Input_EDGE energy savings'!$A$72:$A$77</c:f>
              <c:strCache>
                <c:ptCount val="6"/>
                <c:pt idx="0">
                  <c:v>Tropical</c:v>
                </c:pt>
                <c:pt idx="1">
                  <c:v>Equatorial</c:v>
                </c:pt>
                <c:pt idx="2">
                  <c:v>arid</c:v>
                </c:pt>
                <c:pt idx="3">
                  <c:v>subtropipcal humid</c:v>
                </c:pt>
                <c:pt idx="4">
                  <c:v>mediterrannean</c:v>
                </c:pt>
                <c:pt idx="5">
                  <c:v>Semi-continental</c:v>
                </c:pt>
              </c:strCache>
            </c:strRef>
          </c:cat>
          <c:val>
            <c:numRef>
              <c:f>'Input_EDGE energy savings'!$B$72:$B$77</c:f>
              <c:numCache>
                <c:formatCode>0.0</c:formatCode>
                <c:ptCount val="6"/>
                <c:pt idx="0">
                  <c:v>44.214285714285722</c:v>
                </c:pt>
                <c:pt idx="1">
                  <c:v>37.142857142857146</c:v>
                </c:pt>
                <c:pt idx="2">
                  <c:v>44.349999999999994</c:v>
                </c:pt>
                <c:pt idx="3">
                  <c:v>40.142857142857146</c:v>
                </c:pt>
                <c:pt idx="4">
                  <c:v>39.25</c:v>
                </c:pt>
                <c:pt idx="5">
                  <c:v>48.857142857142854</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C064-49CC-B872-C72A44333C3D}"/>
            </c:ext>
          </c:extLst>
        </c:ser>
        <c:dLbls>
          <c:showLegendKey val="0"/>
          <c:showVal val="0"/>
          <c:showCatName val="0"/>
          <c:showSerName val="0"/>
          <c:showPercent val="0"/>
          <c:showBubbleSize val="0"/>
        </c:dLbls>
        <c:gapWidth val="150"/>
        <c:axId val="655540132"/>
        <c:axId val="597467974"/>
      </c:barChart>
      <c:catAx>
        <c:axId val="655540132"/>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fr-FR"/>
          </a:p>
        </c:txPr>
        <c:crossAx val="597467974"/>
        <c:crosses val="autoZero"/>
        <c:auto val="1"/>
        <c:lblAlgn val="ctr"/>
        <c:lblOffset val="100"/>
        <c:noMultiLvlLbl val="1"/>
      </c:catAx>
      <c:valAx>
        <c:axId val="597467974"/>
        <c:scaling>
          <c:orientation val="minMax"/>
        </c:scaling>
        <c:delete val="0"/>
        <c:axPos val="l"/>
        <c:majorGridlines>
          <c:spPr>
            <a:ln>
              <a:solidFill>
                <a:srgbClr val="B7B7B7"/>
              </a:solidFill>
            </a:ln>
          </c:spPr>
        </c:majorGridlines>
        <c:title>
          <c:tx>
            <c:rich>
              <a:bodyPr/>
              <a:lstStyle/>
              <a:p>
                <a:pPr lvl="0">
                  <a:defRPr sz="1000" b="0" i="0">
                    <a:solidFill>
                      <a:srgbClr val="000000"/>
                    </a:solidFill>
                    <a:latin typeface="+mn-lt"/>
                  </a:defRPr>
                </a:pPr>
                <a:r>
                  <a:rPr lang="en-GB" sz="1000" b="0" i="0">
                    <a:solidFill>
                      <a:srgbClr val="000000"/>
                    </a:solidFill>
                    <a:latin typeface="+mn-lt"/>
                  </a:rPr>
                  <a:t>kWh/m²/year</a:t>
                </a:r>
              </a:p>
            </c:rich>
          </c:tx>
          <c:overlay val="0"/>
        </c:title>
        <c:numFmt formatCode="0.0" sourceLinked="1"/>
        <c:majorTickMark val="none"/>
        <c:minorTickMark val="none"/>
        <c:tickLblPos val="nextTo"/>
        <c:spPr>
          <a:ln/>
        </c:spPr>
        <c:txPr>
          <a:bodyPr/>
          <a:lstStyle/>
          <a:p>
            <a:pPr lvl="0">
              <a:defRPr sz="900" b="0" i="0">
                <a:solidFill>
                  <a:srgbClr val="000000"/>
                </a:solidFill>
                <a:latin typeface="+mn-lt"/>
              </a:defRPr>
            </a:pPr>
            <a:endParaRPr lang="fr-FR"/>
          </a:p>
        </c:txPr>
        <c:crossAx val="655540132"/>
        <c:crosses val="autoZero"/>
        <c:crossBetween val="between"/>
      </c:valAx>
    </c:plotArea>
    <c:plotVisOnly val="1"/>
    <c:dispBlanksAs val="zero"/>
    <c:showDLblsOverMax val="1"/>
  </c:chart>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c:style val="2"/>
  <c:chart>
    <c:title>
      <c:tx>
        <c:rich>
          <a:bodyPr/>
          <a:lstStyle/>
          <a:p>
            <a:pPr lvl="0">
              <a:defRPr sz="1400" b="0" i="0">
                <a:solidFill>
                  <a:srgbClr val="757575"/>
                </a:solidFill>
                <a:latin typeface="+mn-lt"/>
              </a:defRPr>
            </a:pPr>
            <a:r>
              <a:rPr lang="en-GB" sz="1400" b="0" i="0">
                <a:solidFill>
                  <a:srgbClr val="757575"/>
                </a:solidFill>
                <a:latin typeface="+mn-lt"/>
              </a:rPr>
              <a:t>Average energy savings for each building type - package 40%</a:t>
            </a:r>
          </a:p>
        </c:rich>
      </c:tx>
      <c:overlay val="0"/>
    </c:title>
    <c:autoTitleDeleted val="0"/>
    <c:plotArea>
      <c:layout/>
      <c:barChart>
        <c:barDir val="col"/>
        <c:grouping val="clustered"/>
        <c:varyColors val="1"/>
        <c:ser>
          <c:idx val="0"/>
          <c:order val="0"/>
          <c:tx>
            <c:v>Average energy saving for each building type - package 40%</c:v>
          </c:tx>
          <c:spPr>
            <a:solidFill>
              <a:srgbClr val="4F81BD"/>
            </a:solidFill>
            <a:ln cmpd="sng">
              <a:solidFill>
                <a:srgbClr val="000000"/>
              </a:solidFill>
            </a:ln>
          </c:spPr>
          <c:invertIfNegative val="1"/>
          <c:cat>
            <c:strRef>
              <c:f>'Input_EDGE energy savings'!$A$6:$A$24</c:f>
              <c:strCache>
                <c:ptCount val="19"/>
                <c:pt idx="0">
                  <c:v>Residential</c:v>
                </c:pt>
                <c:pt idx="1">
                  <c:v>ELEC (other uses)</c:v>
                </c:pt>
                <c:pt idx="2">
                  <c:v>GAS (heating + hot water)</c:v>
                </c:pt>
                <c:pt idx="3">
                  <c:v>Small scale healthcare</c:v>
                </c:pt>
                <c:pt idx="4">
                  <c:v>ELEC (other uses)</c:v>
                </c:pt>
                <c:pt idx="5">
                  <c:v>GAS (heating + hot water)</c:v>
                </c:pt>
                <c:pt idx="6">
                  <c:v>Hospital</c:v>
                </c:pt>
                <c:pt idx="7">
                  <c:v>ELEC (other uses)</c:v>
                </c:pt>
                <c:pt idx="8">
                  <c:v>GAS (heating + hot water)</c:v>
                </c:pt>
                <c:pt idx="9">
                  <c:v>Education</c:v>
                </c:pt>
                <c:pt idx="10">
                  <c:v>ELEC (other uses)</c:v>
                </c:pt>
                <c:pt idx="11">
                  <c:v>GAS (heating + hot water)</c:v>
                </c:pt>
                <c:pt idx="12">
                  <c:v>Office</c:v>
                </c:pt>
                <c:pt idx="13">
                  <c:v>ELEC (other uses)</c:v>
                </c:pt>
                <c:pt idx="14">
                  <c:v>GAS (heating + hot water)</c:v>
                </c:pt>
                <c:pt idx="15">
                  <c:v>Hotel</c:v>
                </c:pt>
                <c:pt idx="16">
                  <c:v>ELEC (other uses)</c:v>
                </c:pt>
                <c:pt idx="17">
                  <c:v>GAS (heating + hot water)</c:v>
                </c:pt>
                <c:pt idx="18">
                  <c:v>Retail</c:v>
                </c:pt>
              </c:strCache>
            </c:strRef>
          </c:cat>
          <c:val>
            <c:numRef>
              <c:f>'Input_EDGE energy savings'!$M$6:$M$24</c:f>
              <c:numCache>
                <c:formatCode>_-* #\ ##0.0_-;\-* #\ ##0.0_-;_-* "-"??_-;_-@_-</c:formatCode>
                <c:ptCount val="19"/>
                <c:pt idx="0">
                  <c:v>47.954545454545453</c:v>
                </c:pt>
                <c:pt idx="1">
                  <c:v>22.727272727272727</c:v>
                </c:pt>
                <c:pt idx="2">
                  <c:v>25.227272727272727</c:v>
                </c:pt>
                <c:pt idx="3">
                  <c:v>58.227272727272727</c:v>
                </c:pt>
                <c:pt idx="4">
                  <c:v>46</c:v>
                </c:pt>
                <c:pt idx="5">
                  <c:v>12.227272727272727</c:v>
                </c:pt>
                <c:pt idx="6">
                  <c:v>145.09090909090909</c:v>
                </c:pt>
                <c:pt idx="7">
                  <c:v>77.090909090909093</c:v>
                </c:pt>
                <c:pt idx="8">
                  <c:v>68</c:v>
                </c:pt>
                <c:pt idx="9">
                  <c:v>14.409090909090908</c:v>
                </c:pt>
                <c:pt idx="10">
                  <c:v>13.136363636363637</c:v>
                </c:pt>
                <c:pt idx="11">
                  <c:v>1.2727272727272727</c:v>
                </c:pt>
                <c:pt idx="12">
                  <c:v>84.375</c:v>
                </c:pt>
                <c:pt idx="13">
                  <c:v>84.125</c:v>
                </c:pt>
                <c:pt idx="14">
                  <c:v>0.25</c:v>
                </c:pt>
                <c:pt idx="15">
                  <c:v>77</c:v>
                </c:pt>
                <c:pt idx="16">
                  <c:v>46.666666666666664</c:v>
                </c:pt>
                <c:pt idx="17">
                  <c:v>30.333333333333332</c:v>
                </c:pt>
                <c:pt idx="18">
                  <c:v>92.25</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EE46-4E9C-B1B5-57B0E50EF896}"/>
            </c:ext>
          </c:extLst>
        </c:ser>
        <c:dLbls>
          <c:showLegendKey val="0"/>
          <c:showVal val="0"/>
          <c:showCatName val="0"/>
          <c:showSerName val="0"/>
          <c:showPercent val="0"/>
          <c:showBubbleSize val="0"/>
        </c:dLbls>
        <c:gapWidth val="150"/>
        <c:axId val="1016037147"/>
        <c:axId val="1783730558"/>
      </c:barChart>
      <c:catAx>
        <c:axId val="1016037147"/>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fr-FR"/>
          </a:p>
        </c:txPr>
        <c:crossAx val="1783730558"/>
        <c:crosses val="autoZero"/>
        <c:auto val="1"/>
        <c:lblAlgn val="ctr"/>
        <c:lblOffset val="100"/>
        <c:noMultiLvlLbl val="1"/>
      </c:catAx>
      <c:valAx>
        <c:axId val="1783730558"/>
        <c:scaling>
          <c:orientation val="minMax"/>
        </c:scaling>
        <c:delete val="0"/>
        <c:axPos val="l"/>
        <c:majorGridlines>
          <c:spPr>
            <a:ln>
              <a:solidFill>
                <a:srgbClr val="B7B7B7"/>
              </a:solidFill>
            </a:ln>
          </c:spPr>
        </c:majorGridlines>
        <c:title>
          <c:tx>
            <c:rich>
              <a:bodyPr/>
              <a:lstStyle/>
              <a:p>
                <a:pPr lvl="0">
                  <a:defRPr sz="1000" b="0" i="0">
                    <a:solidFill>
                      <a:srgbClr val="000000"/>
                    </a:solidFill>
                    <a:latin typeface="+mn-lt"/>
                  </a:defRPr>
                </a:pPr>
                <a:r>
                  <a:rPr lang="en-GB" sz="1000" b="0" i="0">
                    <a:solidFill>
                      <a:srgbClr val="000000"/>
                    </a:solidFill>
                    <a:latin typeface="+mn-lt"/>
                  </a:rPr>
                  <a:t>kWh/m²/year</a:t>
                </a:r>
              </a:p>
            </c:rich>
          </c:tx>
          <c:overlay val="0"/>
        </c:title>
        <c:numFmt formatCode="_-* #\ ##0.0_-;\-* #\ ##0.0_-;_-* &quot;-&quot;??_-;_-@_-" sourceLinked="1"/>
        <c:majorTickMark val="none"/>
        <c:minorTickMark val="none"/>
        <c:tickLblPos val="nextTo"/>
        <c:spPr>
          <a:ln/>
        </c:spPr>
        <c:txPr>
          <a:bodyPr/>
          <a:lstStyle/>
          <a:p>
            <a:pPr lvl="0">
              <a:defRPr sz="900" b="0" i="0">
                <a:solidFill>
                  <a:srgbClr val="000000"/>
                </a:solidFill>
                <a:latin typeface="+mn-lt"/>
              </a:defRPr>
            </a:pPr>
            <a:endParaRPr lang="fr-FR"/>
          </a:p>
        </c:txPr>
        <c:crossAx val="1016037147"/>
        <c:crosses val="autoZero"/>
        <c:crossBetween val="between"/>
      </c:valAx>
    </c:plotArea>
    <c:plotVisOnly val="1"/>
    <c:dispBlanksAs val="zero"/>
    <c:showDLblsOverMax val="1"/>
  </c:chart>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c:style val="2"/>
  <c:chart>
    <c:title>
      <c:tx>
        <c:rich>
          <a:bodyPr/>
          <a:lstStyle/>
          <a:p>
            <a:pPr lvl="0">
              <a:defRPr sz="1400" b="0" i="0">
                <a:solidFill>
                  <a:srgbClr val="757575"/>
                </a:solidFill>
                <a:latin typeface="+mn-lt"/>
              </a:defRPr>
            </a:pPr>
            <a:r>
              <a:rPr lang="en-GB" sz="1400" b="0" i="0">
                <a:solidFill>
                  <a:srgbClr val="757575"/>
                </a:solidFill>
                <a:latin typeface="+mn-lt"/>
              </a:rPr>
              <a:t>Direct CO2 emissions saved over 50 years - breakdown by building type</a:t>
            </a:r>
          </a:p>
        </c:rich>
      </c:tx>
      <c:overlay val="0"/>
    </c:title>
    <c:autoTitleDeleted val="0"/>
    <c:plotArea>
      <c:layout/>
      <c:pieChart>
        <c:varyColors val="1"/>
        <c:ser>
          <c:idx val="0"/>
          <c:order val="0"/>
          <c:dPt>
            <c:idx val="0"/>
            <c:bubble3D val="0"/>
            <c:spPr>
              <a:solidFill>
                <a:schemeClr val="accent1"/>
              </a:solidFill>
            </c:spPr>
            <c:extLst>
              <c:ext xmlns:c16="http://schemas.microsoft.com/office/drawing/2014/chart" uri="{C3380CC4-5D6E-409C-BE32-E72D297353CC}">
                <c16:uniqueId val="{00000001-0D8A-42F2-8A34-EB53D30520E0}"/>
              </c:ext>
            </c:extLst>
          </c:dPt>
          <c:dPt>
            <c:idx val="1"/>
            <c:bubble3D val="0"/>
            <c:spPr>
              <a:solidFill>
                <a:schemeClr val="accent2"/>
              </a:solidFill>
            </c:spPr>
            <c:extLst>
              <c:ext xmlns:c16="http://schemas.microsoft.com/office/drawing/2014/chart" uri="{C3380CC4-5D6E-409C-BE32-E72D297353CC}">
                <c16:uniqueId val="{00000003-0D8A-42F2-8A34-EB53D30520E0}"/>
              </c:ext>
            </c:extLst>
          </c:dPt>
          <c:dPt>
            <c:idx val="2"/>
            <c:bubble3D val="0"/>
            <c:spPr>
              <a:solidFill>
                <a:schemeClr val="accent3"/>
              </a:solidFill>
            </c:spPr>
            <c:extLst>
              <c:ext xmlns:c16="http://schemas.microsoft.com/office/drawing/2014/chart" uri="{C3380CC4-5D6E-409C-BE32-E72D297353CC}">
                <c16:uniqueId val="{00000005-0D8A-42F2-8A34-EB53D30520E0}"/>
              </c:ext>
            </c:extLst>
          </c:dPt>
          <c:dPt>
            <c:idx val="3"/>
            <c:bubble3D val="0"/>
            <c:spPr>
              <a:solidFill>
                <a:schemeClr val="accent4"/>
              </a:solidFill>
            </c:spPr>
            <c:extLst>
              <c:ext xmlns:c16="http://schemas.microsoft.com/office/drawing/2014/chart" uri="{C3380CC4-5D6E-409C-BE32-E72D297353CC}">
                <c16:uniqueId val="{00000007-0D8A-42F2-8A34-EB53D30520E0}"/>
              </c:ext>
            </c:extLst>
          </c:dPt>
          <c:dPt>
            <c:idx val="4"/>
            <c:bubble3D val="0"/>
            <c:spPr>
              <a:solidFill>
                <a:schemeClr val="accent5"/>
              </a:solidFill>
            </c:spPr>
            <c:extLst>
              <c:ext xmlns:c16="http://schemas.microsoft.com/office/drawing/2014/chart" uri="{C3380CC4-5D6E-409C-BE32-E72D297353CC}">
                <c16:uniqueId val="{00000009-0D8A-42F2-8A34-EB53D30520E0}"/>
              </c:ext>
            </c:extLst>
          </c:dPt>
          <c:dPt>
            <c:idx val="5"/>
            <c:bubble3D val="0"/>
            <c:spPr>
              <a:solidFill>
                <a:schemeClr val="accent6"/>
              </a:solidFill>
            </c:spPr>
            <c:extLst>
              <c:ext xmlns:c16="http://schemas.microsoft.com/office/drawing/2014/chart" uri="{C3380CC4-5D6E-409C-BE32-E72D297353CC}">
                <c16:uniqueId val="{0000000B-0D8A-42F2-8A34-EB53D30520E0}"/>
              </c:ext>
            </c:extLst>
          </c:dPt>
          <c:dPt>
            <c:idx val="6"/>
            <c:bubble3D val="0"/>
            <c:spPr>
              <a:solidFill>
                <a:schemeClr val="accent1"/>
              </a:solidFill>
            </c:spPr>
            <c:extLst>
              <c:ext xmlns:c16="http://schemas.microsoft.com/office/drawing/2014/chart" uri="{C3380CC4-5D6E-409C-BE32-E72D297353CC}">
                <c16:uniqueId val="{0000000D-0D8A-42F2-8A34-EB53D30520E0}"/>
              </c:ext>
            </c:extLst>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'Output_Carbon savings'!$A$4:$A$10</c:f>
              <c:strCache>
                <c:ptCount val="7"/>
                <c:pt idx="0">
                  <c:v>Residential</c:v>
                </c:pt>
                <c:pt idx="1">
                  <c:v>Small scale healthcare</c:v>
                </c:pt>
                <c:pt idx="2">
                  <c:v>Hospital</c:v>
                </c:pt>
                <c:pt idx="3">
                  <c:v>Education</c:v>
                </c:pt>
                <c:pt idx="4">
                  <c:v>Small scale office</c:v>
                </c:pt>
                <c:pt idx="5">
                  <c:v>Hotel</c:v>
                </c:pt>
                <c:pt idx="6">
                  <c:v>Retail</c:v>
                </c:pt>
              </c:strCache>
            </c:strRef>
          </c:cat>
          <c:val>
            <c:numRef>
              <c:f>'Output_Carbon savings'!$M$4:$M$10</c:f>
              <c:numCache>
                <c:formatCode>_-* #\ ##0_-;\-* #\ ##0_-;_-* "-"??_-;_-@_-</c:formatCode>
                <c:ptCount val="7"/>
                <c:pt idx="0">
                  <c:v>2809170.8541872273</c:v>
                </c:pt>
                <c:pt idx="1">
                  <c:v>0</c:v>
                </c:pt>
                <c:pt idx="2">
                  <c:v>318408.39661194745</c:v>
                </c:pt>
                <c:pt idx="3">
                  <c:v>9471.1464775105633</c:v>
                </c:pt>
                <c:pt idx="4">
                  <c:v>272146.41987921111</c:v>
                </c:pt>
                <c:pt idx="5">
                  <c:v>0</c:v>
                </c:pt>
                <c:pt idx="6">
                  <c:v>336215.64990034781</c:v>
                </c:pt>
              </c:numCache>
            </c:numRef>
          </c:val>
          <c:extLst>
            <c:ext xmlns:c16="http://schemas.microsoft.com/office/drawing/2014/chart" uri="{C3380CC4-5D6E-409C-BE32-E72D297353CC}">
              <c16:uniqueId val="{0000000E-0D8A-42F2-8A34-EB53D30520E0}"/>
            </c:ext>
          </c:extLst>
        </c:ser>
        <c:dLbls>
          <c:showLegendKey val="0"/>
          <c:showVal val="0"/>
          <c:showCatName val="0"/>
          <c:showSerName val="0"/>
          <c:showPercent val="0"/>
          <c:showBubbleSize val="0"/>
          <c:showLeaderLines val="1"/>
        </c:dLbls>
        <c:firstSliceAng val="0"/>
      </c:pieChart>
    </c:plotArea>
    <c:plotVisOnly val="1"/>
    <c:dispBlanksAs val="zero"/>
    <c:showDLblsOverMax val="1"/>
  </c:chart>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c:style val="2"/>
  <c:chart>
    <c:title>
      <c:tx>
        <c:rich>
          <a:bodyPr/>
          <a:lstStyle/>
          <a:p>
            <a:pPr lvl="0">
              <a:defRPr sz="1400" b="0" i="0">
                <a:solidFill>
                  <a:srgbClr val="757575"/>
                </a:solidFill>
                <a:latin typeface="+mn-lt"/>
              </a:defRPr>
            </a:pPr>
            <a:r>
              <a:rPr lang="en-GB" sz="1400" b="0" i="0">
                <a:solidFill>
                  <a:srgbClr val="757575"/>
                </a:solidFill>
                <a:latin typeface="+mn-lt"/>
              </a:rPr>
              <a:t>Direct CO2 emissions saved over 50 years - Breakown by building type</a:t>
            </a:r>
          </a:p>
        </c:rich>
      </c:tx>
      <c:overlay val="0"/>
    </c:title>
    <c:autoTitleDeleted val="0"/>
    <c:plotArea>
      <c:layout/>
      <c:pieChart>
        <c:varyColors val="1"/>
        <c:ser>
          <c:idx val="0"/>
          <c:order val="0"/>
          <c:dPt>
            <c:idx val="0"/>
            <c:bubble3D val="0"/>
            <c:spPr>
              <a:solidFill>
                <a:schemeClr val="accent1"/>
              </a:solidFill>
            </c:spPr>
            <c:extLst>
              <c:ext xmlns:c16="http://schemas.microsoft.com/office/drawing/2014/chart" uri="{C3380CC4-5D6E-409C-BE32-E72D297353CC}">
                <c16:uniqueId val="{00000001-D92E-4932-AC34-6B3F71BE641D}"/>
              </c:ext>
            </c:extLst>
          </c:dPt>
          <c:dPt>
            <c:idx val="1"/>
            <c:bubble3D val="0"/>
            <c:spPr>
              <a:solidFill>
                <a:schemeClr val="accent2"/>
              </a:solidFill>
            </c:spPr>
            <c:extLst>
              <c:ext xmlns:c16="http://schemas.microsoft.com/office/drawing/2014/chart" uri="{C3380CC4-5D6E-409C-BE32-E72D297353CC}">
                <c16:uniqueId val="{00000003-D92E-4932-AC34-6B3F71BE641D}"/>
              </c:ext>
            </c:extLst>
          </c:dPt>
          <c:dPt>
            <c:idx val="2"/>
            <c:bubble3D val="0"/>
            <c:spPr>
              <a:solidFill>
                <a:schemeClr val="accent3"/>
              </a:solidFill>
            </c:spPr>
            <c:extLst>
              <c:ext xmlns:c16="http://schemas.microsoft.com/office/drawing/2014/chart" uri="{C3380CC4-5D6E-409C-BE32-E72D297353CC}">
                <c16:uniqueId val="{00000005-D92E-4932-AC34-6B3F71BE641D}"/>
              </c:ext>
            </c:extLst>
          </c:dPt>
          <c:dPt>
            <c:idx val="3"/>
            <c:bubble3D val="0"/>
            <c:spPr>
              <a:solidFill>
                <a:schemeClr val="accent4"/>
              </a:solidFill>
            </c:spPr>
            <c:extLst>
              <c:ext xmlns:c16="http://schemas.microsoft.com/office/drawing/2014/chart" uri="{C3380CC4-5D6E-409C-BE32-E72D297353CC}">
                <c16:uniqueId val="{00000007-D92E-4932-AC34-6B3F71BE641D}"/>
              </c:ext>
            </c:extLst>
          </c:dPt>
          <c:dPt>
            <c:idx val="4"/>
            <c:bubble3D val="0"/>
            <c:spPr>
              <a:solidFill>
                <a:schemeClr val="accent5"/>
              </a:solidFill>
            </c:spPr>
            <c:extLst>
              <c:ext xmlns:c16="http://schemas.microsoft.com/office/drawing/2014/chart" uri="{C3380CC4-5D6E-409C-BE32-E72D297353CC}">
                <c16:uniqueId val="{00000009-D92E-4932-AC34-6B3F71BE641D}"/>
              </c:ext>
            </c:extLst>
          </c:dPt>
          <c:dPt>
            <c:idx val="5"/>
            <c:bubble3D val="0"/>
            <c:spPr>
              <a:solidFill>
                <a:schemeClr val="accent6"/>
              </a:solidFill>
            </c:spPr>
            <c:extLst>
              <c:ext xmlns:c16="http://schemas.microsoft.com/office/drawing/2014/chart" uri="{C3380CC4-5D6E-409C-BE32-E72D297353CC}">
                <c16:uniqueId val="{0000000B-D92E-4932-AC34-6B3F71BE641D}"/>
              </c:ext>
            </c:extLst>
          </c:dPt>
          <c:dPt>
            <c:idx val="6"/>
            <c:bubble3D val="0"/>
            <c:spPr>
              <a:solidFill>
                <a:schemeClr val="accent1"/>
              </a:solidFill>
            </c:spPr>
            <c:extLst>
              <c:ext xmlns:c16="http://schemas.microsoft.com/office/drawing/2014/chart" uri="{C3380CC4-5D6E-409C-BE32-E72D297353CC}">
                <c16:uniqueId val="{0000000D-D92E-4932-AC34-6B3F71BE641D}"/>
              </c:ext>
            </c:extLst>
          </c:dPt>
          <c:dLbls>
            <c:spPr>
              <a:noFill/>
              <a:ln>
                <a:noFill/>
              </a:ln>
              <a:effectLst/>
            </c:spPr>
            <c:showLegendKey val="0"/>
            <c:showVal val="0"/>
            <c:showCatName val="0"/>
            <c:showSerName val="0"/>
            <c:showPercent val="1"/>
            <c:showBubbleSize val="0"/>
            <c:showLeaderLines val="1"/>
            <c:extLst>
              <c:ext xmlns:c15="http://schemas.microsoft.com/office/drawing/2012/chart" uri="{CE6537A1-D6FC-4f65-9D91-7224C49458BB}"/>
            </c:extLst>
          </c:dLbls>
          <c:cat>
            <c:strRef>
              <c:f>'Output_Carbon savings'!$A$26:$A$32</c:f>
              <c:strCache>
                <c:ptCount val="7"/>
                <c:pt idx="0">
                  <c:v>Residential</c:v>
                </c:pt>
                <c:pt idx="1">
                  <c:v>Small scale healthcare</c:v>
                </c:pt>
                <c:pt idx="2">
                  <c:v>Hospital</c:v>
                </c:pt>
                <c:pt idx="3">
                  <c:v>Education</c:v>
                </c:pt>
                <c:pt idx="4">
                  <c:v>Small scale office</c:v>
                </c:pt>
                <c:pt idx="5">
                  <c:v>Hotel</c:v>
                </c:pt>
                <c:pt idx="6">
                  <c:v>Retail</c:v>
                </c:pt>
              </c:strCache>
            </c:strRef>
          </c:cat>
          <c:val>
            <c:numRef>
              <c:f>'Output_Carbon savings'!$M$26:$M$32</c:f>
              <c:numCache>
                <c:formatCode>_-* #\ ##0_-;\-* #\ ##0_-;_-* "-"??_-;_-@_-</c:formatCode>
                <c:ptCount val="7"/>
                <c:pt idx="0">
                  <c:v>2101550.6234277477</c:v>
                </c:pt>
                <c:pt idx="1">
                  <c:v>0</c:v>
                </c:pt>
                <c:pt idx="2">
                  <c:v>239579.43054091607</c:v>
                </c:pt>
                <c:pt idx="3">
                  <c:v>7199.7787628235292</c:v>
                </c:pt>
                <c:pt idx="4">
                  <c:v>203695.93214642094</c:v>
                </c:pt>
                <c:pt idx="5">
                  <c:v>0</c:v>
                </c:pt>
                <c:pt idx="6">
                  <c:v>213844.29789220402</c:v>
                </c:pt>
              </c:numCache>
            </c:numRef>
          </c:val>
          <c:extLst>
            <c:ext xmlns:c16="http://schemas.microsoft.com/office/drawing/2014/chart" uri="{C3380CC4-5D6E-409C-BE32-E72D297353CC}">
              <c16:uniqueId val="{0000000E-D92E-4932-AC34-6B3F71BE641D}"/>
            </c:ext>
          </c:extLst>
        </c:ser>
        <c:dLbls>
          <c:showLegendKey val="0"/>
          <c:showVal val="0"/>
          <c:showCatName val="0"/>
          <c:showSerName val="0"/>
          <c:showPercent val="0"/>
          <c:showBubbleSize val="0"/>
          <c:showLeaderLines val="1"/>
        </c:dLbls>
        <c:firstSliceAng val="0"/>
      </c:pieChart>
    </c:plotArea>
    <c:plotVisOnly val="1"/>
    <c:dispBlanksAs val="zero"/>
    <c:showDLblsOverMax val="1"/>
  </c:chart>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c:style val="2"/>
  <c:chart>
    <c:title>
      <c:tx>
        <c:rich>
          <a:bodyPr/>
          <a:lstStyle/>
          <a:p>
            <a:pPr lvl="0">
              <a:defRPr sz="1400" b="0" i="0">
                <a:solidFill>
                  <a:srgbClr val="757575"/>
                </a:solidFill>
                <a:latin typeface="+mn-lt"/>
              </a:defRPr>
            </a:pPr>
            <a:r>
              <a:rPr lang="en-GB" sz="1400" b="0" i="0">
                <a:solidFill>
                  <a:srgbClr val="757575"/>
                </a:solidFill>
                <a:latin typeface="+mn-lt"/>
              </a:rPr>
              <a:t>Average share of CO2 emissions saved due to low carbon materials - package -40%</a:t>
            </a:r>
          </a:p>
        </c:rich>
      </c:tx>
      <c:overlay val="0"/>
    </c:title>
    <c:autoTitleDeleted val="0"/>
    <c:plotArea>
      <c:layout/>
      <c:barChart>
        <c:barDir val="col"/>
        <c:grouping val="clustered"/>
        <c:varyColors val="1"/>
        <c:ser>
          <c:idx val="0"/>
          <c:order val="0"/>
          <c:spPr>
            <a:solidFill>
              <a:srgbClr val="4F81BD"/>
            </a:solidFill>
            <a:ln cmpd="sng">
              <a:solidFill>
                <a:srgbClr val="000000"/>
              </a:solidFill>
            </a:ln>
          </c:spPr>
          <c:invertIfNegative val="1"/>
          <c:cat>
            <c:strRef>
              <c:f>'Output_Carbon savings'!$A$15:$A$21</c:f>
              <c:strCache>
                <c:ptCount val="7"/>
                <c:pt idx="0">
                  <c:v>Residential</c:v>
                </c:pt>
                <c:pt idx="1">
                  <c:v>Small scale healthcare</c:v>
                </c:pt>
                <c:pt idx="2">
                  <c:v>Hospital</c:v>
                </c:pt>
                <c:pt idx="3">
                  <c:v>Education</c:v>
                </c:pt>
                <c:pt idx="4">
                  <c:v>Small scale office</c:v>
                </c:pt>
                <c:pt idx="5">
                  <c:v>Hotel</c:v>
                </c:pt>
                <c:pt idx="6">
                  <c:v>Retail</c:v>
                </c:pt>
              </c:strCache>
            </c:strRef>
          </c:cat>
          <c:val>
            <c:numRef>
              <c:f>'Output_Carbon savings'!$M$15:$M$21</c:f>
              <c:numCache>
                <c:formatCode>0%</c:formatCode>
                <c:ptCount val="7"/>
                <c:pt idx="0">
                  <c:v>0.28929143368743931</c:v>
                </c:pt>
                <c:pt idx="1">
                  <c:v>0.16394307025716021</c:v>
                </c:pt>
                <c:pt idx="2">
                  <c:v>2.7969930255031559E-2</c:v>
                </c:pt>
                <c:pt idx="3">
                  <c:v>0.25431005762840653</c:v>
                </c:pt>
                <c:pt idx="4">
                  <c:v>8.3232222142960499E-2</c:v>
                </c:pt>
                <c:pt idx="5">
                  <c:v>4.4494986235008326E-2</c:v>
                </c:pt>
                <c:pt idx="6">
                  <c:v>3.2079102144447688E-2</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8C4C-4EF5-A457-19430021D133}"/>
            </c:ext>
          </c:extLst>
        </c:ser>
        <c:dLbls>
          <c:showLegendKey val="0"/>
          <c:showVal val="0"/>
          <c:showCatName val="0"/>
          <c:showSerName val="0"/>
          <c:showPercent val="0"/>
          <c:showBubbleSize val="0"/>
        </c:dLbls>
        <c:gapWidth val="150"/>
        <c:axId val="526123627"/>
        <c:axId val="1107957056"/>
      </c:barChart>
      <c:catAx>
        <c:axId val="526123627"/>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fr-FR"/>
          </a:p>
        </c:txPr>
        <c:crossAx val="1107957056"/>
        <c:crosses val="autoZero"/>
        <c:auto val="1"/>
        <c:lblAlgn val="ctr"/>
        <c:lblOffset val="100"/>
        <c:noMultiLvlLbl val="1"/>
      </c:catAx>
      <c:valAx>
        <c:axId val="1107957056"/>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GB"/>
              </a:p>
            </c:rich>
          </c:tx>
          <c:overlay val="0"/>
        </c:title>
        <c:numFmt formatCode="0%" sourceLinked="1"/>
        <c:majorTickMark val="none"/>
        <c:minorTickMark val="none"/>
        <c:tickLblPos val="nextTo"/>
        <c:spPr>
          <a:ln/>
        </c:spPr>
        <c:txPr>
          <a:bodyPr/>
          <a:lstStyle/>
          <a:p>
            <a:pPr lvl="0">
              <a:defRPr sz="900" b="0" i="0">
                <a:solidFill>
                  <a:srgbClr val="000000"/>
                </a:solidFill>
                <a:latin typeface="+mn-lt"/>
              </a:defRPr>
            </a:pPr>
            <a:endParaRPr lang="fr-FR"/>
          </a:p>
        </c:txPr>
        <c:crossAx val="526123627"/>
        <c:crosses val="autoZero"/>
        <c:crossBetween val="between"/>
      </c:valAx>
    </c:plotArea>
    <c:plotVisOnly val="1"/>
    <c:dispBlanksAs val="zero"/>
    <c:showDLblsOverMax val="1"/>
  </c:chart>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c:style val="2"/>
  <c:chart>
    <c:title>
      <c:tx>
        <c:rich>
          <a:bodyPr/>
          <a:lstStyle/>
          <a:p>
            <a:pPr lvl="0">
              <a:defRPr sz="1400" b="0" i="0">
                <a:solidFill>
                  <a:srgbClr val="757575"/>
                </a:solidFill>
                <a:latin typeface="+mn-lt"/>
              </a:defRPr>
            </a:pPr>
            <a:r>
              <a:rPr lang="en-GB" sz="1400" b="0" i="0">
                <a:solidFill>
                  <a:srgbClr val="757575"/>
                </a:solidFill>
                <a:latin typeface="+mn-lt"/>
              </a:rPr>
              <a:t>Average share of CO2 emissions saved due to low carbon materials - package - 20%</a:t>
            </a:r>
          </a:p>
        </c:rich>
      </c:tx>
      <c:overlay val="0"/>
    </c:title>
    <c:autoTitleDeleted val="0"/>
    <c:plotArea>
      <c:layout/>
      <c:barChart>
        <c:barDir val="col"/>
        <c:grouping val="clustered"/>
        <c:varyColors val="1"/>
        <c:ser>
          <c:idx val="0"/>
          <c:order val="0"/>
          <c:spPr>
            <a:solidFill>
              <a:srgbClr val="4F81BD"/>
            </a:solidFill>
            <a:ln cmpd="sng">
              <a:solidFill>
                <a:srgbClr val="000000"/>
              </a:solidFill>
            </a:ln>
          </c:spPr>
          <c:invertIfNegative val="1"/>
          <c:cat>
            <c:strRef>
              <c:f>'Output_Carbon savings'!$A$37:$A$43</c:f>
              <c:strCache>
                <c:ptCount val="7"/>
                <c:pt idx="0">
                  <c:v>Residential</c:v>
                </c:pt>
                <c:pt idx="1">
                  <c:v>Small scale healthcare</c:v>
                </c:pt>
                <c:pt idx="2">
                  <c:v>Hospital</c:v>
                </c:pt>
                <c:pt idx="3">
                  <c:v>Education</c:v>
                </c:pt>
                <c:pt idx="4">
                  <c:v>Small scale office</c:v>
                </c:pt>
                <c:pt idx="5">
                  <c:v>Hotel</c:v>
                </c:pt>
                <c:pt idx="6">
                  <c:v>Retail</c:v>
                </c:pt>
              </c:strCache>
            </c:strRef>
          </c:cat>
          <c:val>
            <c:numRef>
              <c:f>'Output_Carbon savings'!$M$37:$M$43</c:f>
              <c:numCache>
                <c:formatCode>0%</c:formatCode>
                <c:ptCount val="7"/>
                <c:pt idx="0">
                  <c:v>0.36495650916827188</c:v>
                </c:pt>
                <c:pt idx="1">
                  <c:v>0.33621936539660707</c:v>
                </c:pt>
                <c:pt idx="2">
                  <c:v>4.7441564862438931E-2</c:v>
                </c:pt>
                <c:pt idx="3">
                  <c:v>0.33193006984747481</c:v>
                </c:pt>
                <c:pt idx="4">
                  <c:v>0.11619459267021288</c:v>
                </c:pt>
                <c:pt idx="5">
                  <c:v>6.3772174223670194E-2</c:v>
                </c:pt>
                <c:pt idx="6">
                  <c:v>3.3340554079834536E-2</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C59E-4F15-9BD2-CBAACC281497}"/>
            </c:ext>
          </c:extLst>
        </c:ser>
        <c:dLbls>
          <c:showLegendKey val="0"/>
          <c:showVal val="0"/>
          <c:showCatName val="0"/>
          <c:showSerName val="0"/>
          <c:showPercent val="0"/>
          <c:showBubbleSize val="0"/>
        </c:dLbls>
        <c:gapWidth val="150"/>
        <c:axId val="573485907"/>
        <c:axId val="1948866631"/>
      </c:barChart>
      <c:catAx>
        <c:axId val="573485907"/>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fr-FR"/>
          </a:p>
        </c:txPr>
        <c:crossAx val="1948866631"/>
        <c:crosses val="autoZero"/>
        <c:auto val="1"/>
        <c:lblAlgn val="ctr"/>
        <c:lblOffset val="100"/>
        <c:noMultiLvlLbl val="1"/>
      </c:catAx>
      <c:valAx>
        <c:axId val="1948866631"/>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GB"/>
              </a:p>
            </c:rich>
          </c:tx>
          <c:overlay val="0"/>
        </c:title>
        <c:numFmt formatCode="0%" sourceLinked="1"/>
        <c:majorTickMark val="none"/>
        <c:minorTickMark val="none"/>
        <c:tickLblPos val="nextTo"/>
        <c:spPr>
          <a:ln/>
        </c:spPr>
        <c:txPr>
          <a:bodyPr/>
          <a:lstStyle/>
          <a:p>
            <a:pPr lvl="0">
              <a:defRPr sz="900" b="0" i="0">
                <a:solidFill>
                  <a:srgbClr val="000000"/>
                </a:solidFill>
                <a:latin typeface="+mn-lt"/>
              </a:defRPr>
            </a:pPr>
            <a:endParaRPr lang="fr-FR"/>
          </a:p>
        </c:txPr>
        <c:crossAx val="573485907"/>
        <c:crosses val="autoZero"/>
        <c:crossBetween val="between"/>
      </c:valAx>
    </c:plotArea>
    <c:plotVisOnly val="1"/>
    <c:dispBlanksAs val="zero"/>
    <c:showDLblsOverMax val="1"/>
  </c:chart>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c:style val="2"/>
  <c:chart>
    <c:title>
      <c:tx>
        <c:rich>
          <a:bodyPr/>
          <a:lstStyle/>
          <a:p>
            <a:pPr lvl="0">
              <a:defRPr sz="1400" b="0" i="0">
                <a:solidFill>
                  <a:srgbClr val="757575"/>
                </a:solidFill>
                <a:latin typeface="+mn-lt"/>
              </a:defRPr>
            </a:pPr>
            <a:r>
              <a:rPr lang="en-GB" sz="1400" b="0" i="0">
                <a:solidFill>
                  <a:srgbClr val="757575"/>
                </a:solidFill>
                <a:latin typeface="+mn-lt"/>
              </a:rPr>
              <a:t>Average CO2 emissions saved for each climate zone - package 40%</a:t>
            </a:r>
          </a:p>
        </c:rich>
      </c:tx>
      <c:overlay val="0"/>
    </c:title>
    <c:autoTitleDeleted val="0"/>
    <c:plotArea>
      <c:layout/>
      <c:barChart>
        <c:barDir val="col"/>
        <c:grouping val="clustered"/>
        <c:varyColors val="1"/>
        <c:ser>
          <c:idx val="0"/>
          <c:order val="0"/>
          <c:spPr>
            <a:solidFill>
              <a:srgbClr val="4F81BD"/>
            </a:solidFill>
            <a:ln cmpd="sng">
              <a:solidFill>
                <a:srgbClr val="000000"/>
              </a:solidFill>
            </a:ln>
          </c:spPr>
          <c:invertIfNegative val="1"/>
          <c:cat>
            <c:strRef>
              <c:f>'Output_Carbon savings'!$A$74:$A$80</c:f>
              <c:strCache>
                <c:ptCount val="6"/>
                <c:pt idx="0">
                  <c:v>Tropical</c:v>
                </c:pt>
                <c:pt idx="1">
                  <c:v>Equatorial</c:v>
                </c:pt>
                <c:pt idx="2">
                  <c:v>arid</c:v>
                </c:pt>
                <c:pt idx="3">
                  <c:v>subtropipcal humid</c:v>
                </c:pt>
                <c:pt idx="4">
                  <c:v>mediterrannean</c:v>
                </c:pt>
                <c:pt idx="5">
                  <c:v>Semi-continental</c:v>
                </c:pt>
              </c:strCache>
            </c:strRef>
          </c:cat>
          <c:val>
            <c:numRef>
              <c:f>'Output_Carbon savings'!$B$74:$B$80</c:f>
              <c:numCache>
                <c:formatCode>0.0</c:formatCode>
                <c:ptCount val="6"/>
                <c:pt idx="0">
                  <c:v>9.240053384708915</c:v>
                </c:pt>
                <c:pt idx="1">
                  <c:v>37.385949984242316</c:v>
                </c:pt>
                <c:pt idx="2">
                  <c:v>13.823450273839397</c:v>
                </c:pt>
                <c:pt idx="3">
                  <c:v>10.30829332579232</c:v>
                </c:pt>
                <c:pt idx="4">
                  <c:v>10.150538118059425</c:v>
                </c:pt>
                <c:pt idx="5">
                  <c:v>36.184719308857602</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5156-4B51-8B40-7499A22A8D4D}"/>
            </c:ext>
          </c:extLst>
        </c:ser>
        <c:dLbls>
          <c:showLegendKey val="0"/>
          <c:showVal val="0"/>
          <c:showCatName val="0"/>
          <c:showSerName val="0"/>
          <c:showPercent val="0"/>
          <c:showBubbleSize val="0"/>
        </c:dLbls>
        <c:gapWidth val="150"/>
        <c:axId val="1978562578"/>
        <c:axId val="1838317796"/>
      </c:barChart>
      <c:catAx>
        <c:axId val="1978562578"/>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fr-FR"/>
          </a:p>
        </c:txPr>
        <c:crossAx val="1838317796"/>
        <c:crosses val="autoZero"/>
        <c:auto val="1"/>
        <c:lblAlgn val="ctr"/>
        <c:lblOffset val="100"/>
        <c:noMultiLvlLbl val="1"/>
      </c:catAx>
      <c:valAx>
        <c:axId val="1838317796"/>
        <c:scaling>
          <c:orientation val="minMax"/>
        </c:scaling>
        <c:delete val="0"/>
        <c:axPos val="l"/>
        <c:majorGridlines>
          <c:spPr>
            <a:ln>
              <a:solidFill>
                <a:srgbClr val="B7B7B7"/>
              </a:solidFill>
            </a:ln>
          </c:spPr>
        </c:majorGridlines>
        <c:title>
          <c:tx>
            <c:rich>
              <a:bodyPr/>
              <a:lstStyle/>
              <a:p>
                <a:pPr lvl="0">
                  <a:defRPr sz="1000" b="0" i="0">
                    <a:solidFill>
                      <a:srgbClr val="000000"/>
                    </a:solidFill>
                    <a:latin typeface="+mn-lt"/>
                  </a:defRPr>
                </a:pPr>
                <a:r>
                  <a:rPr lang="en-GB" sz="1000" b="0" i="0">
                    <a:solidFill>
                      <a:srgbClr val="000000"/>
                    </a:solidFill>
                    <a:latin typeface="+mn-lt"/>
                  </a:rPr>
                  <a:t>kgCO2/m²/year</a:t>
                </a:r>
              </a:p>
            </c:rich>
          </c:tx>
          <c:overlay val="0"/>
        </c:title>
        <c:numFmt formatCode="0.0" sourceLinked="1"/>
        <c:majorTickMark val="none"/>
        <c:minorTickMark val="none"/>
        <c:tickLblPos val="nextTo"/>
        <c:spPr>
          <a:ln/>
        </c:spPr>
        <c:txPr>
          <a:bodyPr/>
          <a:lstStyle/>
          <a:p>
            <a:pPr lvl="0">
              <a:defRPr sz="900" b="0" i="0">
                <a:solidFill>
                  <a:srgbClr val="000000"/>
                </a:solidFill>
                <a:latin typeface="+mn-lt"/>
              </a:defRPr>
            </a:pPr>
            <a:endParaRPr lang="fr-FR"/>
          </a:p>
        </c:txPr>
        <c:crossAx val="1978562578"/>
        <c:crosses val="autoZero"/>
        <c:crossBetween val="between"/>
      </c:valAx>
    </c:plotArea>
    <c:plotVisOnly val="1"/>
    <c:dispBlanksAs val="zero"/>
    <c:showDLblsOverMax val="1"/>
  </c:chart>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c:style val="2"/>
  <c:chart>
    <c:title>
      <c:tx>
        <c:rich>
          <a:bodyPr/>
          <a:lstStyle/>
          <a:p>
            <a:pPr lvl="0">
              <a:defRPr sz="1400" b="0" i="0">
                <a:solidFill>
                  <a:srgbClr val="757575"/>
                </a:solidFill>
                <a:latin typeface="+mn-lt"/>
              </a:defRPr>
            </a:pPr>
            <a:r>
              <a:rPr lang="en-GB" sz="1400" b="0" i="0">
                <a:solidFill>
                  <a:srgbClr val="757575"/>
                </a:solidFill>
                <a:latin typeface="+mn-lt"/>
              </a:rPr>
              <a:t>Average CO2 emissions saved for each building type - package -40%</a:t>
            </a:r>
          </a:p>
        </c:rich>
      </c:tx>
      <c:overlay val="0"/>
    </c:title>
    <c:autoTitleDeleted val="0"/>
    <c:plotArea>
      <c:layout/>
      <c:barChart>
        <c:barDir val="col"/>
        <c:grouping val="clustered"/>
        <c:varyColors val="1"/>
        <c:ser>
          <c:idx val="0"/>
          <c:order val="0"/>
          <c:spPr>
            <a:solidFill>
              <a:srgbClr val="4F81BD"/>
            </a:solidFill>
            <a:ln cmpd="sng">
              <a:solidFill>
                <a:srgbClr val="000000"/>
              </a:solidFill>
            </a:ln>
          </c:spPr>
          <c:invertIfNegative val="1"/>
          <c:cat>
            <c:strRef>
              <c:f>'Output_Carbon savings'!$A$48:$A$66</c:f>
              <c:strCache>
                <c:ptCount val="7"/>
                <c:pt idx="0">
                  <c:v>Residential</c:v>
                </c:pt>
                <c:pt idx="1">
                  <c:v>Small scale healthcare</c:v>
                </c:pt>
                <c:pt idx="2">
                  <c:v>Hospital</c:v>
                </c:pt>
                <c:pt idx="3">
                  <c:v>Education</c:v>
                </c:pt>
                <c:pt idx="4">
                  <c:v>Small scale office</c:v>
                </c:pt>
                <c:pt idx="5">
                  <c:v>Hotel</c:v>
                </c:pt>
                <c:pt idx="6">
                  <c:v>Retail</c:v>
                </c:pt>
              </c:strCache>
            </c:strRef>
          </c:cat>
          <c:val>
            <c:numRef>
              <c:f>'Output_Carbon savings'!$M$48:$M$66</c:f>
              <c:numCache>
                <c:formatCode>0.0</c:formatCode>
                <c:ptCount val="7"/>
                <c:pt idx="0">
                  <c:v>15.540013804984847</c:v>
                </c:pt>
                <c:pt idx="1">
                  <c:v>22.168639386883129</c:v>
                </c:pt>
                <c:pt idx="2">
                  <c:v>48.188993127387334</c:v>
                </c:pt>
                <c:pt idx="3">
                  <c:v>5.6615097105602858</c:v>
                </c:pt>
                <c:pt idx="4">
                  <c:v>18.657720111598461</c:v>
                </c:pt>
                <c:pt idx="5">
                  <c:v>7.1469265764137644</c:v>
                </c:pt>
                <c:pt idx="6">
                  <c:v>9.8808147464267808</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EE8A-4FB4-9E99-C567BEFAECFB}"/>
            </c:ext>
          </c:extLst>
        </c:ser>
        <c:dLbls>
          <c:showLegendKey val="0"/>
          <c:showVal val="0"/>
          <c:showCatName val="0"/>
          <c:showSerName val="0"/>
          <c:showPercent val="0"/>
          <c:showBubbleSize val="0"/>
        </c:dLbls>
        <c:gapWidth val="150"/>
        <c:axId val="462190511"/>
        <c:axId val="2065469741"/>
      </c:barChart>
      <c:catAx>
        <c:axId val="462190511"/>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fr-FR"/>
          </a:p>
        </c:txPr>
        <c:crossAx val="2065469741"/>
        <c:crosses val="autoZero"/>
        <c:auto val="1"/>
        <c:lblAlgn val="ctr"/>
        <c:lblOffset val="100"/>
        <c:noMultiLvlLbl val="1"/>
      </c:catAx>
      <c:valAx>
        <c:axId val="2065469741"/>
        <c:scaling>
          <c:orientation val="minMax"/>
        </c:scaling>
        <c:delete val="0"/>
        <c:axPos val="l"/>
        <c:majorGridlines>
          <c:spPr>
            <a:ln>
              <a:solidFill>
                <a:srgbClr val="B7B7B7"/>
              </a:solidFill>
            </a:ln>
          </c:spPr>
        </c:majorGridlines>
        <c:title>
          <c:tx>
            <c:rich>
              <a:bodyPr/>
              <a:lstStyle/>
              <a:p>
                <a:pPr lvl="0">
                  <a:defRPr sz="1000" b="0" i="0">
                    <a:solidFill>
                      <a:srgbClr val="000000"/>
                    </a:solidFill>
                    <a:latin typeface="+mn-lt"/>
                  </a:defRPr>
                </a:pPr>
                <a:r>
                  <a:rPr lang="en-GB" sz="1000" b="0" i="0">
                    <a:solidFill>
                      <a:srgbClr val="000000"/>
                    </a:solidFill>
                    <a:latin typeface="+mn-lt"/>
                  </a:rPr>
                  <a:t>kgCO2eq/m²/year</a:t>
                </a:r>
              </a:p>
            </c:rich>
          </c:tx>
          <c:overlay val="0"/>
        </c:title>
        <c:numFmt formatCode="0.0" sourceLinked="1"/>
        <c:majorTickMark val="none"/>
        <c:minorTickMark val="none"/>
        <c:tickLblPos val="nextTo"/>
        <c:spPr>
          <a:ln/>
        </c:spPr>
        <c:txPr>
          <a:bodyPr/>
          <a:lstStyle/>
          <a:p>
            <a:pPr lvl="0">
              <a:defRPr sz="900" b="0" i="0">
                <a:solidFill>
                  <a:srgbClr val="000000"/>
                </a:solidFill>
                <a:latin typeface="+mn-lt"/>
              </a:defRPr>
            </a:pPr>
            <a:endParaRPr lang="fr-FR"/>
          </a:p>
        </c:txPr>
        <c:crossAx val="462190511"/>
        <c:crosses val="autoZero"/>
        <c:crossBetween val="between"/>
      </c:valAx>
    </c:plotArea>
    <c:plotVisOnly val="1"/>
    <c:dispBlanksAs val="zero"/>
    <c:showDLblsOverMax val="1"/>
  </c:chart>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c:style val="2"/>
  <c:chart>
    <c:title>
      <c:tx>
        <c:rich>
          <a:bodyPr/>
          <a:lstStyle/>
          <a:p>
            <a:pPr lvl="0">
              <a:defRPr sz="1400" b="0" i="0">
                <a:solidFill>
                  <a:srgbClr val="757575"/>
                </a:solidFill>
                <a:latin typeface="+mn-lt"/>
              </a:defRPr>
            </a:pPr>
            <a:r>
              <a:rPr lang="en-GB" sz="1400" b="0" i="0">
                <a:solidFill>
                  <a:srgbClr val="757575"/>
                </a:solidFill>
                <a:latin typeface="+mn-lt"/>
              </a:rPr>
              <a:t>Average CO2 emissions saved for each building type - package 20%</a:t>
            </a:r>
          </a:p>
        </c:rich>
      </c:tx>
      <c:overlay val="0"/>
    </c:title>
    <c:autoTitleDeleted val="0"/>
    <c:plotArea>
      <c:layout/>
      <c:barChart>
        <c:barDir val="col"/>
        <c:grouping val="clustered"/>
        <c:varyColors val="1"/>
        <c:ser>
          <c:idx val="0"/>
          <c:order val="0"/>
          <c:spPr>
            <a:solidFill>
              <a:srgbClr val="4F81BD"/>
            </a:solidFill>
            <a:ln cmpd="sng">
              <a:solidFill>
                <a:srgbClr val="000000"/>
              </a:solidFill>
            </a:ln>
          </c:spPr>
          <c:invertIfNegative val="1"/>
          <c:cat>
            <c:strRef>
              <c:f>'Output_Carbon savings'!$A$87:$A$105</c:f>
              <c:strCache>
                <c:ptCount val="7"/>
                <c:pt idx="0">
                  <c:v>Residential</c:v>
                </c:pt>
                <c:pt idx="1">
                  <c:v>Small scale healthcare</c:v>
                </c:pt>
                <c:pt idx="2">
                  <c:v>Hospital</c:v>
                </c:pt>
                <c:pt idx="3">
                  <c:v>Education</c:v>
                </c:pt>
                <c:pt idx="4">
                  <c:v>Small scale office</c:v>
                </c:pt>
                <c:pt idx="5">
                  <c:v>Hotel</c:v>
                </c:pt>
                <c:pt idx="6">
                  <c:v>Retail</c:v>
                </c:pt>
              </c:strCache>
            </c:strRef>
          </c:cat>
          <c:val>
            <c:numRef>
              <c:f>'Output_Carbon savings'!$M$87:$M$105</c:f>
              <c:numCache>
                <c:formatCode>0.0</c:formatCode>
                <c:ptCount val="7"/>
                <c:pt idx="0">
                  <c:v>11.57087872486424</c:v>
                </c:pt>
                <c:pt idx="1">
                  <c:v>8.3829207783107265</c:v>
                </c:pt>
                <c:pt idx="2">
                  <c:v>26.718374030841392</c:v>
                </c:pt>
                <c:pt idx="3">
                  <c:v>4.1432343371049667</c:v>
                </c:pt>
                <c:pt idx="4">
                  <c:v>24.140776618162636</c:v>
                </c:pt>
                <c:pt idx="5">
                  <c:v>12.849911636149068</c:v>
                </c:pt>
                <c:pt idx="6">
                  <c:v>22.466040655962356</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D282-4033-ADB1-35D5FC5822D0}"/>
            </c:ext>
          </c:extLst>
        </c:ser>
        <c:dLbls>
          <c:showLegendKey val="0"/>
          <c:showVal val="0"/>
          <c:showCatName val="0"/>
          <c:showSerName val="0"/>
          <c:showPercent val="0"/>
          <c:showBubbleSize val="0"/>
        </c:dLbls>
        <c:gapWidth val="150"/>
        <c:axId val="2046668647"/>
        <c:axId val="2038313234"/>
      </c:barChart>
      <c:catAx>
        <c:axId val="2046668647"/>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fr-FR"/>
          </a:p>
        </c:txPr>
        <c:crossAx val="2038313234"/>
        <c:crosses val="autoZero"/>
        <c:auto val="1"/>
        <c:lblAlgn val="ctr"/>
        <c:lblOffset val="100"/>
        <c:noMultiLvlLbl val="1"/>
      </c:catAx>
      <c:valAx>
        <c:axId val="2038313234"/>
        <c:scaling>
          <c:orientation val="minMax"/>
        </c:scaling>
        <c:delete val="0"/>
        <c:axPos val="l"/>
        <c:majorGridlines>
          <c:spPr>
            <a:ln>
              <a:solidFill>
                <a:srgbClr val="B7B7B7"/>
              </a:solidFill>
            </a:ln>
          </c:spPr>
        </c:majorGridlines>
        <c:title>
          <c:tx>
            <c:rich>
              <a:bodyPr/>
              <a:lstStyle/>
              <a:p>
                <a:pPr lvl="0">
                  <a:defRPr sz="1000" b="0" i="0">
                    <a:solidFill>
                      <a:srgbClr val="000000"/>
                    </a:solidFill>
                    <a:latin typeface="+mn-lt"/>
                  </a:defRPr>
                </a:pPr>
                <a:r>
                  <a:rPr lang="en-GB" sz="1000" b="0" i="0">
                    <a:solidFill>
                      <a:srgbClr val="000000"/>
                    </a:solidFill>
                    <a:latin typeface="+mn-lt"/>
                  </a:rPr>
                  <a:t>kgCO2e/m²/year</a:t>
                </a:r>
              </a:p>
            </c:rich>
          </c:tx>
          <c:overlay val="0"/>
        </c:title>
        <c:numFmt formatCode="0.0" sourceLinked="1"/>
        <c:majorTickMark val="none"/>
        <c:minorTickMark val="none"/>
        <c:tickLblPos val="nextTo"/>
        <c:spPr>
          <a:ln/>
        </c:spPr>
        <c:txPr>
          <a:bodyPr/>
          <a:lstStyle/>
          <a:p>
            <a:pPr lvl="0">
              <a:defRPr sz="900" b="0" i="0">
                <a:solidFill>
                  <a:srgbClr val="000000"/>
                </a:solidFill>
                <a:latin typeface="+mn-lt"/>
              </a:defRPr>
            </a:pPr>
            <a:endParaRPr lang="fr-FR"/>
          </a:p>
        </c:txPr>
        <c:crossAx val="2046668647"/>
        <c:crosses val="autoZero"/>
        <c:crossBetween val="between"/>
      </c:valAx>
    </c:plotArea>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r>
              <a:rPr lang="en-GB"/>
              <a:t>Program area share of each building type</a:t>
            </a:r>
          </a:p>
        </c:rich>
      </c:tx>
      <c:overlay val="0"/>
      <c:spPr>
        <a:noFill/>
        <a:ln>
          <a:noFill/>
        </a:ln>
        <a:effectLst/>
      </c:spPr>
      <c:txPr>
        <a:bodyPr rot="0" spcFirstLastPara="1" vertOverflow="ellipsis" vert="horz" wrap="square" anchor="ctr" anchorCtr="1"/>
        <a:lstStyle/>
        <a:p>
          <a:pPr>
            <a:defRPr sz="1600" b="1" i="0" u="none" strike="noStrike" kern="1200" cap="all" baseline="0">
              <a:solidFill>
                <a:schemeClr val="tx1">
                  <a:lumMod val="65000"/>
                  <a:lumOff val="35000"/>
                </a:schemeClr>
              </a:solidFill>
              <a:latin typeface="+mn-lt"/>
              <a:ea typeface="+mn-ea"/>
              <a:cs typeface="+mn-cs"/>
            </a:defRPr>
          </a:pPr>
          <a:endParaRPr lang="fr-FR"/>
        </a:p>
      </c:txPr>
    </c:title>
    <c:autoTitleDeleted val="0"/>
    <c:plotArea>
      <c:layout/>
      <c:pieChart>
        <c:varyColors val="1"/>
        <c:ser>
          <c:idx val="0"/>
          <c:order val="0"/>
          <c:dPt>
            <c:idx val="0"/>
            <c:bubble3D val="0"/>
            <c:spPr>
              <a:solidFill>
                <a:schemeClr val="accent1"/>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1-B4D3-4C1E-8CAF-6321191AC8B0}"/>
              </c:ext>
            </c:extLst>
          </c:dPt>
          <c:dPt>
            <c:idx val="1"/>
            <c:bubble3D val="0"/>
            <c:spPr>
              <a:solidFill>
                <a:schemeClr val="accent2"/>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3-B4D3-4C1E-8CAF-6321191AC8B0}"/>
              </c:ext>
            </c:extLst>
          </c:dPt>
          <c:dPt>
            <c:idx val="2"/>
            <c:bubble3D val="0"/>
            <c:spPr>
              <a:solidFill>
                <a:schemeClr val="accent3"/>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5-B4D3-4C1E-8CAF-6321191AC8B0}"/>
              </c:ext>
            </c:extLst>
          </c:dPt>
          <c:dPt>
            <c:idx val="3"/>
            <c:bubble3D val="0"/>
            <c:spPr>
              <a:solidFill>
                <a:schemeClr val="accent4"/>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7-B4D3-4C1E-8CAF-6321191AC8B0}"/>
              </c:ext>
            </c:extLst>
          </c:dPt>
          <c:dPt>
            <c:idx val="4"/>
            <c:bubble3D val="0"/>
            <c:spPr>
              <a:solidFill>
                <a:schemeClr val="accent5"/>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9-B4D3-4C1E-8CAF-6321191AC8B0}"/>
              </c:ext>
            </c:extLst>
          </c:dPt>
          <c:dPt>
            <c:idx val="5"/>
            <c:bubble3D val="0"/>
            <c:spPr>
              <a:solidFill>
                <a:schemeClr val="accent6"/>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B-B4D3-4C1E-8CAF-6321191AC8B0}"/>
              </c:ext>
            </c:extLst>
          </c:dPt>
          <c:dPt>
            <c:idx val="6"/>
            <c:bubble3D val="0"/>
            <c:spPr>
              <a:solidFill>
                <a:schemeClr val="accent1">
                  <a:lumMod val="60000"/>
                </a:schemeClr>
              </a:solidFill>
              <a:ln>
                <a:noFill/>
              </a:ln>
              <a:effectLst>
                <a:outerShdw blurRad="63500" sx="102000" sy="102000" algn="ctr" rotWithShape="0">
                  <a:prstClr val="black">
                    <a:alpha val="20000"/>
                  </a:prstClr>
                </a:outerShdw>
              </a:effectLst>
            </c:spPr>
            <c:extLst>
              <c:ext xmlns:c16="http://schemas.microsoft.com/office/drawing/2014/chart" uri="{C3380CC4-5D6E-409C-BE32-E72D297353CC}">
                <c16:uniqueId val="{0000000D-B4D3-4C1E-8CAF-6321191AC8B0}"/>
              </c:ext>
            </c:extLst>
          </c:dPt>
          <c:dLbls>
            <c:dLbl>
              <c:idx val="0"/>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1"/>
                      </a:solidFill>
                      <a:latin typeface="+mn-lt"/>
                      <a:ea typeface="+mn-ea"/>
                      <a:cs typeface="+mn-cs"/>
                    </a:defRPr>
                  </a:pPr>
                  <a:endParaRPr lang="fr-FR"/>
                </a:p>
              </c:txPr>
              <c:dLblPos val="outEnd"/>
              <c:showLegendKey val="0"/>
              <c:showVal val="0"/>
              <c:showCatName val="1"/>
              <c:showSerName val="0"/>
              <c:showPercent val="1"/>
              <c:showBubbleSize val="0"/>
              <c:extLst>
                <c:ext xmlns:c16="http://schemas.microsoft.com/office/drawing/2014/chart" uri="{C3380CC4-5D6E-409C-BE32-E72D297353CC}">
                  <c16:uniqueId val="{00000001-B4D3-4C1E-8CAF-6321191AC8B0}"/>
                </c:ext>
              </c:extLst>
            </c:dLbl>
            <c:dLbl>
              <c:idx val="1"/>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2"/>
                      </a:solidFill>
                      <a:latin typeface="+mn-lt"/>
                      <a:ea typeface="+mn-ea"/>
                      <a:cs typeface="+mn-cs"/>
                    </a:defRPr>
                  </a:pPr>
                  <a:endParaRPr lang="fr-FR"/>
                </a:p>
              </c:txPr>
              <c:dLblPos val="outEnd"/>
              <c:showLegendKey val="0"/>
              <c:showVal val="0"/>
              <c:showCatName val="1"/>
              <c:showSerName val="0"/>
              <c:showPercent val="1"/>
              <c:showBubbleSize val="0"/>
              <c:extLst>
                <c:ext xmlns:c16="http://schemas.microsoft.com/office/drawing/2014/chart" uri="{C3380CC4-5D6E-409C-BE32-E72D297353CC}">
                  <c16:uniqueId val="{00000003-B4D3-4C1E-8CAF-6321191AC8B0}"/>
                </c:ext>
              </c:extLst>
            </c:dLbl>
            <c:dLbl>
              <c:idx val="2"/>
              <c:layout>
                <c:manualLayout>
                  <c:x val="-4.6663555762949137E-2"/>
                  <c:y val="6.5952184666117034E-2"/>
                </c:manualLayout>
              </c:layout>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3"/>
                      </a:solidFill>
                      <a:latin typeface="+mn-lt"/>
                      <a:ea typeface="+mn-ea"/>
                      <a:cs typeface="+mn-cs"/>
                    </a:defRPr>
                  </a:pPr>
                  <a:endParaRPr lang="fr-FR"/>
                </a:p>
              </c:txPr>
              <c:dLblPos val="bestFit"/>
              <c:showLegendKey val="0"/>
              <c:showVal val="0"/>
              <c:showCatName val="1"/>
              <c:showSerName val="0"/>
              <c:showPercent val="1"/>
              <c:showBubbleSize val="0"/>
              <c:extLst>
                <c:ext xmlns:c15="http://schemas.microsoft.com/office/drawing/2012/chart" uri="{CE6537A1-D6FC-4f65-9D91-7224C49458BB}"/>
                <c:ext xmlns:c16="http://schemas.microsoft.com/office/drawing/2014/chart" uri="{C3380CC4-5D6E-409C-BE32-E72D297353CC}">
                  <c16:uniqueId val="{00000005-B4D3-4C1E-8CAF-6321191AC8B0}"/>
                </c:ext>
              </c:extLst>
            </c:dLbl>
            <c:dLbl>
              <c:idx val="3"/>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4"/>
                      </a:solidFill>
                      <a:latin typeface="+mn-lt"/>
                      <a:ea typeface="+mn-ea"/>
                      <a:cs typeface="+mn-cs"/>
                    </a:defRPr>
                  </a:pPr>
                  <a:endParaRPr lang="fr-FR"/>
                </a:p>
              </c:txPr>
              <c:dLblPos val="outEnd"/>
              <c:showLegendKey val="0"/>
              <c:showVal val="0"/>
              <c:showCatName val="1"/>
              <c:showSerName val="0"/>
              <c:showPercent val="1"/>
              <c:showBubbleSize val="0"/>
              <c:extLst>
                <c:ext xmlns:c16="http://schemas.microsoft.com/office/drawing/2014/chart" uri="{C3380CC4-5D6E-409C-BE32-E72D297353CC}">
                  <c16:uniqueId val="{00000007-B4D3-4C1E-8CAF-6321191AC8B0}"/>
                </c:ext>
              </c:extLst>
            </c:dLbl>
            <c:dLbl>
              <c:idx val="4"/>
              <c:spPr>
                <a:noFill/>
                <a:ln>
                  <a:noFill/>
                </a:ln>
                <a:effectLst/>
              </c:spPr>
              <c:txPr>
                <a:bodyPr rot="0" spcFirstLastPara="1" vertOverflow="ellipsis" vert="horz" wrap="square" lIns="38100" tIns="19050" rIns="38100" bIns="19050" anchor="ctr" anchorCtr="1">
                  <a:spAutoFit/>
                </a:bodyPr>
                <a:lstStyle/>
                <a:p>
                  <a:pPr>
                    <a:defRPr sz="1000" b="1" i="0" u="none" strike="noStrike" kern="1200" spc="0" baseline="0">
                      <a:solidFill>
                        <a:schemeClr val="accent5"/>
                      </a:solidFill>
                      <a:latin typeface="+mn-lt"/>
                      <a:ea typeface="+mn-ea"/>
                      <a:cs typeface="+mn-cs"/>
                    </a:defRPr>
                  </a:pPr>
                  <a:endParaRPr lang="fr-FR"/>
                </a:p>
              </c:txPr>
              <c:dLblPos val="outEnd"/>
              <c:showLegendKey val="0"/>
              <c:showVal val="0"/>
              <c:showCatName val="1"/>
              <c:showSerName val="0"/>
              <c:showPercent val="1"/>
              <c:showBubbleSize val="0"/>
              <c:extLst>
                <c:ext xmlns:c16="http://schemas.microsoft.com/office/drawing/2014/chart" uri="{C3380CC4-5D6E-409C-BE32-E72D297353CC}">
                  <c16:uniqueId val="{00000009-B4D3-4C1E-8CAF-6321191AC8B0}"/>
                </c:ext>
              </c:extLst>
            </c:dLbl>
            <c:spPr>
              <a:noFill/>
              <a:ln>
                <a:noFill/>
              </a:ln>
              <a:effectLst/>
            </c:spPr>
            <c:dLblPos val="outEnd"/>
            <c:showLegendKey val="0"/>
            <c:showVal val="0"/>
            <c:showCatName val="1"/>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'Input_Area and Costs'!$A$4:$A$10</c:f>
              <c:strCache>
                <c:ptCount val="5"/>
                <c:pt idx="0">
                  <c:v>Residential</c:v>
                </c:pt>
                <c:pt idx="1">
                  <c:v>Hospital</c:v>
                </c:pt>
                <c:pt idx="2">
                  <c:v>Education</c:v>
                </c:pt>
                <c:pt idx="3">
                  <c:v>Offices</c:v>
                </c:pt>
                <c:pt idx="4">
                  <c:v>Retail</c:v>
                </c:pt>
              </c:strCache>
            </c:strRef>
          </c:cat>
          <c:val>
            <c:numRef>
              <c:f>'Input_Area and Costs'!$N$4:$N$10</c:f>
              <c:numCache>
                <c:formatCode>0%</c:formatCode>
                <c:ptCount val="5"/>
                <c:pt idx="0">
                  <c:v>0.70123377219258032</c:v>
                </c:pt>
                <c:pt idx="1">
                  <c:v>0.12685404655049365</c:v>
                </c:pt>
                <c:pt idx="2">
                  <c:v>2.3054198379967503E-2</c:v>
                </c:pt>
                <c:pt idx="3">
                  <c:v>3.7029348974367798E-2</c:v>
                </c:pt>
                <c:pt idx="4">
                  <c:v>0.11182863390259073</c:v>
                </c:pt>
              </c:numCache>
            </c:numRef>
          </c:val>
          <c:extLst>
            <c:ext xmlns:c16="http://schemas.microsoft.com/office/drawing/2014/chart" uri="{C3380CC4-5D6E-409C-BE32-E72D297353CC}">
              <c16:uniqueId val="{0000000E-B4D3-4C1E-8CAF-6321191AC8B0}"/>
            </c:ext>
          </c:extLst>
        </c:ser>
        <c:dLbls>
          <c:dLblPos val="outEnd"/>
          <c:showLegendKey val="0"/>
          <c:showVal val="0"/>
          <c:showCatName val="1"/>
          <c:showSerName val="0"/>
          <c:showPercent val="0"/>
          <c:showBubbleSize val="0"/>
          <c:showLeaderLines val="1"/>
        </c:dLbls>
        <c:firstSliceAng val="0"/>
      </c:pieChart>
      <c:spPr>
        <a:noFill/>
        <a:ln>
          <a:noFill/>
        </a:ln>
        <a:effectLst/>
      </c:spPr>
    </c:plotArea>
    <c:plotVisOnly val="1"/>
    <c:dispBlanksAs val="zero"/>
    <c:showDLblsOverMax val="1"/>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c:style val="2"/>
  <c:chart>
    <c:title>
      <c:tx>
        <c:rich>
          <a:bodyPr/>
          <a:lstStyle/>
          <a:p>
            <a:pPr lvl="0">
              <a:defRPr sz="1400" b="0" i="0">
                <a:solidFill>
                  <a:srgbClr val="757575"/>
                </a:solidFill>
                <a:latin typeface="+mn-lt"/>
              </a:defRPr>
            </a:pPr>
            <a:r>
              <a:rPr lang="en-GB" sz="1400" b="0" i="0">
                <a:solidFill>
                  <a:srgbClr val="757575"/>
                </a:solidFill>
                <a:latin typeface="+mn-lt"/>
              </a:rPr>
              <a:t>Average CO2 emissions saved for each climate zone - package 20%</a:t>
            </a:r>
          </a:p>
        </c:rich>
      </c:tx>
      <c:overlay val="0"/>
    </c:title>
    <c:autoTitleDeleted val="0"/>
    <c:plotArea>
      <c:layout/>
      <c:barChart>
        <c:barDir val="col"/>
        <c:grouping val="clustered"/>
        <c:varyColors val="1"/>
        <c:ser>
          <c:idx val="0"/>
          <c:order val="0"/>
          <c:spPr>
            <a:solidFill>
              <a:srgbClr val="4F81BD"/>
            </a:solidFill>
            <a:ln cmpd="sng">
              <a:solidFill>
                <a:srgbClr val="000000"/>
              </a:solidFill>
            </a:ln>
          </c:spPr>
          <c:invertIfNegative val="1"/>
          <c:cat>
            <c:strRef>
              <c:f>'Output_Carbon savings'!$A$113:$A$119</c:f>
              <c:strCache>
                <c:ptCount val="6"/>
                <c:pt idx="0">
                  <c:v>Tropical</c:v>
                </c:pt>
                <c:pt idx="1">
                  <c:v>Equatorial</c:v>
                </c:pt>
                <c:pt idx="2">
                  <c:v>arid</c:v>
                </c:pt>
                <c:pt idx="3">
                  <c:v>subtropipcal humid</c:v>
                </c:pt>
                <c:pt idx="4">
                  <c:v>mediterrannean</c:v>
                </c:pt>
                <c:pt idx="5">
                  <c:v>Semi-continental</c:v>
                </c:pt>
              </c:strCache>
            </c:strRef>
          </c:cat>
          <c:val>
            <c:numRef>
              <c:f>'Output_Carbon savings'!$B$113:$B$119</c:f>
              <c:numCache>
                <c:formatCode>0.0</c:formatCode>
                <c:ptCount val="6"/>
                <c:pt idx="0">
                  <c:v>7.4566303745577249</c:v>
                </c:pt>
                <c:pt idx="1">
                  <c:v>21.497673027656617</c:v>
                </c:pt>
                <c:pt idx="2">
                  <c:v>12.441330130768426</c:v>
                </c:pt>
                <c:pt idx="3">
                  <c:v>10.24377735118615</c:v>
                </c:pt>
                <c:pt idx="4">
                  <c:v>10.08210536098264</c:v>
                </c:pt>
                <c:pt idx="5">
                  <c:v>19.860854545485711</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C73C-417A-B438-A4FC243E5025}"/>
            </c:ext>
          </c:extLst>
        </c:ser>
        <c:dLbls>
          <c:showLegendKey val="0"/>
          <c:showVal val="0"/>
          <c:showCatName val="0"/>
          <c:showSerName val="0"/>
          <c:showPercent val="0"/>
          <c:showBubbleSize val="0"/>
        </c:dLbls>
        <c:gapWidth val="150"/>
        <c:axId val="1825347850"/>
        <c:axId val="706279179"/>
      </c:barChart>
      <c:catAx>
        <c:axId val="1825347850"/>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fr-FR"/>
          </a:p>
        </c:txPr>
        <c:crossAx val="706279179"/>
        <c:crosses val="autoZero"/>
        <c:auto val="1"/>
        <c:lblAlgn val="ctr"/>
        <c:lblOffset val="100"/>
        <c:noMultiLvlLbl val="1"/>
      </c:catAx>
      <c:valAx>
        <c:axId val="706279179"/>
        <c:scaling>
          <c:orientation val="minMax"/>
        </c:scaling>
        <c:delete val="0"/>
        <c:axPos val="l"/>
        <c:majorGridlines>
          <c:spPr>
            <a:ln>
              <a:solidFill>
                <a:srgbClr val="B7B7B7"/>
              </a:solidFill>
            </a:ln>
          </c:spPr>
        </c:majorGridlines>
        <c:title>
          <c:tx>
            <c:rich>
              <a:bodyPr/>
              <a:lstStyle/>
              <a:p>
                <a:pPr lvl="0">
                  <a:defRPr sz="1000" b="0" i="0">
                    <a:solidFill>
                      <a:srgbClr val="000000"/>
                    </a:solidFill>
                    <a:latin typeface="+mn-lt"/>
                  </a:defRPr>
                </a:pPr>
                <a:r>
                  <a:rPr lang="en-GB" sz="1000" b="0" i="0">
                    <a:solidFill>
                      <a:srgbClr val="000000"/>
                    </a:solidFill>
                    <a:latin typeface="+mn-lt"/>
                  </a:rPr>
                  <a:t>kgCO2/m²/year</a:t>
                </a:r>
              </a:p>
            </c:rich>
          </c:tx>
          <c:overlay val="0"/>
        </c:title>
        <c:numFmt formatCode="0.0" sourceLinked="1"/>
        <c:majorTickMark val="none"/>
        <c:minorTickMark val="none"/>
        <c:tickLblPos val="nextTo"/>
        <c:spPr>
          <a:ln/>
        </c:spPr>
        <c:txPr>
          <a:bodyPr/>
          <a:lstStyle/>
          <a:p>
            <a:pPr lvl="0">
              <a:defRPr sz="900" b="0" i="0">
                <a:solidFill>
                  <a:srgbClr val="000000"/>
                </a:solidFill>
                <a:latin typeface="+mn-lt"/>
              </a:defRPr>
            </a:pPr>
            <a:endParaRPr lang="fr-FR"/>
          </a:p>
        </c:txPr>
        <c:crossAx val="1825347850"/>
        <c:crosses val="autoZero"/>
        <c:crossBetween val="between"/>
      </c:valAx>
    </c:plotArea>
    <c:plotVisOnly val="1"/>
    <c:dispBlanksAs val="zero"/>
    <c:showDLblsOverMax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c:style val="2"/>
  <c:chart>
    <c:title>
      <c:tx>
        <c:rich>
          <a:bodyPr/>
          <a:lstStyle/>
          <a:p>
            <a:pPr lvl="0">
              <a:defRPr sz="1400" b="0" i="0">
                <a:solidFill>
                  <a:srgbClr val="757575"/>
                </a:solidFill>
                <a:latin typeface="+mn-lt"/>
              </a:defRPr>
            </a:pPr>
            <a:r>
              <a:rPr lang="en-GB" sz="1400" b="0" i="0">
                <a:solidFill>
                  <a:srgbClr val="757575"/>
                </a:solidFill>
                <a:latin typeface="+mn-lt"/>
              </a:rPr>
              <a:t>Overcost due to low carbon strategies - new construction - package 40%</a:t>
            </a:r>
          </a:p>
        </c:rich>
      </c:tx>
      <c:overlay val="0"/>
    </c:title>
    <c:autoTitleDeleted val="0"/>
    <c:plotArea>
      <c:layout/>
      <c:barChart>
        <c:barDir val="col"/>
        <c:grouping val="clustered"/>
        <c:varyColors val="1"/>
        <c:ser>
          <c:idx val="0"/>
          <c:order val="0"/>
          <c:spPr>
            <a:solidFill>
              <a:srgbClr val="4F81BD"/>
            </a:solidFill>
            <a:ln cmpd="sng">
              <a:solidFill>
                <a:srgbClr val="000000"/>
              </a:solidFill>
            </a:ln>
          </c:spPr>
          <c:invertIfNegative val="1"/>
          <c:cat>
            <c:strRef>
              <c:f>'Input_Area and Costs'!$A$38:$A$44</c:f>
              <c:strCache>
                <c:ptCount val="5"/>
                <c:pt idx="0">
                  <c:v>Residential</c:v>
                </c:pt>
                <c:pt idx="1">
                  <c:v>Hospital</c:v>
                </c:pt>
                <c:pt idx="2">
                  <c:v>Education</c:v>
                </c:pt>
                <c:pt idx="3">
                  <c:v>Small scale office</c:v>
                </c:pt>
                <c:pt idx="4">
                  <c:v>Retail</c:v>
                </c:pt>
              </c:strCache>
            </c:strRef>
          </c:cat>
          <c:val>
            <c:numRef>
              <c:f>'Input_Area and Costs'!$D$38:$D$44</c:f>
              <c:numCache>
                <c:formatCode>0.00%</c:formatCode>
                <c:ptCount val="5"/>
                <c:pt idx="0">
                  <c:v>0.10500000000000001</c:v>
                </c:pt>
                <c:pt idx="1">
                  <c:v>2.5000000000000001E-2</c:v>
                </c:pt>
                <c:pt idx="2">
                  <c:v>8.4999999999999992E-2</c:v>
                </c:pt>
                <c:pt idx="3">
                  <c:v>0.10500000000000001</c:v>
                </c:pt>
                <c:pt idx="4">
                  <c:v>4.9999999999999996E-2</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5DCC-465E-AD00-D74B2AEFED56}"/>
            </c:ext>
          </c:extLst>
        </c:ser>
        <c:dLbls>
          <c:showLegendKey val="0"/>
          <c:showVal val="0"/>
          <c:showCatName val="0"/>
          <c:showSerName val="0"/>
          <c:showPercent val="0"/>
          <c:showBubbleSize val="0"/>
        </c:dLbls>
        <c:gapWidth val="150"/>
        <c:axId val="500526578"/>
        <c:axId val="1018573403"/>
      </c:barChart>
      <c:catAx>
        <c:axId val="500526578"/>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fr-FR"/>
          </a:p>
        </c:txPr>
        <c:crossAx val="1018573403"/>
        <c:crosses val="autoZero"/>
        <c:auto val="1"/>
        <c:lblAlgn val="ctr"/>
        <c:lblOffset val="100"/>
        <c:noMultiLvlLbl val="1"/>
      </c:catAx>
      <c:valAx>
        <c:axId val="1018573403"/>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GB"/>
              </a:p>
            </c:rich>
          </c:tx>
          <c:overlay val="0"/>
        </c:title>
        <c:numFmt formatCode="0.00%" sourceLinked="1"/>
        <c:majorTickMark val="none"/>
        <c:minorTickMark val="none"/>
        <c:tickLblPos val="nextTo"/>
        <c:spPr>
          <a:ln/>
        </c:spPr>
        <c:txPr>
          <a:bodyPr/>
          <a:lstStyle/>
          <a:p>
            <a:pPr lvl="0">
              <a:defRPr sz="900" b="0" i="0">
                <a:solidFill>
                  <a:srgbClr val="000000"/>
                </a:solidFill>
                <a:latin typeface="+mn-lt"/>
              </a:defRPr>
            </a:pPr>
            <a:endParaRPr lang="fr-FR"/>
          </a:p>
        </c:txPr>
        <c:crossAx val="500526578"/>
        <c:crosses val="autoZero"/>
        <c:crossBetween val="between"/>
      </c:valAx>
    </c:plotArea>
    <c:plotVisOnly val="1"/>
    <c:dispBlanksAs val="zero"/>
    <c:showDLblsOverMax val="1"/>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c:style val="2"/>
  <c:chart>
    <c:title>
      <c:tx>
        <c:rich>
          <a:bodyPr/>
          <a:lstStyle/>
          <a:p>
            <a:pPr lvl="0">
              <a:defRPr sz="1400" b="0" i="0">
                <a:solidFill>
                  <a:srgbClr val="757575"/>
                </a:solidFill>
                <a:latin typeface="+mn-lt"/>
              </a:defRPr>
            </a:pPr>
            <a:r>
              <a:rPr lang="en-GB" sz="1400" b="0" i="0">
                <a:solidFill>
                  <a:srgbClr val="757575"/>
                </a:solidFill>
                <a:latin typeface="+mn-lt"/>
              </a:rPr>
              <a:t>Overcost due to low carbon strategies - new construction - package 20%</a:t>
            </a:r>
          </a:p>
        </c:rich>
      </c:tx>
      <c:overlay val="0"/>
    </c:title>
    <c:autoTitleDeleted val="0"/>
    <c:plotArea>
      <c:layout/>
      <c:barChart>
        <c:barDir val="col"/>
        <c:grouping val="clustered"/>
        <c:varyColors val="1"/>
        <c:ser>
          <c:idx val="0"/>
          <c:order val="0"/>
          <c:spPr>
            <a:solidFill>
              <a:srgbClr val="4F81BD"/>
            </a:solidFill>
            <a:ln cmpd="sng">
              <a:solidFill>
                <a:srgbClr val="000000"/>
              </a:solidFill>
            </a:ln>
          </c:spPr>
          <c:invertIfNegative val="1"/>
          <c:cat>
            <c:strRef>
              <c:f>'Input_Area and Costs'!$A$48:$A$54</c:f>
              <c:strCache>
                <c:ptCount val="5"/>
                <c:pt idx="0">
                  <c:v>Residential</c:v>
                </c:pt>
                <c:pt idx="1">
                  <c:v>Hospital</c:v>
                </c:pt>
                <c:pt idx="2">
                  <c:v>Education</c:v>
                </c:pt>
                <c:pt idx="3">
                  <c:v>Small scale office</c:v>
                </c:pt>
                <c:pt idx="4">
                  <c:v>Retail</c:v>
                </c:pt>
              </c:strCache>
            </c:strRef>
          </c:cat>
          <c:val>
            <c:numRef>
              <c:f>'Input_Area and Costs'!$D$48:$D$54</c:f>
              <c:numCache>
                <c:formatCode>0.00%</c:formatCode>
                <c:ptCount val="5"/>
                <c:pt idx="0">
                  <c:v>5.5E-2</c:v>
                </c:pt>
                <c:pt idx="1">
                  <c:v>1.4999999999999999E-2</c:v>
                </c:pt>
                <c:pt idx="2">
                  <c:v>3.5000000000000003E-2</c:v>
                </c:pt>
                <c:pt idx="3">
                  <c:v>3.4999999999999996E-2</c:v>
                </c:pt>
                <c:pt idx="4">
                  <c:v>0.02</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75A2-4D72-AF1A-1C08243F460F}"/>
            </c:ext>
          </c:extLst>
        </c:ser>
        <c:dLbls>
          <c:showLegendKey val="0"/>
          <c:showVal val="0"/>
          <c:showCatName val="0"/>
          <c:showSerName val="0"/>
          <c:showPercent val="0"/>
          <c:showBubbleSize val="0"/>
        </c:dLbls>
        <c:gapWidth val="150"/>
        <c:axId val="247253656"/>
        <c:axId val="14714020"/>
      </c:barChart>
      <c:catAx>
        <c:axId val="247253656"/>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fr-FR"/>
          </a:p>
        </c:txPr>
        <c:crossAx val="14714020"/>
        <c:crosses val="autoZero"/>
        <c:auto val="1"/>
        <c:lblAlgn val="ctr"/>
        <c:lblOffset val="100"/>
        <c:noMultiLvlLbl val="1"/>
      </c:catAx>
      <c:valAx>
        <c:axId val="14714020"/>
        <c:scaling>
          <c:orientation val="minMax"/>
        </c:scaling>
        <c:delete val="0"/>
        <c:axPos val="l"/>
        <c:majorGridlines>
          <c:spPr>
            <a:ln>
              <a:solidFill>
                <a:srgbClr val="B7B7B7"/>
              </a:solidFill>
            </a:ln>
          </c:spPr>
        </c:majorGridlines>
        <c:title>
          <c:tx>
            <c:rich>
              <a:bodyPr/>
              <a:lstStyle/>
              <a:p>
                <a:pPr lvl="0">
                  <a:defRPr b="0">
                    <a:solidFill>
                      <a:srgbClr val="000000"/>
                    </a:solidFill>
                    <a:latin typeface="+mn-lt"/>
                  </a:defRPr>
                </a:pPr>
                <a:endParaRPr lang="en-GB"/>
              </a:p>
            </c:rich>
          </c:tx>
          <c:overlay val="0"/>
        </c:title>
        <c:numFmt formatCode="0.00%" sourceLinked="1"/>
        <c:majorTickMark val="none"/>
        <c:minorTickMark val="none"/>
        <c:tickLblPos val="nextTo"/>
        <c:spPr>
          <a:ln/>
        </c:spPr>
        <c:txPr>
          <a:bodyPr/>
          <a:lstStyle/>
          <a:p>
            <a:pPr lvl="0">
              <a:defRPr sz="900" b="0" i="0">
                <a:solidFill>
                  <a:srgbClr val="000000"/>
                </a:solidFill>
                <a:latin typeface="+mn-lt"/>
              </a:defRPr>
            </a:pPr>
            <a:endParaRPr lang="fr-FR"/>
          </a:p>
        </c:txPr>
        <c:crossAx val="247253656"/>
        <c:crosses val="autoZero"/>
        <c:crossBetween val="between"/>
      </c:valAx>
    </c:plotArea>
    <c:plotVisOnly val="1"/>
    <c:dispBlanksAs val="zero"/>
    <c:showDLblsOverMax val="1"/>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c:style val="2"/>
  <c:chart>
    <c:title>
      <c:tx>
        <c:rich>
          <a:bodyPr/>
          <a:lstStyle/>
          <a:p>
            <a:pPr lvl="0">
              <a:defRPr sz="1400" b="0" i="0">
                <a:solidFill>
                  <a:srgbClr val="757575"/>
                </a:solidFill>
                <a:latin typeface="+mn-lt"/>
              </a:defRPr>
            </a:pPr>
            <a:r>
              <a:rPr lang="en-GB" sz="1400" b="0" i="0">
                <a:solidFill>
                  <a:srgbClr val="757575"/>
                </a:solidFill>
                <a:latin typeface="+mn-lt"/>
              </a:rPr>
              <a:t>Investment related to low carbon strategies- package 40%</a:t>
            </a:r>
          </a:p>
        </c:rich>
      </c:tx>
      <c:overlay val="0"/>
    </c:title>
    <c:autoTitleDeleted val="0"/>
    <c:plotArea>
      <c:layout/>
      <c:barChart>
        <c:barDir val="col"/>
        <c:grouping val="clustered"/>
        <c:varyColors val="1"/>
        <c:ser>
          <c:idx val="0"/>
          <c:order val="0"/>
          <c:spPr>
            <a:solidFill>
              <a:srgbClr val="4F81BD"/>
            </a:solidFill>
            <a:ln cmpd="sng">
              <a:solidFill>
                <a:srgbClr val="000000"/>
              </a:solidFill>
            </a:ln>
          </c:spPr>
          <c:invertIfNegative val="1"/>
          <c:cat>
            <c:strRef>
              <c:f>'Output_Financial savings'!$A$4:$A$10</c:f>
              <c:strCache>
                <c:ptCount val="7"/>
                <c:pt idx="0">
                  <c:v>Residential</c:v>
                </c:pt>
                <c:pt idx="1">
                  <c:v>Small scale healthcare</c:v>
                </c:pt>
                <c:pt idx="2">
                  <c:v>Hospital</c:v>
                </c:pt>
                <c:pt idx="3">
                  <c:v>Education</c:v>
                </c:pt>
                <c:pt idx="4">
                  <c:v>Small scale office</c:v>
                </c:pt>
                <c:pt idx="5">
                  <c:v>Hotel</c:v>
                </c:pt>
                <c:pt idx="6">
                  <c:v>Retail</c:v>
                </c:pt>
              </c:strCache>
            </c:strRef>
          </c:cat>
          <c:val>
            <c:numRef>
              <c:f>'Output_Financial savings'!$M$4:$M$10</c:f>
              <c:numCache>
                <c:formatCode>_-* #\ ##0_-;\-* #\ ##0_-;_-* "-"??_-;_-@_-</c:formatCode>
                <c:ptCount val="7"/>
                <c:pt idx="0">
                  <c:v>66182806.830000006</c:v>
                </c:pt>
                <c:pt idx="1">
                  <c:v>0</c:v>
                </c:pt>
                <c:pt idx="2">
                  <c:v>53357500</c:v>
                </c:pt>
                <c:pt idx="3">
                  <c:v>2286499.9999999995</c:v>
                </c:pt>
                <c:pt idx="4">
                  <c:v>9077250</c:v>
                </c:pt>
                <c:pt idx="5">
                  <c:v>0</c:v>
                </c:pt>
                <c:pt idx="6">
                  <c:v>50910000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B492-47F1-99CD-B7CC449E2306}"/>
            </c:ext>
          </c:extLst>
        </c:ser>
        <c:dLbls>
          <c:showLegendKey val="0"/>
          <c:showVal val="0"/>
          <c:showCatName val="0"/>
          <c:showSerName val="0"/>
          <c:showPercent val="0"/>
          <c:showBubbleSize val="0"/>
        </c:dLbls>
        <c:gapWidth val="150"/>
        <c:axId val="1221714750"/>
        <c:axId val="337698246"/>
      </c:barChart>
      <c:catAx>
        <c:axId val="1221714750"/>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fr-FR"/>
          </a:p>
        </c:txPr>
        <c:crossAx val="337698246"/>
        <c:crosses val="autoZero"/>
        <c:auto val="1"/>
        <c:lblAlgn val="ctr"/>
        <c:lblOffset val="100"/>
        <c:noMultiLvlLbl val="1"/>
      </c:catAx>
      <c:valAx>
        <c:axId val="337698246"/>
        <c:scaling>
          <c:orientation val="minMax"/>
        </c:scaling>
        <c:delete val="0"/>
        <c:axPos val="l"/>
        <c:majorGridlines>
          <c:spPr>
            <a:ln>
              <a:solidFill>
                <a:srgbClr val="B7B7B7"/>
              </a:solidFill>
            </a:ln>
          </c:spPr>
        </c:majorGridlines>
        <c:title>
          <c:tx>
            <c:rich>
              <a:bodyPr/>
              <a:lstStyle/>
              <a:p>
                <a:pPr lvl="0">
                  <a:defRPr sz="1000" b="0" i="0">
                    <a:solidFill>
                      <a:srgbClr val="000000"/>
                    </a:solidFill>
                    <a:latin typeface="+mn-lt"/>
                  </a:defRPr>
                </a:pPr>
                <a:r>
                  <a:rPr lang="en-GB" sz="1000" b="0" i="0">
                    <a:solidFill>
                      <a:srgbClr val="000000"/>
                    </a:solidFill>
                    <a:latin typeface="+mn-lt"/>
                  </a:rPr>
                  <a:t>€</a:t>
                </a:r>
              </a:p>
            </c:rich>
          </c:tx>
          <c:overlay val="0"/>
        </c:title>
        <c:numFmt formatCode="_-* #\ ##0_-;\-* #\ ##0_-;_-* &quot;-&quot;??_-;_-@_-" sourceLinked="1"/>
        <c:majorTickMark val="none"/>
        <c:minorTickMark val="none"/>
        <c:tickLblPos val="nextTo"/>
        <c:spPr>
          <a:ln/>
        </c:spPr>
        <c:txPr>
          <a:bodyPr/>
          <a:lstStyle/>
          <a:p>
            <a:pPr lvl="0">
              <a:defRPr sz="900" b="0" i="0">
                <a:solidFill>
                  <a:srgbClr val="000000"/>
                </a:solidFill>
                <a:latin typeface="+mn-lt"/>
              </a:defRPr>
            </a:pPr>
            <a:endParaRPr lang="fr-FR"/>
          </a:p>
        </c:txPr>
        <c:crossAx val="1221714750"/>
        <c:crosses val="autoZero"/>
        <c:crossBetween val="between"/>
      </c:valAx>
    </c:plotArea>
    <c:plotVisOnly val="1"/>
    <c:dispBlanksAs val="zero"/>
    <c:showDLblsOverMax val="1"/>
  </c:chart>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c:style val="2"/>
  <c:chart>
    <c:title>
      <c:tx>
        <c:rich>
          <a:bodyPr/>
          <a:lstStyle/>
          <a:p>
            <a:pPr lvl="0">
              <a:defRPr sz="1400" b="0" i="0">
                <a:solidFill>
                  <a:srgbClr val="757575"/>
                </a:solidFill>
                <a:latin typeface="+mn-lt"/>
              </a:defRPr>
            </a:pPr>
            <a:r>
              <a:rPr lang="en-GB" sz="1400" b="0" i="0">
                <a:solidFill>
                  <a:srgbClr val="757575"/>
                </a:solidFill>
                <a:latin typeface="+mn-lt"/>
              </a:rPr>
              <a:t>Investment related to low carbon strategies - package 20%</a:t>
            </a:r>
          </a:p>
        </c:rich>
      </c:tx>
      <c:overlay val="0"/>
    </c:title>
    <c:autoTitleDeleted val="0"/>
    <c:plotArea>
      <c:layout/>
      <c:barChart>
        <c:barDir val="col"/>
        <c:grouping val="clustered"/>
        <c:varyColors val="1"/>
        <c:ser>
          <c:idx val="0"/>
          <c:order val="0"/>
          <c:spPr>
            <a:solidFill>
              <a:srgbClr val="4F81BD"/>
            </a:solidFill>
            <a:ln cmpd="sng">
              <a:solidFill>
                <a:srgbClr val="000000"/>
              </a:solidFill>
            </a:ln>
          </c:spPr>
          <c:invertIfNegative val="1"/>
          <c:cat>
            <c:strRef>
              <c:f>'Output_Financial savings'!$A$17:$A$23</c:f>
              <c:strCache>
                <c:ptCount val="7"/>
                <c:pt idx="0">
                  <c:v>Residential</c:v>
                </c:pt>
                <c:pt idx="1">
                  <c:v>Small scale healthcare</c:v>
                </c:pt>
                <c:pt idx="2">
                  <c:v>Hospital</c:v>
                </c:pt>
                <c:pt idx="3">
                  <c:v>Education</c:v>
                </c:pt>
                <c:pt idx="4">
                  <c:v>Small scale office</c:v>
                </c:pt>
                <c:pt idx="5">
                  <c:v>Hotel</c:v>
                </c:pt>
                <c:pt idx="6">
                  <c:v>Retail</c:v>
                </c:pt>
              </c:strCache>
            </c:strRef>
          </c:cat>
          <c:val>
            <c:numRef>
              <c:f>'Output_Financial savings'!$M$17:$M$23</c:f>
              <c:numCache>
                <c:formatCode>_-* #\ ##0_-;\-* #\ ##0_-;_-* "-"??_-;_-@_-</c:formatCode>
                <c:ptCount val="7"/>
                <c:pt idx="0">
                  <c:v>34667184.530000001</c:v>
                </c:pt>
                <c:pt idx="1">
                  <c:v>0</c:v>
                </c:pt>
                <c:pt idx="2">
                  <c:v>37014500</c:v>
                </c:pt>
                <c:pt idx="3">
                  <c:v>941500</c:v>
                </c:pt>
                <c:pt idx="4">
                  <c:v>4950750</c:v>
                </c:pt>
                <c:pt idx="5">
                  <c:v>0</c:v>
                </c:pt>
                <c:pt idx="6">
                  <c:v>35364000</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0501-4826-B45D-43B009681709}"/>
            </c:ext>
          </c:extLst>
        </c:ser>
        <c:dLbls>
          <c:showLegendKey val="0"/>
          <c:showVal val="0"/>
          <c:showCatName val="0"/>
          <c:showSerName val="0"/>
          <c:showPercent val="0"/>
          <c:showBubbleSize val="0"/>
        </c:dLbls>
        <c:gapWidth val="150"/>
        <c:axId val="1634520168"/>
        <c:axId val="2120250766"/>
      </c:barChart>
      <c:catAx>
        <c:axId val="1634520168"/>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fr-FR"/>
          </a:p>
        </c:txPr>
        <c:crossAx val="2120250766"/>
        <c:crosses val="autoZero"/>
        <c:auto val="1"/>
        <c:lblAlgn val="ctr"/>
        <c:lblOffset val="100"/>
        <c:noMultiLvlLbl val="1"/>
      </c:catAx>
      <c:valAx>
        <c:axId val="2120250766"/>
        <c:scaling>
          <c:orientation val="minMax"/>
        </c:scaling>
        <c:delete val="0"/>
        <c:axPos val="l"/>
        <c:majorGridlines>
          <c:spPr>
            <a:ln>
              <a:solidFill>
                <a:srgbClr val="B7B7B7"/>
              </a:solidFill>
            </a:ln>
          </c:spPr>
        </c:majorGridlines>
        <c:title>
          <c:tx>
            <c:rich>
              <a:bodyPr/>
              <a:lstStyle/>
              <a:p>
                <a:pPr lvl="0">
                  <a:defRPr sz="1000" b="0" i="0">
                    <a:solidFill>
                      <a:srgbClr val="000000"/>
                    </a:solidFill>
                    <a:latin typeface="+mn-lt"/>
                  </a:defRPr>
                </a:pPr>
                <a:r>
                  <a:rPr lang="en-GB" sz="1000" b="0" i="0">
                    <a:solidFill>
                      <a:srgbClr val="000000"/>
                    </a:solidFill>
                    <a:latin typeface="+mn-lt"/>
                  </a:rPr>
                  <a:t>€</a:t>
                </a:r>
              </a:p>
            </c:rich>
          </c:tx>
          <c:overlay val="0"/>
        </c:title>
        <c:numFmt formatCode="_-* #\ ##0_-;\-* #\ ##0_-;_-* &quot;-&quot;??_-;_-@_-" sourceLinked="1"/>
        <c:majorTickMark val="none"/>
        <c:minorTickMark val="none"/>
        <c:tickLblPos val="nextTo"/>
        <c:spPr>
          <a:ln/>
        </c:spPr>
        <c:txPr>
          <a:bodyPr/>
          <a:lstStyle/>
          <a:p>
            <a:pPr lvl="0">
              <a:defRPr sz="900" b="0" i="0">
                <a:solidFill>
                  <a:srgbClr val="000000"/>
                </a:solidFill>
                <a:latin typeface="+mn-lt"/>
              </a:defRPr>
            </a:pPr>
            <a:endParaRPr lang="fr-FR"/>
          </a:p>
        </c:txPr>
        <c:crossAx val="1634520168"/>
        <c:crosses val="autoZero"/>
        <c:crossBetween val="between"/>
      </c:valAx>
    </c:plotArea>
    <c:plotVisOnly val="1"/>
    <c:dispBlanksAs val="zero"/>
    <c:showDLblsOverMax val="1"/>
  </c:chart>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c:style val="2"/>
  <c:chart>
    <c:title>
      <c:tx>
        <c:rich>
          <a:bodyPr/>
          <a:lstStyle/>
          <a:p>
            <a:pPr lvl="0">
              <a:defRPr sz="1400" b="0" i="0">
                <a:solidFill>
                  <a:srgbClr val="757575"/>
                </a:solidFill>
                <a:latin typeface="+mn-lt"/>
              </a:defRPr>
            </a:pPr>
            <a:r>
              <a:rPr lang="en-GB" sz="1400" b="0" i="0">
                <a:solidFill>
                  <a:srgbClr val="757575"/>
                </a:solidFill>
                <a:latin typeface="+mn-lt"/>
              </a:rPr>
              <a:t>Grid</a:t>
            </a:r>
            <a:r>
              <a:rPr lang="en-GB" sz="1400" b="0" i="0" baseline="0">
                <a:solidFill>
                  <a:srgbClr val="757575"/>
                </a:solidFill>
                <a:latin typeface="+mn-lt"/>
              </a:rPr>
              <a:t> emissions factor </a:t>
            </a:r>
            <a:r>
              <a:rPr lang="en-GB" sz="1400" b="0" i="0">
                <a:solidFill>
                  <a:srgbClr val="757575"/>
                </a:solidFill>
                <a:latin typeface="+mn-lt"/>
              </a:rPr>
              <a:t>for each country of the program PEEB COOL</a:t>
            </a:r>
          </a:p>
        </c:rich>
      </c:tx>
      <c:overlay val="0"/>
    </c:title>
    <c:autoTitleDeleted val="0"/>
    <c:plotArea>
      <c:layout/>
      <c:barChart>
        <c:barDir val="col"/>
        <c:grouping val="clustered"/>
        <c:varyColors val="1"/>
        <c:ser>
          <c:idx val="0"/>
          <c:order val="0"/>
          <c:spPr>
            <a:solidFill>
              <a:srgbClr val="4F81BD"/>
            </a:solidFill>
            <a:ln cmpd="sng">
              <a:solidFill>
                <a:srgbClr val="000000"/>
              </a:solidFill>
            </a:ln>
          </c:spPr>
          <c:invertIfNegative val="1"/>
          <c:cat>
            <c:strRef>
              <c:f>'Input_Energy Context'!$B$11:$L$11</c:f>
              <c:strCache>
                <c:ptCount val="11"/>
                <c:pt idx="0">
                  <c:v>Djibouti</c:v>
                </c:pt>
                <c:pt idx="1">
                  <c:v>Morocco</c:v>
                </c:pt>
                <c:pt idx="2">
                  <c:v>Nigeria</c:v>
                </c:pt>
                <c:pt idx="3">
                  <c:v>Tunisia</c:v>
                </c:pt>
                <c:pt idx="4">
                  <c:v>Argentina</c:v>
                </c:pt>
                <c:pt idx="5">
                  <c:v>Mexico</c:v>
                </c:pt>
                <c:pt idx="6">
                  <c:v>Indonesia</c:v>
                </c:pt>
                <c:pt idx="7">
                  <c:v>Sri Lanka</c:v>
                </c:pt>
                <c:pt idx="8">
                  <c:v>Albania</c:v>
                </c:pt>
                <c:pt idx="9">
                  <c:v>Costa Rica</c:v>
                </c:pt>
                <c:pt idx="10">
                  <c:v>North Macedonia</c:v>
                </c:pt>
              </c:strCache>
            </c:strRef>
          </c:cat>
          <c:val>
            <c:numRef>
              <c:f>'Input_Energy Context'!$B$12:$L$12</c:f>
              <c:numCache>
                <c:formatCode>_-* #\ ##0.000_-;\-* #\ ##0.000_-;_-* "-"??_-;_-@_-</c:formatCode>
                <c:ptCount val="11"/>
                <c:pt idx="0">
                  <c:v>0.6388533474370115</c:v>
                </c:pt>
                <c:pt idx="1">
                  <c:v>0.55057909980594144</c:v>
                </c:pt>
                <c:pt idx="2">
                  <c:v>0.39531206159723237</c:v>
                </c:pt>
                <c:pt idx="3">
                  <c:v>0.40406164852080534</c:v>
                </c:pt>
                <c:pt idx="4">
                  <c:v>0.35019264315809107</c:v>
                </c:pt>
                <c:pt idx="5">
                  <c:v>0.31962067261904487</c:v>
                </c:pt>
                <c:pt idx="6">
                  <c:v>0.6373106018054876</c:v>
                </c:pt>
                <c:pt idx="7">
                  <c:v>0.46810625912218568</c:v>
                </c:pt>
                <c:pt idx="8">
                  <c:v>4.2965859968044848E-2</c:v>
                </c:pt>
                <c:pt idx="9">
                  <c:v>0.14515986502334785</c:v>
                </c:pt>
                <c:pt idx="10">
                  <c:v>0.69079323816859484</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E2B6-44D6-B8C0-174F84584695}"/>
            </c:ext>
          </c:extLst>
        </c:ser>
        <c:dLbls>
          <c:showLegendKey val="0"/>
          <c:showVal val="0"/>
          <c:showCatName val="0"/>
          <c:showSerName val="0"/>
          <c:showPercent val="0"/>
          <c:showBubbleSize val="0"/>
        </c:dLbls>
        <c:gapWidth val="150"/>
        <c:axId val="2034881239"/>
        <c:axId val="637194274"/>
      </c:barChart>
      <c:catAx>
        <c:axId val="2034881239"/>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fr-FR"/>
          </a:p>
        </c:txPr>
        <c:crossAx val="637194274"/>
        <c:crosses val="autoZero"/>
        <c:auto val="1"/>
        <c:lblAlgn val="ctr"/>
        <c:lblOffset val="100"/>
        <c:noMultiLvlLbl val="1"/>
      </c:catAx>
      <c:valAx>
        <c:axId val="637194274"/>
        <c:scaling>
          <c:orientation val="minMax"/>
        </c:scaling>
        <c:delete val="0"/>
        <c:axPos val="l"/>
        <c:majorGridlines>
          <c:spPr>
            <a:ln>
              <a:solidFill>
                <a:srgbClr val="B7B7B7"/>
              </a:solidFill>
            </a:ln>
          </c:spPr>
        </c:majorGridlines>
        <c:title>
          <c:tx>
            <c:rich>
              <a:bodyPr/>
              <a:lstStyle/>
              <a:p>
                <a:pPr lvl="0">
                  <a:defRPr sz="1000" b="0" i="0">
                    <a:solidFill>
                      <a:srgbClr val="000000"/>
                    </a:solidFill>
                    <a:latin typeface="+mn-lt"/>
                  </a:defRPr>
                </a:pPr>
                <a:r>
                  <a:rPr lang="en-GB" sz="1000" b="0" i="0">
                    <a:solidFill>
                      <a:srgbClr val="000000"/>
                    </a:solidFill>
                    <a:latin typeface="+mn-lt"/>
                  </a:rPr>
                  <a:t>kgCO2/kWh</a:t>
                </a:r>
              </a:p>
            </c:rich>
          </c:tx>
          <c:overlay val="0"/>
        </c:title>
        <c:numFmt formatCode="_-* #\ ##0.000_-;\-* #\ ##0.000_-;_-* &quot;-&quot;??_-;_-@_-" sourceLinked="1"/>
        <c:majorTickMark val="none"/>
        <c:minorTickMark val="none"/>
        <c:tickLblPos val="nextTo"/>
        <c:spPr>
          <a:ln/>
        </c:spPr>
        <c:txPr>
          <a:bodyPr/>
          <a:lstStyle/>
          <a:p>
            <a:pPr lvl="0">
              <a:defRPr sz="900" b="0" i="0">
                <a:solidFill>
                  <a:srgbClr val="000000"/>
                </a:solidFill>
                <a:latin typeface="+mn-lt"/>
              </a:defRPr>
            </a:pPr>
            <a:endParaRPr lang="fr-FR"/>
          </a:p>
        </c:txPr>
        <c:crossAx val="2034881239"/>
        <c:crosses val="autoZero"/>
        <c:crossBetween val="between"/>
      </c:valAx>
    </c:plotArea>
    <c:plotVisOnly val="1"/>
    <c:dispBlanksAs val="zero"/>
    <c:showDLblsOverMax val="1"/>
  </c:chart>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c:style val="2"/>
  <c:chart>
    <c:title>
      <c:tx>
        <c:rich>
          <a:bodyPr/>
          <a:lstStyle/>
          <a:p>
            <a:pPr lvl="0">
              <a:defRPr sz="1400" b="0" i="0">
                <a:solidFill>
                  <a:srgbClr val="757575"/>
                </a:solidFill>
                <a:latin typeface="+mn-lt"/>
              </a:defRPr>
            </a:pPr>
            <a:r>
              <a:rPr lang="en-GB" sz="1400" b="0" i="0">
                <a:solidFill>
                  <a:srgbClr val="757575"/>
                </a:solidFill>
                <a:latin typeface="+mn-lt"/>
              </a:rPr>
              <a:t>Grid Electricity price for each country of the program</a:t>
            </a:r>
          </a:p>
        </c:rich>
      </c:tx>
      <c:overlay val="0"/>
    </c:title>
    <c:autoTitleDeleted val="0"/>
    <c:plotArea>
      <c:layout/>
      <c:barChart>
        <c:barDir val="col"/>
        <c:grouping val="clustered"/>
        <c:varyColors val="1"/>
        <c:ser>
          <c:idx val="0"/>
          <c:order val="0"/>
          <c:tx>
            <c:v>Residential electricity</c:v>
          </c:tx>
          <c:spPr>
            <a:solidFill>
              <a:srgbClr val="4F81BD"/>
            </a:solidFill>
            <a:ln cmpd="sng">
              <a:solidFill>
                <a:srgbClr val="000000"/>
              </a:solidFill>
            </a:ln>
          </c:spPr>
          <c:invertIfNegative val="1"/>
          <c:cat>
            <c:strRef>
              <c:f>'Input_Energy Context'!$B$3:$L$3</c:f>
              <c:strCache>
                <c:ptCount val="11"/>
                <c:pt idx="0">
                  <c:v>Djibouti</c:v>
                </c:pt>
                <c:pt idx="1">
                  <c:v>Morocco</c:v>
                </c:pt>
                <c:pt idx="2">
                  <c:v>Nigeria</c:v>
                </c:pt>
                <c:pt idx="3">
                  <c:v>Tunisia</c:v>
                </c:pt>
                <c:pt idx="4">
                  <c:v>Argentina</c:v>
                </c:pt>
                <c:pt idx="5">
                  <c:v>Mexico</c:v>
                </c:pt>
                <c:pt idx="6">
                  <c:v>Indonesia</c:v>
                </c:pt>
                <c:pt idx="7">
                  <c:v>Sri Lanka</c:v>
                </c:pt>
                <c:pt idx="8">
                  <c:v>Albania</c:v>
                </c:pt>
                <c:pt idx="9">
                  <c:v>Costa Rica</c:v>
                </c:pt>
                <c:pt idx="10">
                  <c:v>North Macedonia</c:v>
                </c:pt>
              </c:strCache>
            </c:strRef>
          </c:cat>
          <c:val>
            <c:numRef>
              <c:f>'Input_Energy Context'!$B$4:$L$4</c:f>
              <c:numCache>
                <c:formatCode>_-* #\ ##0.000_-;\-* #\ ##0.000_-;_-* "-"??_-;_-@_-</c:formatCode>
                <c:ptCount val="11"/>
                <c:pt idx="0">
                  <c:v>0.35</c:v>
                </c:pt>
                <c:pt idx="1">
                  <c:v>0.13</c:v>
                </c:pt>
                <c:pt idx="2">
                  <c:v>6.0999999999999999E-2</c:v>
                </c:pt>
                <c:pt idx="3">
                  <c:v>0.11</c:v>
                </c:pt>
                <c:pt idx="4">
                  <c:v>8.2000000000000003E-2</c:v>
                </c:pt>
                <c:pt idx="5">
                  <c:v>6.3E-2</c:v>
                </c:pt>
                <c:pt idx="6">
                  <c:v>0.32</c:v>
                </c:pt>
                <c:pt idx="7">
                  <c:v>0.14000000000000001</c:v>
                </c:pt>
                <c:pt idx="8">
                  <c:v>0.16</c:v>
                </c:pt>
                <c:pt idx="9">
                  <c:v>0.13</c:v>
                </c:pt>
                <c:pt idx="10">
                  <c:v>0.1</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F5B4-4F8B-BF63-8004EF64A47E}"/>
            </c:ext>
          </c:extLst>
        </c:ser>
        <c:ser>
          <c:idx val="1"/>
          <c:order val="1"/>
          <c:tx>
            <c:v>Non-residential electricity</c:v>
          </c:tx>
          <c:spPr>
            <a:solidFill>
              <a:srgbClr val="C0504D"/>
            </a:solidFill>
            <a:ln cmpd="sng">
              <a:solidFill>
                <a:srgbClr val="000000"/>
              </a:solidFill>
            </a:ln>
          </c:spPr>
          <c:invertIfNegative val="1"/>
          <c:cat>
            <c:strRef>
              <c:f>'Input_Energy Context'!$B$3:$L$3</c:f>
              <c:strCache>
                <c:ptCount val="11"/>
                <c:pt idx="0">
                  <c:v>Djibouti</c:v>
                </c:pt>
                <c:pt idx="1">
                  <c:v>Morocco</c:v>
                </c:pt>
                <c:pt idx="2">
                  <c:v>Nigeria</c:v>
                </c:pt>
                <c:pt idx="3">
                  <c:v>Tunisia</c:v>
                </c:pt>
                <c:pt idx="4">
                  <c:v>Argentina</c:v>
                </c:pt>
                <c:pt idx="5">
                  <c:v>Mexico</c:v>
                </c:pt>
                <c:pt idx="6">
                  <c:v>Indonesia</c:v>
                </c:pt>
                <c:pt idx="7">
                  <c:v>Sri Lanka</c:v>
                </c:pt>
                <c:pt idx="8">
                  <c:v>Albania</c:v>
                </c:pt>
                <c:pt idx="9">
                  <c:v>Costa Rica</c:v>
                </c:pt>
                <c:pt idx="10">
                  <c:v>North Macedonia</c:v>
                </c:pt>
              </c:strCache>
            </c:strRef>
          </c:cat>
          <c:val>
            <c:numRef>
              <c:f>'Input_Energy Context'!$B$5:$L$5</c:f>
              <c:numCache>
                <c:formatCode>_-* #\ ##0.000_-;\-* #\ ##0.000_-;_-* "-"??_-;_-@_-</c:formatCode>
                <c:ptCount val="11"/>
                <c:pt idx="0">
                  <c:v>0.35</c:v>
                </c:pt>
                <c:pt idx="1">
                  <c:v>0.13</c:v>
                </c:pt>
                <c:pt idx="2">
                  <c:v>0.11978999999999999</c:v>
                </c:pt>
                <c:pt idx="3">
                  <c:v>0.11</c:v>
                </c:pt>
                <c:pt idx="4">
                  <c:v>5.5E-2</c:v>
                </c:pt>
                <c:pt idx="5">
                  <c:v>0.13</c:v>
                </c:pt>
                <c:pt idx="6">
                  <c:v>0.32</c:v>
                </c:pt>
                <c:pt idx="7">
                  <c:v>0.14000000000000001</c:v>
                </c:pt>
                <c:pt idx="8">
                  <c:v>0.1</c:v>
                </c:pt>
                <c:pt idx="9">
                  <c:v>0.13</c:v>
                </c:pt>
                <c:pt idx="10">
                  <c:v>0.1</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1-F5B4-4F8B-BF63-8004EF64A47E}"/>
            </c:ext>
          </c:extLst>
        </c:ser>
        <c:dLbls>
          <c:showLegendKey val="0"/>
          <c:showVal val="0"/>
          <c:showCatName val="0"/>
          <c:showSerName val="0"/>
          <c:showPercent val="0"/>
          <c:showBubbleSize val="0"/>
        </c:dLbls>
        <c:gapWidth val="150"/>
        <c:axId val="446067119"/>
        <c:axId val="396876065"/>
      </c:barChart>
      <c:catAx>
        <c:axId val="446067119"/>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fr-FR"/>
          </a:p>
        </c:txPr>
        <c:crossAx val="396876065"/>
        <c:crosses val="autoZero"/>
        <c:auto val="1"/>
        <c:lblAlgn val="ctr"/>
        <c:lblOffset val="100"/>
        <c:noMultiLvlLbl val="1"/>
      </c:catAx>
      <c:valAx>
        <c:axId val="396876065"/>
        <c:scaling>
          <c:orientation val="minMax"/>
        </c:scaling>
        <c:delete val="0"/>
        <c:axPos val="l"/>
        <c:majorGridlines>
          <c:spPr>
            <a:ln>
              <a:solidFill>
                <a:srgbClr val="B7B7B7"/>
              </a:solidFill>
            </a:ln>
          </c:spPr>
        </c:majorGridlines>
        <c:title>
          <c:tx>
            <c:rich>
              <a:bodyPr/>
              <a:lstStyle/>
              <a:p>
                <a:pPr lvl="0">
                  <a:defRPr sz="1000" b="0" i="0">
                    <a:solidFill>
                      <a:srgbClr val="000000"/>
                    </a:solidFill>
                    <a:latin typeface="+mn-lt"/>
                  </a:defRPr>
                </a:pPr>
                <a:r>
                  <a:rPr lang="en-GB" sz="1000" b="0" i="0">
                    <a:solidFill>
                      <a:srgbClr val="000000"/>
                    </a:solidFill>
                    <a:latin typeface="+mn-lt"/>
                  </a:rPr>
                  <a:t>€/kWh</a:t>
                </a:r>
              </a:p>
            </c:rich>
          </c:tx>
          <c:overlay val="0"/>
        </c:title>
        <c:numFmt formatCode="_-* #\ ##0.000_-;\-* #\ ##0.000_-;_-* &quot;-&quot;??_-;_-@_-" sourceLinked="1"/>
        <c:majorTickMark val="none"/>
        <c:minorTickMark val="none"/>
        <c:tickLblPos val="nextTo"/>
        <c:spPr>
          <a:ln/>
        </c:spPr>
        <c:txPr>
          <a:bodyPr/>
          <a:lstStyle/>
          <a:p>
            <a:pPr lvl="0">
              <a:defRPr sz="900" b="0" i="0">
                <a:solidFill>
                  <a:srgbClr val="000000"/>
                </a:solidFill>
                <a:latin typeface="+mn-lt"/>
              </a:defRPr>
            </a:pPr>
            <a:endParaRPr lang="fr-FR"/>
          </a:p>
        </c:txPr>
        <c:crossAx val="446067119"/>
        <c:crosses val="autoZero"/>
        <c:crossBetween val="between"/>
      </c:valAx>
    </c:plotArea>
    <c:legend>
      <c:legendPos val="b"/>
      <c:overlay val="0"/>
      <c:txPr>
        <a:bodyPr/>
        <a:lstStyle/>
        <a:p>
          <a:pPr lvl="0">
            <a:defRPr sz="900" b="0" i="0">
              <a:solidFill>
                <a:srgbClr val="1A1A1A"/>
              </a:solidFill>
              <a:latin typeface="+mn-lt"/>
            </a:defRPr>
          </a:pPr>
          <a:endParaRPr lang="fr-FR"/>
        </a:p>
      </c:txPr>
    </c:legend>
    <c:plotVisOnly val="1"/>
    <c:dispBlanksAs val="zero"/>
    <c:showDLblsOverMax val="1"/>
  </c:chart>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1"/>
  <c:style val="2"/>
  <c:chart>
    <c:title>
      <c:tx>
        <c:rich>
          <a:bodyPr/>
          <a:lstStyle/>
          <a:p>
            <a:pPr lvl="0">
              <a:defRPr sz="1400" b="0" i="0">
                <a:solidFill>
                  <a:srgbClr val="757575"/>
                </a:solidFill>
                <a:latin typeface="+mn-lt"/>
              </a:defRPr>
            </a:pPr>
            <a:r>
              <a:rPr lang="en-GB" sz="1400" b="0" i="0">
                <a:solidFill>
                  <a:srgbClr val="757575"/>
                </a:solidFill>
                <a:latin typeface="+mn-lt"/>
              </a:rPr>
              <a:t>Average energy savings for each climate zone - package 40%</a:t>
            </a:r>
          </a:p>
        </c:rich>
      </c:tx>
      <c:overlay val="0"/>
    </c:title>
    <c:autoTitleDeleted val="0"/>
    <c:plotArea>
      <c:layout/>
      <c:barChart>
        <c:barDir val="col"/>
        <c:grouping val="clustered"/>
        <c:varyColors val="1"/>
        <c:ser>
          <c:idx val="0"/>
          <c:order val="0"/>
          <c:spPr>
            <a:solidFill>
              <a:srgbClr val="4F81BD"/>
            </a:solidFill>
            <a:ln cmpd="sng">
              <a:solidFill>
                <a:srgbClr val="000000"/>
              </a:solidFill>
            </a:ln>
          </c:spPr>
          <c:invertIfNegative val="1"/>
          <c:cat>
            <c:strRef>
              <c:f>'Input_EDGE energy savings'!$A$32:$A$37</c:f>
              <c:strCache>
                <c:ptCount val="6"/>
                <c:pt idx="0">
                  <c:v>Tropical</c:v>
                </c:pt>
                <c:pt idx="1">
                  <c:v>Equatorial</c:v>
                </c:pt>
                <c:pt idx="2">
                  <c:v>arid</c:v>
                </c:pt>
                <c:pt idx="3">
                  <c:v>subtropipcal humid</c:v>
                </c:pt>
                <c:pt idx="4">
                  <c:v>mediterrannean</c:v>
                </c:pt>
                <c:pt idx="5">
                  <c:v>Semi-continental</c:v>
                </c:pt>
              </c:strCache>
            </c:strRef>
          </c:cat>
          <c:val>
            <c:numRef>
              <c:f>'Input_EDGE energy savings'!$B$32:$B$37</c:f>
              <c:numCache>
                <c:formatCode>0.0</c:formatCode>
                <c:ptCount val="6"/>
                <c:pt idx="0">
                  <c:v>73.033333333333331</c:v>
                </c:pt>
                <c:pt idx="1">
                  <c:v>65.857142857142861</c:v>
                </c:pt>
                <c:pt idx="2">
                  <c:v>71.349999999999994</c:v>
                </c:pt>
                <c:pt idx="3">
                  <c:v>69.857142857142861</c:v>
                </c:pt>
                <c:pt idx="4">
                  <c:v>65.25</c:v>
                </c:pt>
                <c:pt idx="5">
                  <c:v>82.428571428571431</c:v>
                </c:pt>
              </c:numCache>
            </c:numRef>
          </c:val>
          <c:extLst>
            <c:ext xmlns:c14="http://schemas.microsoft.com/office/drawing/2007/8/2/chart" uri="{6F2FDCE9-48DA-4B69-8628-5D25D57E5C99}">
              <c14:invertSolidFillFmt>
                <c14:spPr xmlns:c14="http://schemas.microsoft.com/office/drawing/2007/8/2/chart">
                  <a:solidFill>
                    <a:srgbClr val="FFFFFF"/>
                  </a:solidFill>
                  <a:ln cmpd="sng">
                    <a:solidFill>
                      <a:srgbClr val="000000"/>
                    </a:solidFill>
                  </a:ln>
                </c14:spPr>
              </c14:invertSolidFillFmt>
            </c:ext>
            <c:ext xmlns:c16="http://schemas.microsoft.com/office/drawing/2014/chart" uri="{C3380CC4-5D6E-409C-BE32-E72D297353CC}">
              <c16:uniqueId val="{00000000-1467-4E2A-8C1B-3C468E731F54}"/>
            </c:ext>
          </c:extLst>
        </c:ser>
        <c:dLbls>
          <c:showLegendKey val="0"/>
          <c:showVal val="0"/>
          <c:showCatName val="0"/>
          <c:showSerName val="0"/>
          <c:showPercent val="0"/>
          <c:showBubbleSize val="0"/>
        </c:dLbls>
        <c:gapWidth val="150"/>
        <c:axId val="488345568"/>
        <c:axId val="813976958"/>
      </c:barChart>
      <c:catAx>
        <c:axId val="488345568"/>
        <c:scaling>
          <c:orientation val="minMax"/>
        </c:scaling>
        <c:delete val="0"/>
        <c:axPos val="b"/>
        <c:title>
          <c:tx>
            <c:rich>
              <a:bodyPr/>
              <a:lstStyle/>
              <a:p>
                <a:pPr lvl="0">
                  <a:defRPr b="0">
                    <a:solidFill>
                      <a:srgbClr val="000000"/>
                    </a:solidFill>
                    <a:latin typeface="+mn-lt"/>
                  </a:defRPr>
                </a:pPr>
                <a:endParaRPr lang="en-GB"/>
              </a:p>
            </c:rich>
          </c:tx>
          <c:overlay val="0"/>
        </c:title>
        <c:numFmt formatCode="General" sourceLinked="1"/>
        <c:majorTickMark val="none"/>
        <c:minorTickMark val="none"/>
        <c:tickLblPos val="nextTo"/>
        <c:txPr>
          <a:bodyPr/>
          <a:lstStyle/>
          <a:p>
            <a:pPr lvl="0">
              <a:defRPr sz="900" b="0" i="0">
                <a:solidFill>
                  <a:srgbClr val="000000"/>
                </a:solidFill>
                <a:latin typeface="+mn-lt"/>
              </a:defRPr>
            </a:pPr>
            <a:endParaRPr lang="fr-FR"/>
          </a:p>
        </c:txPr>
        <c:crossAx val="813976958"/>
        <c:crosses val="autoZero"/>
        <c:auto val="1"/>
        <c:lblAlgn val="ctr"/>
        <c:lblOffset val="100"/>
        <c:noMultiLvlLbl val="1"/>
      </c:catAx>
      <c:valAx>
        <c:axId val="813976958"/>
        <c:scaling>
          <c:orientation val="minMax"/>
        </c:scaling>
        <c:delete val="0"/>
        <c:axPos val="l"/>
        <c:majorGridlines>
          <c:spPr>
            <a:ln>
              <a:solidFill>
                <a:srgbClr val="B7B7B7"/>
              </a:solidFill>
            </a:ln>
          </c:spPr>
        </c:majorGridlines>
        <c:title>
          <c:tx>
            <c:rich>
              <a:bodyPr/>
              <a:lstStyle/>
              <a:p>
                <a:pPr lvl="0">
                  <a:defRPr sz="1000" b="0" i="0">
                    <a:solidFill>
                      <a:srgbClr val="000000"/>
                    </a:solidFill>
                    <a:latin typeface="+mn-lt"/>
                  </a:defRPr>
                </a:pPr>
                <a:r>
                  <a:rPr lang="en-GB" sz="1000" b="0" i="0">
                    <a:solidFill>
                      <a:srgbClr val="000000"/>
                    </a:solidFill>
                    <a:latin typeface="+mn-lt"/>
                  </a:rPr>
                  <a:t>kWh/m²/year</a:t>
                </a:r>
              </a:p>
            </c:rich>
          </c:tx>
          <c:overlay val="0"/>
        </c:title>
        <c:numFmt formatCode="0.0" sourceLinked="1"/>
        <c:majorTickMark val="none"/>
        <c:minorTickMark val="none"/>
        <c:tickLblPos val="nextTo"/>
        <c:spPr>
          <a:ln/>
        </c:spPr>
        <c:txPr>
          <a:bodyPr/>
          <a:lstStyle/>
          <a:p>
            <a:pPr lvl="0">
              <a:defRPr sz="900" b="0" i="0">
                <a:solidFill>
                  <a:srgbClr val="000000"/>
                </a:solidFill>
                <a:latin typeface="+mn-lt"/>
              </a:defRPr>
            </a:pPr>
            <a:endParaRPr lang="fr-FR"/>
          </a:p>
        </c:txPr>
        <c:crossAx val="488345568"/>
        <c:crosses val="autoZero"/>
        <c:crossBetween val="between"/>
      </c:valAx>
    </c:plotArea>
    <c:plotVisOnly val="1"/>
    <c:dispBlanksAs val="zero"/>
    <c:showDLblsOverMax val="1"/>
  </c:chart>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9">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cs:styleClr val="auto"/>
    </cs:fontRef>
    <cs:defRPr sz="1000" b="1" i="0" u="none" strike="noStrike" kern="1200" spc="0" baseline="0"/>
  </cs:dataLabel>
  <cs:dataLabelCallout>
    <cs:lnRef idx="0">
      <cs:styleClr val="auto"/>
    </cs:lnRef>
    <cs:fillRef idx="0"/>
    <cs:effectRef idx="0"/>
    <cs:fontRef idx="minor">
      <cs:styleClr val="auto"/>
    </cs:fontRef>
    <cs:spPr>
      <a:solidFill>
        <a:schemeClr val="lt1"/>
      </a:solidFill>
      <a:ln>
        <a:solidFill>
          <a:schemeClr val="phClr"/>
        </a:solidFill>
      </a:ln>
    </cs:spPr>
    <cs:defRPr sz="1000" b="1"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635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88900" sx="102000" sy="102000" algn="ctr" rotWithShape="0">
          <a:prstClr val="black">
            <a:alpha val="10000"/>
          </a:prstClr>
        </a:outerShdw>
      </a:effectLst>
      <a:scene3d>
        <a:camera prst="orthographicFront"/>
        <a:lightRig rig="threePt" dir="t"/>
      </a:scene3d>
      <a:sp3d>
        <a:bevelT w="127000" h="127000"/>
        <a:bevelB w="127000" h="127000"/>
      </a:sp3d>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cap="all"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5.png"/></Relationships>
</file>

<file path=xl/drawings/_rels/drawing14.xml.rels><?xml version="1.0" encoding="UTF-8" standalone="yes"?>
<Relationships xmlns="http://schemas.openxmlformats.org/package/2006/relationships"><Relationship Id="rId1" Type="http://schemas.openxmlformats.org/officeDocument/2006/relationships/image" Target="../media/image3.png"/></Relationships>
</file>

<file path=xl/drawings/_rels/drawing15.xml.rels><?xml version="1.0" encoding="UTF-8" standalone="yes"?>
<Relationships xmlns="http://schemas.openxmlformats.org/package/2006/relationships"><Relationship Id="rId1" Type="http://schemas.openxmlformats.org/officeDocument/2006/relationships/image" Target="../media/image4.png"/></Relationships>
</file>

<file path=xl/drawings/_rels/drawing16.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7.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s>
</file>

<file path=xl/drawings/_rels/drawing18.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_rels/drawing19.xml.rels><?xml version="1.0" encoding="UTF-8" standalone="yes"?>
<Relationships xmlns="http://schemas.openxmlformats.org/package/2006/relationships"><Relationship Id="rId2" Type="http://schemas.openxmlformats.org/officeDocument/2006/relationships/chart" Target="../charts/chart8.xml"/><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20.xml.rels><?xml version="1.0" encoding="UTF-8" standalone="yes"?>
<Relationships xmlns="http://schemas.openxmlformats.org/package/2006/relationships"><Relationship Id="rId3" Type="http://schemas.openxmlformats.org/officeDocument/2006/relationships/chart" Target="../charts/chart11.xml"/><Relationship Id="rId2" Type="http://schemas.openxmlformats.org/officeDocument/2006/relationships/chart" Target="../charts/chart10.xml"/><Relationship Id="rId1" Type="http://schemas.openxmlformats.org/officeDocument/2006/relationships/chart" Target="../charts/chart9.xml"/><Relationship Id="rId4" Type="http://schemas.openxmlformats.org/officeDocument/2006/relationships/chart" Target="../charts/chart12.xml"/></Relationships>
</file>

<file path=xl/drawings/_rels/drawing21.xml.rels><?xml version="1.0" encoding="UTF-8" standalone="yes"?>
<Relationships xmlns="http://schemas.openxmlformats.org/package/2006/relationships"><Relationship Id="rId8" Type="http://schemas.openxmlformats.org/officeDocument/2006/relationships/chart" Target="../charts/chart20.xml"/><Relationship Id="rId3" Type="http://schemas.openxmlformats.org/officeDocument/2006/relationships/chart" Target="../charts/chart15.xml"/><Relationship Id="rId7" Type="http://schemas.openxmlformats.org/officeDocument/2006/relationships/chart" Target="../charts/chart19.xml"/><Relationship Id="rId2" Type="http://schemas.openxmlformats.org/officeDocument/2006/relationships/chart" Target="../charts/chart14.xml"/><Relationship Id="rId1" Type="http://schemas.openxmlformats.org/officeDocument/2006/relationships/chart" Target="../charts/chart13.xml"/><Relationship Id="rId6" Type="http://schemas.openxmlformats.org/officeDocument/2006/relationships/chart" Target="../charts/chart18.xml"/><Relationship Id="rId5" Type="http://schemas.openxmlformats.org/officeDocument/2006/relationships/chart" Target="../charts/chart17.xml"/><Relationship Id="rId4" Type="http://schemas.openxmlformats.org/officeDocument/2006/relationships/chart" Target="../charts/chart16.xml"/></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2.png"/></Relationships>
</file>

<file path=xl/drawings/_rels/drawing7.xml.rels><?xml version="1.0" encoding="UTF-8" standalone="yes"?>
<Relationships xmlns="http://schemas.openxmlformats.org/package/2006/relationships"><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2.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2</xdr:col>
      <xdr:colOff>304800</xdr:colOff>
      <xdr:row>2</xdr:row>
      <xdr:rowOff>47625</xdr:rowOff>
    </xdr:from>
    <xdr:ext cx="5038725" cy="1285875"/>
    <xdr:pic>
      <xdr:nvPicPr>
        <xdr:cNvPr id="2" name="image5.png">
          <a:extLst>
            <a:ext uri="{FF2B5EF4-FFF2-40B4-BE49-F238E27FC236}">
              <a16:creationId xmlns:a16="http://schemas.microsoft.com/office/drawing/2014/main" id="{00000000-0008-0000-0B00-000002000000}"/>
            </a:ext>
          </a:extLst>
        </xdr:cNvPr>
        <xdr:cNvPicPr preferRelativeResize="0"/>
      </xdr:nvPicPr>
      <xdr:blipFill>
        <a:blip xmlns:r="http://schemas.openxmlformats.org/officeDocument/2006/relationships" r:embed="rId1" cstate="print"/>
        <a:stretch>
          <a:fillRect/>
        </a:stretch>
      </xdr:blipFill>
      <xdr:spPr>
        <a:xfrm>
          <a:off x="5105400" y="428625"/>
          <a:ext cx="5038725" cy="1285875"/>
        </a:xfrm>
        <a:prstGeom prst="rect">
          <a:avLst/>
        </a:prstGeom>
        <a:noFill/>
      </xdr:spPr>
    </xdr:pic>
    <xdr:clientData fLocksWithSheet="0"/>
  </xdr:oneCellAnchor>
</xdr:wsDr>
</file>

<file path=xl/drawings/drawing10.xml><?xml version="1.0" encoding="utf-8"?>
<xdr:wsDr xmlns:xdr="http://schemas.openxmlformats.org/drawingml/2006/spreadsheetDrawing" xmlns:a="http://schemas.openxmlformats.org/drawingml/2006/main">
  <xdr:oneCellAnchor>
    <xdr:from>
      <xdr:col>2</xdr:col>
      <xdr:colOff>561975</xdr:colOff>
      <xdr:row>1</xdr:row>
      <xdr:rowOff>47625</xdr:rowOff>
    </xdr:from>
    <xdr:ext cx="5029200" cy="1276350"/>
    <xdr:pic>
      <xdr:nvPicPr>
        <xdr:cNvPr id="2" name="image5.png">
          <a:extLst>
            <a:ext uri="{FF2B5EF4-FFF2-40B4-BE49-F238E27FC236}">
              <a16:creationId xmlns:a16="http://schemas.microsoft.com/office/drawing/2014/main" id="{469E002C-A949-A548-BCC5-A74C22AEAEF3}"/>
            </a:ext>
          </a:extLst>
        </xdr:cNvPr>
        <xdr:cNvPicPr preferRelativeResize="0"/>
      </xdr:nvPicPr>
      <xdr:blipFill>
        <a:blip xmlns:r="http://schemas.openxmlformats.org/officeDocument/2006/relationships" r:embed="rId1" cstate="print"/>
        <a:stretch>
          <a:fillRect/>
        </a:stretch>
      </xdr:blipFill>
      <xdr:spPr>
        <a:xfrm>
          <a:off x="5000625" y="238125"/>
          <a:ext cx="5029200" cy="1276350"/>
        </a:xfrm>
        <a:prstGeom prst="rect">
          <a:avLst/>
        </a:prstGeom>
        <a:noFill/>
      </xdr:spPr>
    </xdr:pic>
    <xdr:clientData fLocksWithSheet="0"/>
  </xdr:oneCellAnchor>
</xdr:wsDr>
</file>

<file path=xl/drawings/drawing11.xml><?xml version="1.0" encoding="utf-8"?>
<xdr:wsDr xmlns:xdr="http://schemas.openxmlformats.org/drawingml/2006/spreadsheetDrawing" xmlns:a="http://schemas.openxmlformats.org/drawingml/2006/main">
  <xdr:oneCellAnchor>
    <xdr:from>
      <xdr:col>4</xdr:col>
      <xdr:colOff>66675</xdr:colOff>
      <xdr:row>0</xdr:row>
      <xdr:rowOff>0</xdr:rowOff>
    </xdr:from>
    <xdr:ext cx="5753100" cy="1866900"/>
    <xdr:pic>
      <xdr:nvPicPr>
        <xdr:cNvPr id="2" name="image2.png">
          <a:extLst>
            <a:ext uri="{FF2B5EF4-FFF2-40B4-BE49-F238E27FC236}">
              <a16:creationId xmlns:a16="http://schemas.microsoft.com/office/drawing/2014/main" id="{5B9A9758-A412-BC4B-BBED-70EC156EBA90}"/>
            </a:ext>
          </a:extLst>
        </xdr:cNvPr>
        <xdr:cNvPicPr preferRelativeResize="0"/>
      </xdr:nvPicPr>
      <xdr:blipFill>
        <a:blip xmlns:r="http://schemas.openxmlformats.org/officeDocument/2006/relationships" r:embed="rId1" cstate="print"/>
        <a:stretch>
          <a:fillRect/>
        </a:stretch>
      </xdr:blipFill>
      <xdr:spPr>
        <a:xfrm>
          <a:off x="7648575" y="0"/>
          <a:ext cx="5753100" cy="1866900"/>
        </a:xfrm>
        <a:prstGeom prst="rect">
          <a:avLst/>
        </a:prstGeom>
        <a:noFill/>
      </xdr:spPr>
    </xdr:pic>
    <xdr:clientData fLocksWithSheet="0"/>
  </xdr:oneCellAnchor>
</xdr:wsDr>
</file>

<file path=xl/drawings/drawing12.xml><?xml version="1.0" encoding="utf-8"?>
<xdr:wsDr xmlns:xdr="http://schemas.openxmlformats.org/drawingml/2006/spreadsheetDrawing" xmlns:a="http://schemas.openxmlformats.org/drawingml/2006/main">
  <xdr:oneCellAnchor>
    <xdr:from>
      <xdr:col>2</xdr:col>
      <xdr:colOff>514350</xdr:colOff>
      <xdr:row>1</xdr:row>
      <xdr:rowOff>114300</xdr:rowOff>
    </xdr:from>
    <xdr:ext cx="5029200" cy="1276350"/>
    <xdr:pic>
      <xdr:nvPicPr>
        <xdr:cNvPr id="2" name="image5.png">
          <a:extLst>
            <a:ext uri="{FF2B5EF4-FFF2-40B4-BE49-F238E27FC236}">
              <a16:creationId xmlns:a16="http://schemas.microsoft.com/office/drawing/2014/main" id="{553F2D0D-FF7F-F84F-A2C0-AE2BEB11F101}"/>
            </a:ext>
          </a:extLst>
        </xdr:cNvPr>
        <xdr:cNvPicPr preferRelativeResize="0"/>
      </xdr:nvPicPr>
      <xdr:blipFill>
        <a:blip xmlns:r="http://schemas.openxmlformats.org/officeDocument/2006/relationships" r:embed="rId1" cstate="print"/>
        <a:stretch>
          <a:fillRect/>
        </a:stretch>
      </xdr:blipFill>
      <xdr:spPr>
        <a:xfrm>
          <a:off x="4953000" y="304800"/>
          <a:ext cx="5029200" cy="1276350"/>
        </a:xfrm>
        <a:prstGeom prst="rect">
          <a:avLst/>
        </a:prstGeom>
        <a:noFill/>
      </xdr:spPr>
    </xdr:pic>
    <xdr:clientData fLocksWithSheet="0"/>
  </xdr:oneCellAnchor>
</xdr:wsDr>
</file>

<file path=xl/drawings/drawing13.xml><?xml version="1.0" encoding="utf-8"?>
<xdr:wsDr xmlns:xdr="http://schemas.openxmlformats.org/drawingml/2006/spreadsheetDrawing" xmlns:a="http://schemas.openxmlformats.org/drawingml/2006/main">
  <xdr:oneCellAnchor>
    <xdr:from>
      <xdr:col>4</xdr:col>
      <xdr:colOff>114300</xdr:colOff>
      <xdr:row>2</xdr:row>
      <xdr:rowOff>152400</xdr:rowOff>
    </xdr:from>
    <xdr:ext cx="5753100" cy="1657350"/>
    <xdr:pic>
      <xdr:nvPicPr>
        <xdr:cNvPr id="2" name="image6.png">
          <a:extLst>
            <a:ext uri="{FF2B5EF4-FFF2-40B4-BE49-F238E27FC236}">
              <a16:creationId xmlns:a16="http://schemas.microsoft.com/office/drawing/2014/main" id="{00000000-0008-0000-1900-000002000000}"/>
            </a:ext>
          </a:extLst>
        </xdr:cNvPr>
        <xdr:cNvPicPr preferRelativeResize="0"/>
      </xdr:nvPicPr>
      <xdr:blipFill>
        <a:blip xmlns:r="http://schemas.openxmlformats.org/officeDocument/2006/relationships" r:embed="rId1" cstate="print"/>
        <a:stretch>
          <a:fillRect/>
        </a:stretch>
      </xdr:blipFill>
      <xdr:spPr>
        <a:xfrm>
          <a:off x="7696200" y="504825"/>
          <a:ext cx="5753100" cy="1657350"/>
        </a:xfrm>
        <a:prstGeom prst="rect">
          <a:avLst/>
        </a:prstGeom>
        <a:noFill/>
      </xdr:spPr>
    </xdr:pic>
    <xdr:clientData fLocksWithSheet="0"/>
  </xdr:oneCellAnchor>
</xdr:wsDr>
</file>

<file path=xl/drawings/drawing14.xml><?xml version="1.0" encoding="utf-8"?>
<xdr:wsDr xmlns:xdr="http://schemas.openxmlformats.org/drawingml/2006/spreadsheetDrawing" xmlns:a="http://schemas.openxmlformats.org/drawingml/2006/main">
  <xdr:oneCellAnchor>
    <xdr:from>
      <xdr:col>2</xdr:col>
      <xdr:colOff>314325</xdr:colOff>
      <xdr:row>0</xdr:row>
      <xdr:rowOff>142875</xdr:rowOff>
    </xdr:from>
    <xdr:ext cx="5762625" cy="1323975"/>
    <xdr:pic>
      <xdr:nvPicPr>
        <xdr:cNvPr id="2" name="image3.png">
          <a:extLst>
            <a:ext uri="{FF2B5EF4-FFF2-40B4-BE49-F238E27FC236}">
              <a16:creationId xmlns:a16="http://schemas.microsoft.com/office/drawing/2014/main" id="{00000000-0008-0000-1A00-000002000000}"/>
            </a:ext>
          </a:extLst>
        </xdr:cNvPr>
        <xdr:cNvPicPr preferRelativeResize="0"/>
      </xdr:nvPicPr>
      <xdr:blipFill>
        <a:blip xmlns:r="http://schemas.openxmlformats.org/officeDocument/2006/relationships" r:embed="rId1" cstate="print"/>
        <a:stretch>
          <a:fillRect/>
        </a:stretch>
      </xdr:blipFill>
      <xdr:spPr>
        <a:xfrm>
          <a:off x="5356225" y="142875"/>
          <a:ext cx="5762625" cy="1323975"/>
        </a:xfrm>
        <a:prstGeom prst="rect">
          <a:avLst/>
        </a:prstGeom>
        <a:noFill/>
      </xdr:spPr>
    </xdr:pic>
    <xdr:clientData fLocksWithSheet="0"/>
  </xdr:oneCellAnchor>
</xdr:wsDr>
</file>

<file path=xl/drawings/drawing15.xml><?xml version="1.0" encoding="utf-8"?>
<xdr:wsDr xmlns:xdr="http://schemas.openxmlformats.org/drawingml/2006/spreadsheetDrawing" xmlns:a="http://schemas.openxmlformats.org/drawingml/2006/main">
  <xdr:oneCellAnchor>
    <xdr:from>
      <xdr:col>2</xdr:col>
      <xdr:colOff>323850</xdr:colOff>
      <xdr:row>2</xdr:row>
      <xdr:rowOff>95250</xdr:rowOff>
    </xdr:from>
    <xdr:ext cx="5629275" cy="1114425"/>
    <xdr:pic>
      <xdr:nvPicPr>
        <xdr:cNvPr id="2" name="image7.png">
          <a:extLst>
            <a:ext uri="{FF2B5EF4-FFF2-40B4-BE49-F238E27FC236}">
              <a16:creationId xmlns:a16="http://schemas.microsoft.com/office/drawing/2014/main" id="{DABF52F9-EDD6-0E41-A700-F058750B38B5}"/>
            </a:ext>
          </a:extLst>
        </xdr:cNvPr>
        <xdr:cNvPicPr preferRelativeResize="0"/>
      </xdr:nvPicPr>
      <xdr:blipFill>
        <a:blip xmlns:r="http://schemas.openxmlformats.org/officeDocument/2006/relationships" r:embed="rId1" cstate="print"/>
        <a:stretch>
          <a:fillRect/>
        </a:stretch>
      </xdr:blipFill>
      <xdr:spPr>
        <a:xfrm>
          <a:off x="4695825" y="476250"/>
          <a:ext cx="5629275" cy="1114425"/>
        </a:xfrm>
        <a:prstGeom prst="rect">
          <a:avLst/>
        </a:prstGeom>
        <a:noFill/>
      </xdr:spPr>
    </xdr:pic>
    <xdr:clientData fLocksWithSheet="0"/>
  </xdr:oneCellAnchor>
</xdr:wsDr>
</file>

<file path=xl/drawings/drawing16.xml><?xml version="1.0" encoding="utf-8"?>
<xdr:wsDr xmlns:xdr="http://schemas.openxmlformats.org/drawingml/2006/spreadsheetDrawing" xmlns:a="http://schemas.openxmlformats.org/drawingml/2006/main">
  <xdr:twoCellAnchor>
    <xdr:from>
      <xdr:col>6</xdr:col>
      <xdr:colOff>488956</xdr:colOff>
      <xdr:row>44</xdr:row>
      <xdr:rowOff>107950</xdr:rowOff>
    </xdr:from>
    <xdr:to>
      <xdr:col>15</xdr:col>
      <xdr:colOff>349250</xdr:colOff>
      <xdr:row>65</xdr:row>
      <xdr:rowOff>95250</xdr:rowOff>
    </xdr:to>
    <xdr:graphicFrame macro="">
      <xdr:nvGraphicFramePr>
        <xdr:cNvPr id="3" name="Graphique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xdr:oneCellAnchor>
    <xdr:from>
      <xdr:col>14</xdr:col>
      <xdr:colOff>511175</xdr:colOff>
      <xdr:row>2</xdr:row>
      <xdr:rowOff>276225</xdr:rowOff>
    </xdr:from>
    <xdr:ext cx="6804025" cy="3851275"/>
    <xdr:graphicFrame macro="">
      <xdr:nvGraphicFramePr>
        <xdr:cNvPr id="49202093" name="Chart 1">
          <a:extLst>
            <a:ext uri="{FF2B5EF4-FFF2-40B4-BE49-F238E27FC236}">
              <a16:creationId xmlns:a16="http://schemas.microsoft.com/office/drawing/2014/main" id="{00000000-0008-0000-0200-0000ADC3EE0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8</xdr:col>
      <xdr:colOff>619125</xdr:colOff>
      <xdr:row>35</xdr:row>
      <xdr:rowOff>571500</xdr:rowOff>
    </xdr:from>
    <xdr:ext cx="7639050" cy="4352925"/>
    <xdr:graphicFrame macro="">
      <xdr:nvGraphicFramePr>
        <xdr:cNvPr id="2044109587" name="Chart 2">
          <a:extLst>
            <a:ext uri="{FF2B5EF4-FFF2-40B4-BE49-F238E27FC236}">
              <a16:creationId xmlns:a16="http://schemas.microsoft.com/office/drawing/2014/main" id="{00000000-0008-0000-0200-000013A3D67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8</xdr:col>
      <xdr:colOff>619125</xdr:colOff>
      <xdr:row>45</xdr:row>
      <xdr:rowOff>476250</xdr:rowOff>
    </xdr:from>
    <xdr:ext cx="7600950" cy="3867150"/>
    <xdr:graphicFrame macro="">
      <xdr:nvGraphicFramePr>
        <xdr:cNvPr id="232947803" name="Chart 3">
          <a:extLst>
            <a:ext uri="{FF2B5EF4-FFF2-40B4-BE49-F238E27FC236}">
              <a16:creationId xmlns:a16="http://schemas.microsoft.com/office/drawing/2014/main" id="{00000000-0008-0000-0200-00005B80E20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wsDr>
</file>

<file path=xl/drawings/drawing18.xml><?xml version="1.0" encoding="utf-8"?>
<xdr:wsDr xmlns:xdr="http://schemas.openxmlformats.org/drawingml/2006/spreadsheetDrawing" xmlns:a="http://schemas.openxmlformats.org/drawingml/2006/main">
  <xdr:oneCellAnchor>
    <xdr:from>
      <xdr:col>15</xdr:col>
      <xdr:colOff>76200</xdr:colOff>
      <xdr:row>1</xdr:row>
      <xdr:rowOff>266700</xdr:rowOff>
    </xdr:from>
    <xdr:ext cx="6791325" cy="3810000"/>
    <xdr:graphicFrame macro="">
      <xdr:nvGraphicFramePr>
        <xdr:cNvPr id="589116607" name="Chart 18">
          <a:extLst>
            <a:ext uri="{FF2B5EF4-FFF2-40B4-BE49-F238E27FC236}">
              <a16:creationId xmlns:a16="http://schemas.microsoft.com/office/drawing/2014/main" id="{00000000-0008-0000-0700-0000BF341D2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14</xdr:col>
      <xdr:colOff>676275</xdr:colOff>
      <xdr:row>14</xdr:row>
      <xdr:rowOff>123825</xdr:rowOff>
    </xdr:from>
    <xdr:ext cx="7515225" cy="4238625"/>
    <xdr:graphicFrame macro="">
      <xdr:nvGraphicFramePr>
        <xdr:cNvPr id="1958561777" name="Chart 19">
          <a:extLst>
            <a:ext uri="{FF2B5EF4-FFF2-40B4-BE49-F238E27FC236}">
              <a16:creationId xmlns:a16="http://schemas.microsoft.com/office/drawing/2014/main" id="{00000000-0008-0000-0700-0000F147BD7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wsDr>
</file>

<file path=xl/drawings/drawing19.xml><?xml version="1.0" encoding="utf-8"?>
<xdr:wsDr xmlns:xdr="http://schemas.openxmlformats.org/drawingml/2006/spreadsheetDrawing" xmlns:a="http://schemas.openxmlformats.org/drawingml/2006/main">
  <xdr:oneCellAnchor>
    <xdr:from>
      <xdr:col>15</xdr:col>
      <xdr:colOff>266700</xdr:colOff>
      <xdr:row>8</xdr:row>
      <xdr:rowOff>66675</xdr:rowOff>
    </xdr:from>
    <xdr:ext cx="7258050" cy="4505325"/>
    <xdr:graphicFrame macro="">
      <xdr:nvGraphicFramePr>
        <xdr:cNvPr id="841819640" name="Chart 4">
          <a:extLst>
            <a:ext uri="{FF2B5EF4-FFF2-40B4-BE49-F238E27FC236}">
              <a16:creationId xmlns:a16="http://schemas.microsoft.com/office/drawing/2014/main" id="{00000000-0008-0000-0300-0000F8252D3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13</xdr:col>
      <xdr:colOff>590550</xdr:colOff>
      <xdr:row>2</xdr:row>
      <xdr:rowOff>171450</xdr:rowOff>
    </xdr:from>
    <xdr:ext cx="6800850" cy="3952875"/>
    <xdr:graphicFrame macro="">
      <xdr:nvGraphicFramePr>
        <xdr:cNvPr id="1291628803" name="Chart 5">
          <a:extLst>
            <a:ext uri="{FF2B5EF4-FFF2-40B4-BE49-F238E27FC236}">
              <a16:creationId xmlns:a16="http://schemas.microsoft.com/office/drawing/2014/main" id="{00000000-0008-0000-0300-000003B1FC4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457200</xdr:colOff>
      <xdr:row>0</xdr:row>
      <xdr:rowOff>0</xdr:rowOff>
    </xdr:from>
    <xdr:ext cx="5753100" cy="1866900"/>
    <xdr:pic>
      <xdr:nvPicPr>
        <xdr:cNvPr id="2" name="image2.png">
          <a:extLst>
            <a:ext uri="{FF2B5EF4-FFF2-40B4-BE49-F238E27FC236}">
              <a16:creationId xmlns:a16="http://schemas.microsoft.com/office/drawing/2014/main" id="{AABFFE59-265A-9C4C-A57A-2C25D8AF2E0A}"/>
            </a:ext>
          </a:extLst>
        </xdr:cNvPr>
        <xdr:cNvPicPr preferRelativeResize="0"/>
      </xdr:nvPicPr>
      <xdr:blipFill>
        <a:blip xmlns:r="http://schemas.openxmlformats.org/officeDocument/2006/relationships" r:embed="rId1" cstate="print"/>
        <a:stretch>
          <a:fillRect/>
        </a:stretch>
      </xdr:blipFill>
      <xdr:spPr>
        <a:xfrm>
          <a:off x="5000625" y="0"/>
          <a:ext cx="5753100" cy="1866900"/>
        </a:xfrm>
        <a:prstGeom prst="rect">
          <a:avLst/>
        </a:prstGeom>
        <a:noFill/>
      </xdr:spPr>
    </xdr:pic>
    <xdr:clientData fLocksWithSheet="0"/>
  </xdr:oneCellAnchor>
</xdr:wsDr>
</file>

<file path=xl/drawings/drawing20.xml><?xml version="1.0" encoding="utf-8"?>
<xdr:wsDr xmlns:xdr="http://schemas.openxmlformats.org/drawingml/2006/spreadsheetDrawing" xmlns:a="http://schemas.openxmlformats.org/drawingml/2006/main">
  <xdr:oneCellAnchor>
    <xdr:from>
      <xdr:col>26</xdr:col>
      <xdr:colOff>238125</xdr:colOff>
      <xdr:row>11</xdr:row>
      <xdr:rowOff>114300</xdr:rowOff>
    </xdr:from>
    <xdr:ext cx="7029450" cy="10925175"/>
    <xdr:graphicFrame macro="">
      <xdr:nvGraphicFramePr>
        <xdr:cNvPr id="1091807798" name="Chart 6">
          <a:extLst>
            <a:ext uri="{FF2B5EF4-FFF2-40B4-BE49-F238E27FC236}">
              <a16:creationId xmlns:a16="http://schemas.microsoft.com/office/drawing/2014/main" id="{00000000-0008-0000-0400-000036AA134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13</xdr:col>
      <xdr:colOff>161925</xdr:colOff>
      <xdr:row>66</xdr:row>
      <xdr:rowOff>104775</xdr:rowOff>
    </xdr:from>
    <xdr:ext cx="8172450" cy="6115050"/>
    <xdr:graphicFrame macro="">
      <xdr:nvGraphicFramePr>
        <xdr:cNvPr id="407119678" name="Chart 7">
          <a:extLst>
            <a:ext uri="{FF2B5EF4-FFF2-40B4-BE49-F238E27FC236}">
              <a16:creationId xmlns:a16="http://schemas.microsoft.com/office/drawing/2014/main" id="{00000000-0008-0000-0400-00003E27441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24</xdr:col>
      <xdr:colOff>638175</xdr:colOff>
      <xdr:row>66</xdr:row>
      <xdr:rowOff>85725</xdr:rowOff>
    </xdr:from>
    <xdr:ext cx="7248525" cy="6076950"/>
    <xdr:graphicFrame macro="">
      <xdr:nvGraphicFramePr>
        <xdr:cNvPr id="11340857" name="Chart 8">
          <a:extLst>
            <a:ext uri="{FF2B5EF4-FFF2-40B4-BE49-F238E27FC236}">
              <a16:creationId xmlns:a16="http://schemas.microsoft.com/office/drawing/2014/main" id="{00000000-0008-0000-0400-0000390CAD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oneCellAnchor>
    <xdr:from>
      <xdr:col>14</xdr:col>
      <xdr:colOff>495300</xdr:colOff>
      <xdr:row>11</xdr:row>
      <xdr:rowOff>161925</xdr:rowOff>
    </xdr:from>
    <xdr:ext cx="8277225" cy="10868025"/>
    <xdr:graphicFrame macro="">
      <xdr:nvGraphicFramePr>
        <xdr:cNvPr id="1957046115" name="Chart 9">
          <a:extLst>
            <a:ext uri="{FF2B5EF4-FFF2-40B4-BE49-F238E27FC236}">
              <a16:creationId xmlns:a16="http://schemas.microsoft.com/office/drawing/2014/main" id="{00000000-0008-0000-0400-00006327A67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fLocksWithSheet="0"/>
  </xdr:oneCellAnchor>
</xdr:wsDr>
</file>

<file path=xl/drawings/drawing21.xml><?xml version="1.0" encoding="utf-8"?>
<xdr:wsDr xmlns:xdr="http://schemas.openxmlformats.org/drawingml/2006/spreadsheetDrawing" xmlns:a="http://schemas.openxmlformats.org/drawingml/2006/main">
  <xdr:oneCellAnchor>
    <xdr:from>
      <xdr:col>21</xdr:col>
      <xdr:colOff>190500</xdr:colOff>
      <xdr:row>1</xdr:row>
      <xdr:rowOff>0</xdr:rowOff>
    </xdr:from>
    <xdr:ext cx="7991475" cy="4838700"/>
    <xdr:graphicFrame macro="">
      <xdr:nvGraphicFramePr>
        <xdr:cNvPr id="1175640512" name="Chart 10">
          <a:extLst>
            <a:ext uri="{FF2B5EF4-FFF2-40B4-BE49-F238E27FC236}">
              <a16:creationId xmlns:a16="http://schemas.microsoft.com/office/drawing/2014/main" id="{00000000-0008-0000-0600-0000C0D9124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16</xdr:col>
      <xdr:colOff>419100</xdr:colOff>
      <xdr:row>23</xdr:row>
      <xdr:rowOff>57150</xdr:rowOff>
    </xdr:from>
    <xdr:ext cx="7667625" cy="4581525"/>
    <xdr:graphicFrame macro="">
      <xdr:nvGraphicFramePr>
        <xdr:cNvPr id="956356897" name="Chart 11">
          <a:extLst>
            <a:ext uri="{FF2B5EF4-FFF2-40B4-BE49-F238E27FC236}">
              <a16:creationId xmlns:a16="http://schemas.microsoft.com/office/drawing/2014/main" id="{00000000-0008-0000-0600-000021D9003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27</xdr:col>
      <xdr:colOff>419100</xdr:colOff>
      <xdr:row>12</xdr:row>
      <xdr:rowOff>19050</xdr:rowOff>
    </xdr:from>
    <xdr:ext cx="7181850" cy="3648075"/>
    <xdr:graphicFrame macro="">
      <xdr:nvGraphicFramePr>
        <xdr:cNvPr id="229446770" name="Chart 12">
          <a:extLst>
            <a:ext uri="{FF2B5EF4-FFF2-40B4-BE49-F238E27FC236}">
              <a16:creationId xmlns:a16="http://schemas.microsoft.com/office/drawing/2014/main" id="{00000000-0008-0000-0600-00007214AD0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oneCellAnchor>
    <xdr:from>
      <xdr:col>27</xdr:col>
      <xdr:colOff>323850</xdr:colOff>
      <xdr:row>33</xdr:row>
      <xdr:rowOff>123825</xdr:rowOff>
    </xdr:from>
    <xdr:ext cx="7800975" cy="4086225"/>
    <xdr:graphicFrame macro="">
      <xdr:nvGraphicFramePr>
        <xdr:cNvPr id="1550379307" name="Chart 13">
          <a:extLst>
            <a:ext uri="{FF2B5EF4-FFF2-40B4-BE49-F238E27FC236}">
              <a16:creationId xmlns:a16="http://schemas.microsoft.com/office/drawing/2014/main" id="{00000000-0008-0000-0600-00002BE9685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fLocksWithSheet="0"/>
  </xdr:oneCellAnchor>
  <xdr:oneCellAnchor>
    <xdr:from>
      <xdr:col>13</xdr:col>
      <xdr:colOff>152400</xdr:colOff>
      <xdr:row>45</xdr:row>
      <xdr:rowOff>165100</xdr:rowOff>
    </xdr:from>
    <xdr:ext cx="6038850" cy="4733925"/>
    <xdr:graphicFrame macro="">
      <xdr:nvGraphicFramePr>
        <xdr:cNvPr id="1290140393" name="Chart 14">
          <a:extLst>
            <a:ext uri="{FF2B5EF4-FFF2-40B4-BE49-F238E27FC236}">
              <a16:creationId xmlns:a16="http://schemas.microsoft.com/office/drawing/2014/main" id="{00000000-0008-0000-0600-0000E9FAE54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fLocksWithSheet="0"/>
  </xdr:oneCellAnchor>
  <xdr:oneCellAnchor>
    <xdr:from>
      <xdr:col>26</xdr:col>
      <xdr:colOff>704850</xdr:colOff>
      <xdr:row>66</xdr:row>
      <xdr:rowOff>0</xdr:rowOff>
    </xdr:from>
    <xdr:ext cx="6743700" cy="5762625"/>
    <xdr:graphicFrame macro="">
      <xdr:nvGraphicFramePr>
        <xdr:cNvPr id="2073334954" name="Chart 15">
          <a:extLst>
            <a:ext uri="{FF2B5EF4-FFF2-40B4-BE49-F238E27FC236}">
              <a16:creationId xmlns:a16="http://schemas.microsoft.com/office/drawing/2014/main" id="{00000000-0008-0000-0600-0000AA94947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fLocksWithSheet="0"/>
  </xdr:oneCellAnchor>
  <xdr:oneCellAnchor>
    <xdr:from>
      <xdr:col>13</xdr:col>
      <xdr:colOff>254000</xdr:colOff>
      <xdr:row>85</xdr:row>
      <xdr:rowOff>450850</xdr:rowOff>
    </xdr:from>
    <xdr:ext cx="6743700" cy="5534025"/>
    <xdr:graphicFrame macro="">
      <xdr:nvGraphicFramePr>
        <xdr:cNvPr id="71065857" name="Chart 16">
          <a:extLst>
            <a:ext uri="{FF2B5EF4-FFF2-40B4-BE49-F238E27FC236}">
              <a16:creationId xmlns:a16="http://schemas.microsoft.com/office/drawing/2014/main" id="{00000000-0008-0000-0600-000001613C0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fLocksWithSheet="0"/>
  </xdr:oneCellAnchor>
  <xdr:oneCellAnchor>
    <xdr:from>
      <xdr:col>17</xdr:col>
      <xdr:colOff>742950</xdr:colOff>
      <xdr:row>107</xdr:row>
      <xdr:rowOff>876300</xdr:rowOff>
    </xdr:from>
    <xdr:ext cx="6353175" cy="5514975"/>
    <xdr:graphicFrame macro="">
      <xdr:nvGraphicFramePr>
        <xdr:cNvPr id="42429803" name="Chart 17">
          <a:extLst>
            <a:ext uri="{FF2B5EF4-FFF2-40B4-BE49-F238E27FC236}">
              <a16:creationId xmlns:a16="http://schemas.microsoft.com/office/drawing/2014/main" id="{00000000-0008-0000-0600-00006B6D870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fLocksWithSheet="0"/>
  </xdr:oneCellAnchor>
</xdr:wsDr>
</file>

<file path=xl/drawings/drawing3.xml><?xml version="1.0" encoding="utf-8"?>
<xdr:wsDr xmlns:xdr="http://schemas.openxmlformats.org/drawingml/2006/spreadsheetDrawing" xmlns:a="http://schemas.openxmlformats.org/drawingml/2006/main">
  <xdr:oneCellAnchor>
    <xdr:from>
      <xdr:col>2</xdr:col>
      <xdr:colOff>514350</xdr:colOff>
      <xdr:row>1</xdr:row>
      <xdr:rowOff>171450</xdr:rowOff>
    </xdr:from>
    <xdr:ext cx="5762625" cy="1323975"/>
    <xdr:pic>
      <xdr:nvPicPr>
        <xdr:cNvPr id="2" name="image3.png" title="Image">
          <a:extLst>
            <a:ext uri="{FF2B5EF4-FFF2-40B4-BE49-F238E27FC236}">
              <a16:creationId xmlns:a16="http://schemas.microsoft.com/office/drawing/2014/main" id="{0F3BD742-2FA3-0F4D-8273-0813C0200C8E}"/>
            </a:ext>
          </a:extLst>
        </xdr:cNvPr>
        <xdr:cNvPicPr preferRelativeResize="0"/>
      </xdr:nvPicPr>
      <xdr:blipFill>
        <a:blip xmlns:r="http://schemas.openxmlformats.org/officeDocument/2006/relationships" r:embed="rId1" cstate="print"/>
        <a:stretch>
          <a:fillRect/>
        </a:stretch>
      </xdr:blipFill>
      <xdr:spPr>
        <a:xfrm>
          <a:off x="4829175" y="361950"/>
          <a:ext cx="5762625" cy="1323975"/>
        </a:xfrm>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dr:oneCellAnchor>
    <xdr:from>
      <xdr:col>6</xdr:col>
      <xdr:colOff>57150</xdr:colOff>
      <xdr:row>3</xdr:row>
      <xdr:rowOff>142875</xdr:rowOff>
    </xdr:from>
    <xdr:ext cx="5762625" cy="1866900"/>
    <xdr:pic>
      <xdr:nvPicPr>
        <xdr:cNvPr id="2" name="image2.png">
          <a:extLst>
            <a:ext uri="{FF2B5EF4-FFF2-40B4-BE49-F238E27FC236}">
              <a16:creationId xmlns:a16="http://schemas.microsoft.com/office/drawing/2014/main" id="{00000000-0008-0000-0F00-000002000000}"/>
            </a:ext>
          </a:extLst>
        </xdr:cNvPr>
        <xdr:cNvPicPr preferRelativeResize="0"/>
      </xdr:nvPicPr>
      <xdr:blipFill>
        <a:blip xmlns:r="http://schemas.openxmlformats.org/officeDocument/2006/relationships" r:embed="rId1" cstate="print"/>
        <a:stretch>
          <a:fillRect/>
        </a:stretch>
      </xdr:blipFill>
      <xdr:spPr>
        <a:xfrm>
          <a:off x="7591425" y="714375"/>
          <a:ext cx="5762625" cy="1866900"/>
        </a:xfrm>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2</xdr:col>
      <xdr:colOff>828675</xdr:colOff>
      <xdr:row>1</xdr:row>
      <xdr:rowOff>114300</xdr:rowOff>
    </xdr:from>
    <xdr:ext cx="5629275" cy="1114425"/>
    <xdr:pic>
      <xdr:nvPicPr>
        <xdr:cNvPr id="3" name="image7.png">
          <a:extLst>
            <a:ext uri="{FF2B5EF4-FFF2-40B4-BE49-F238E27FC236}">
              <a16:creationId xmlns:a16="http://schemas.microsoft.com/office/drawing/2014/main" id="{A8B75822-B0CB-4B45-83E7-DDBBD52F98B3}"/>
            </a:ext>
          </a:extLst>
        </xdr:cNvPr>
        <xdr:cNvPicPr preferRelativeResize="0"/>
      </xdr:nvPicPr>
      <xdr:blipFill>
        <a:blip xmlns:r="http://schemas.openxmlformats.org/officeDocument/2006/relationships" r:embed="rId1" cstate="print"/>
        <a:stretch>
          <a:fillRect/>
        </a:stretch>
      </xdr:blipFill>
      <xdr:spPr>
        <a:xfrm>
          <a:off x="5895975" y="276225"/>
          <a:ext cx="5629275" cy="1114425"/>
        </a:xfrm>
        <a:prstGeom prst="rect">
          <a:avLst/>
        </a:prstGeom>
        <a:noFill/>
      </xdr:spPr>
    </xdr:pic>
    <xdr:clientData fLocksWithSheet="0"/>
  </xdr:oneCellAnchor>
</xdr:wsDr>
</file>

<file path=xl/drawings/drawing6.xml><?xml version="1.0" encoding="utf-8"?>
<xdr:wsDr xmlns:xdr="http://schemas.openxmlformats.org/drawingml/2006/spreadsheetDrawing" xmlns:a="http://schemas.openxmlformats.org/drawingml/2006/main">
  <xdr:oneCellAnchor>
    <xdr:from>
      <xdr:col>5</xdr:col>
      <xdr:colOff>38100</xdr:colOff>
      <xdr:row>1</xdr:row>
      <xdr:rowOff>47625</xdr:rowOff>
    </xdr:from>
    <xdr:ext cx="5753100" cy="1866900"/>
    <xdr:pic>
      <xdr:nvPicPr>
        <xdr:cNvPr id="2" name="image2.png">
          <a:extLst>
            <a:ext uri="{FF2B5EF4-FFF2-40B4-BE49-F238E27FC236}">
              <a16:creationId xmlns:a16="http://schemas.microsoft.com/office/drawing/2014/main" id="{00000000-0008-0000-1200-000002000000}"/>
            </a:ext>
          </a:extLst>
        </xdr:cNvPr>
        <xdr:cNvPicPr preferRelativeResize="0"/>
      </xdr:nvPicPr>
      <xdr:blipFill>
        <a:blip xmlns:r="http://schemas.openxmlformats.org/officeDocument/2006/relationships" r:embed="rId1" cstate="print"/>
        <a:stretch>
          <a:fillRect/>
        </a:stretch>
      </xdr:blipFill>
      <xdr:spPr>
        <a:xfrm>
          <a:off x="8334375" y="209550"/>
          <a:ext cx="5753100" cy="1866900"/>
        </a:xfrm>
        <a:prstGeom prst="rect">
          <a:avLst/>
        </a:prstGeom>
        <a:noFill/>
      </xdr:spPr>
    </xdr:pic>
    <xdr:clientData fLocksWithSheet="0"/>
  </xdr:oneCellAnchor>
</xdr:wsDr>
</file>

<file path=xl/drawings/drawing7.xml><?xml version="1.0" encoding="utf-8"?>
<xdr:wsDr xmlns:xdr="http://schemas.openxmlformats.org/drawingml/2006/spreadsheetDrawing" xmlns:a="http://schemas.openxmlformats.org/drawingml/2006/main">
  <xdr:oneCellAnchor>
    <xdr:from>
      <xdr:col>2</xdr:col>
      <xdr:colOff>638175</xdr:colOff>
      <xdr:row>0</xdr:row>
      <xdr:rowOff>66675</xdr:rowOff>
    </xdr:from>
    <xdr:ext cx="5762625" cy="1657350"/>
    <xdr:pic>
      <xdr:nvPicPr>
        <xdr:cNvPr id="2" name="image6.png">
          <a:extLst>
            <a:ext uri="{FF2B5EF4-FFF2-40B4-BE49-F238E27FC236}">
              <a16:creationId xmlns:a16="http://schemas.microsoft.com/office/drawing/2014/main" id="{00000000-0008-0000-1300-000002000000}"/>
            </a:ext>
          </a:extLst>
        </xdr:cNvPr>
        <xdr:cNvPicPr preferRelativeResize="0"/>
      </xdr:nvPicPr>
      <xdr:blipFill>
        <a:blip xmlns:r="http://schemas.openxmlformats.org/officeDocument/2006/relationships" r:embed="rId1" cstate="print"/>
        <a:stretch>
          <a:fillRect/>
        </a:stretch>
      </xdr:blipFill>
      <xdr:spPr>
        <a:xfrm>
          <a:off x="5238750" y="66675"/>
          <a:ext cx="5762625" cy="1657350"/>
        </a:xfrm>
        <a:prstGeom prst="rect">
          <a:avLst/>
        </a:prstGeom>
        <a:noFill/>
      </xdr:spPr>
    </xdr:pic>
    <xdr:clientData fLocksWithSheet="0"/>
  </xdr:oneCellAnchor>
</xdr:wsDr>
</file>

<file path=xl/drawings/drawing8.xml><?xml version="1.0" encoding="utf-8"?>
<xdr:wsDr xmlns:xdr="http://schemas.openxmlformats.org/drawingml/2006/spreadsheetDrawing" xmlns:a="http://schemas.openxmlformats.org/drawingml/2006/main">
  <xdr:oneCellAnchor>
    <xdr:from>
      <xdr:col>4</xdr:col>
      <xdr:colOff>85725</xdr:colOff>
      <xdr:row>1</xdr:row>
      <xdr:rowOff>85725</xdr:rowOff>
    </xdr:from>
    <xdr:ext cx="5762625" cy="1866900"/>
    <xdr:pic>
      <xdr:nvPicPr>
        <xdr:cNvPr id="3" name="image2.png">
          <a:extLst>
            <a:ext uri="{FF2B5EF4-FFF2-40B4-BE49-F238E27FC236}">
              <a16:creationId xmlns:a16="http://schemas.microsoft.com/office/drawing/2014/main" id="{F4D49E47-78D7-4F88-B4AB-DC6570D8EC62}"/>
            </a:ext>
          </a:extLst>
        </xdr:cNvPr>
        <xdr:cNvPicPr preferRelativeResize="0"/>
      </xdr:nvPicPr>
      <xdr:blipFill>
        <a:blip xmlns:r="http://schemas.openxmlformats.org/officeDocument/2006/relationships" r:embed="rId1" cstate="print"/>
        <a:stretch>
          <a:fillRect/>
        </a:stretch>
      </xdr:blipFill>
      <xdr:spPr>
        <a:xfrm>
          <a:off x="7667625" y="247650"/>
          <a:ext cx="5762625" cy="1866900"/>
        </a:xfrm>
        <a:prstGeom prst="rect">
          <a:avLst/>
        </a:prstGeom>
        <a:noFill/>
      </xdr:spPr>
    </xdr:pic>
    <xdr:clientData fLocksWithSheet="0"/>
  </xdr:oneCellAnchor>
</xdr:wsDr>
</file>

<file path=xl/drawings/drawing9.xml><?xml version="1.0" encoding="utf-8"?>
<xdr:wsDr xmlns:xdr="http://schemas.openxmlformats.org/drawingml/2006/spreadsheetDrawing" xmlns:a="http://schemas.openxmlformats.org/drawingml/2006/main">
  <xdr:oneCellAnchor>
    <xdr:from>
      <xdr:col>4</xdr:col>
      <xdr:colOff>342900</xdr:colOff>
      <xdr:row>1</xdr:row>
      <xdr:rowOff>0</xdr:rowOff>
    </xdr:from>
    <xdr:ext cx="5762625" cy="1866900"/>
    <xdr:pic>
      <xdr:nvPicPr>
        <xdr:cNvPr id="2" name="image2.png">
          <a:extLst>
            <a:ext uri="{FF2B5EF4-FFF2-40B4-BE49-F238E27FC236}">
              <a16:creationId xmlns:a16="http://schemas.microsoft.com/office/drawing/2014/main" id="{202DA65E-5FBD-7247-8A87-B55751CA931D}"/>
            </a:ext>
          </a:extLst>
        </xdr:cNvPr>
        <xdr:cNvPicPr preferRelativeResize="0"/>
      </xdr:nvPicPr>
      <xdr:blipFill>
        <a:blip xmlns:r="http://schemas.openxmlformats.org/officeDocument/2006/relationships" r:embed="rId1" cstate="print"/>
        <a:stretch>
          <a:fillRect/>
        </a:stretch>
      </xdr:blipFill>
      <xdr:spPr>
        <a:xfrm>
          <a:off x="7924800" y="161925"/>
          <a:ext cx="5762625" cy="1866900"/>
        </a:xfrm>
        <a:prstGeom prst="rect">
          <a:avLst/>
        </a:prstGeom>
        <a:noFill/>
      </xdr:spPr>
    </xdr:pic>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FONDR/Desktop/8.%20PEEB%20Cool%20FP%20v7_TC/Annexes/Annex%2022c_Mitigation%20and%20Beneficiaries%20calculation%20v7.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nnex%204_Budget%20pla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Shared%20drives\Assignments%2016-20\19\116%20Georgia%20energy%20planning%20support%20-%20GEDF%20(O19-042)\Implementation\D2-Integrated%20Climate%20&amp;%20Energy%20Report\Calculations\NECP-Conversions%20&amp;%20Templat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mpacts Summary"/>
      <sheetName val="Beneficiaries"/>
      <sheetName val="DJ-Office"/>
      <sheetName val="ML-Office"/>
      <sheetName val="MAR-Residential"/>
      <sheetName val="MAR-Edu"/>
      <sheetName val="NGA-Residential"/>
      <sheetName val="NGA-Retail"/>
      <sheetName val="TUN-Residential"/>
      <sheetName val="TUN-Hospital"/>
      <sheetName val="ARG-Residential"/>
      <sheetName val="MEX-Residential"/>
      <sheetName val="MEX-Office"/>
      <sheetName val="IDN-Residential"/>
      <sheetName val="LKA-Office"/>
      <sheetName val="VNM-Residential"/>
      <sheetName val="ALB-Hospital"/>
      <sheetName val="CRI-Edu"/>
      <sheetName val="NMKD-Retail"/>
      <sheetName val="Energy use"/>
      <sheetName val="Sector emissions"/>
      <sheetName val="Country emissions"/>
      <sheetName val="ReadMe"/>
      <sheetName val="General Inputs&amp;Outputs"/>
      <sheetName val="Input_Area and Costs"/>
      <sheetName val="Fuel factors"/>
      <sheetName val="Output_Financial savings"/>
      <sheetName val="Input_Energy Context"/>
      <sheetName val="Input_EDGE energy savings"/>
      <sheetName val="Input_LC Materials"/>
      <sheetName val="Output_Carbon savings"/>
      <sheetName val="Système outil"/>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ow r="4">
          <cell r="K4"/>
        </row>
      </sheetData>
      <sheetData sheetId="25">
        <row r="2">
          <cell r="B2">
            <v>8.5984522800000004E-2</v>
          </cell>
        </row>
        <row r="3">
          <cell r="B3">
            <v>2.38845897E-2</v>
          </cell>
        </row>
        <row r="4">
          <cell r="B4">
            <v>0.27777777777777779</v>
          </cell>
        </row>
      </sheetData>
      <sheetData sheetId="26"/>
      <sheetData sheetId="27"/>
      <sheetData sheetId="28">
        <row r="49">
          <cell r="P49">
            <v>7</v>
          </cell>
        </row>
      </sheetData>
      <sheetData sheetId="29">
        <row r="8">
          <cell r="E8">
            <v>8.2389525852503809E-2</v>
          </cell>
        </row>
      </sheetData>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Detailed Budget"/>
      <sheetName val="Revised top-down"/>
      <sheetName val="PMC"/>
      <sheetName val="Notes and Assumptions"/>
      <sheetName val="Country budget"/>
      <sheetName val="M&amp;E Budget"/>
      <sheetName val="Disbursement schedule"/>
    </sheetNames>
    <sheetDataSet>
      <sheetData sheetId="0"/>
      <sheetData sheetId="1">
        <row r="2">
          <cell r="G2">
            <v>2.3537998705238705E-2</v>
          </cell>
          <cell r="I2">
            <v>8.2721537465568235E-2</v>
          </cell>
          <cell r="K2">
            <v>9.1632922479340947E-2</v>
          </cell>
          <cell r="M2">
            <v>0.10136076873278413</v>
          </cell>
          <cell r="O2">
            <v>0.10054430749311366</v>
          </cell>
          <cell r="Q2">
            <v>0.1189113850137727</v>
          </cell>
          <cell r="S2">
            <v>0.13809492377410226</v>
          </cell>
          <cell r="U2">
            <v>0.12782277002754541</v>
          </cell>
          <cell r="W2">
            <v>0.11755061628098859</v>
          </cell>
          <cell r="Y2">
            <v>9.7822770027545441E-2</v>
          </cell>
        </row>
      </sheetData>
      <sheetData sheetId="2">
        <row r="3">
          <cell r="E3">
            <v>22.8</v>
          </cell>
        </row>
        <row r="4">
          <cell r="C4">
            <v>957.9375</v>
          </cell>
          <cell r="D4">
            <v>329.0625</v>
          </cell>
        </row>
        <row r="5">
          <cell r="E5">
            <v>6.5</v>
          </cell>
        </row>
        <row r="6">
          <cell r="E6">
            <v>6.8</v>
          </cell>
        </row>
        <row r="7">
          <cell r="E7">
            <v>5.2</v>
          </cell>
        </row>
        <row r="8">
          <cell r="E8">
            <v>0.5</v>
          </cell>
        </row>
        <row r="9">
          <cell r="E9">
            <v>2.2000000000000002</v>
          </cell>
        </row>
        <row r="10">
          <cell r="C10">
            <v>1009.4375</v>
          </cell>
          <cell r="D10">
            <v>329.0625</v>
          </cell>
          <cell r="E10">
            <v>175</v>
          </cell>
          <cell r="F10">
            <v>45</v>
          </cell>
        </row>
      </sheetData>
      <sheetData sheetId="3"/>
      <sheetData sheetId="4"/>
      <sheetData sheetId="5"/>
      <sheetData sheetId="6"/>
      <sheetData sheetId="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ll measures-Energy"/>
      <sheetName val="Funding Sources-2021-2024"/>
      <sheetName val="All measures-Finance"/>
      <sheetName val="Template"/>
      <sheetName val="Prices &amp; GDP"/>
      <sheetName val="Energy supply-1"/>
      <sheetName val="Energy supply-2"/>
      <sheetName val="Conversions"/>
      <sheetName val="EEO calculation"/>
      <sheetName val="Dropdown"/>
      <sheetName val="MARKAL-Primary"/>
      <sheetName val="MARKAL-Final"/>
      <sheetName val="Table 2-3"/>
      <sheetName val="Table 2-5"/>
      <sheetName val="GDP per capita"/>
      <sheetName val="Industry sector info"/>
      <sheetName val="GDP figs"/>
      <sheetName val="New RE"/>
      <sheetName val="Energy poverty"/>
    </sheetNames>
    <sheetDataSet>
      <sheetData sheetId="0"/>
      <sheetData sheetId="1"/>
      <sheetData sheetId="2"/>
      <sheetData sheetId="3"/>
      <sheetData sheetId="4"/>
      <sheetData sheetId="5">
        <row r="106">
          <cell r="G106">
            <v>0.61365903025655144</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au-afrec.org/en/energy-balances" TargetMode="External"/><Relationship Id="rId1" Type="http://schemas.openxmlformats.org/officeDocument/2006/relationships/hyperlink" Target="https://www.gob.mx/cms/uploads/attachment/file/528054/Balance_Nacional_de_Energ_a_2018.pdf" TargetMode="External"/><Relationship Id="rId4" Type="http://schemas.openxmlformats.org/officeDocument/2006/relationships/drawing" Target="../drawings/drawing16.x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app.edgebuildings.com/" TargetMode="External"/><Relationship Id="rId7" Type="http://schemas.openxmlformats.org/officeDocument/2006/relationships/hyperlink" Target="https://population.un.org/Household/index.html" TargetMode="External"/><Relationship Id="rId2" Type="http://schemas.openxmlformats.org/officeDocument/2006/relationships/hyperlink" Target="https://apps.who.int/gho/data/view.main.30000" TargetMode="External"/><Relationship Id="rId1" Type="http://schemas.openxmlformats.org/officeDocument/2006/relationships/hyperlink" Target="https://app.edgebuildings.com/" TargetMode="External"/><Relationship Id="rId6" Type="http://schemas.openxmlformats.org/officeDocument/2006/relationships/hyperlink" Target="https://population.un.org/" TargetMode="External"/><Relationship Id="rId5" Type="http://schemas.openxmlformats.org/officeDocument/2006/relationships/hyperlink" Target="https://app.edgebuildings.com/" TargetMode="External"/><Relationship Id="rId4" Type="http://schemas.openxmlformats.org/officeDocument/2006/relationships/hyperlink" Target="https://app.edgebuildings.com/" TargetMode="External"/></Relationships>
</file>

<file path=xl/worksheets/_rels/sheet20.xml.rels><?xml version="1.0" encoding="UTF-8" standalone="yes"?>
<Relationships xmlns="http://schemas.openxmlformats.org/package/2006/relationships"><Relationship Id="rId2" Type="http://schemas.openxmlformats.org/officeDocument/2006/relationships/hyperlink" Target="https://ourworldindata.org/co2/country/albania" TargetMode="External"/><Relationship Id="rId1" Type="http://schemas.openxmlformats.org/officeDocument/2006/relationships/hyperlink" Target="https://ourworldindata.org/grapher/total-ghg-emissions?tab=table&amp;country=~ALB" TargetMode="Externa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hyperlink" Target="https://media.arcadis.com/-/media/project/arcadiscom/com/perspectives/asia/publications/cch/2019/construction-cost-handbook-indonesia-2019_001.pdf?rev=57f3c9bea50a4df593e0fc4458d2d1e2)" TargetMode="Externa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958"/>
  <sheetViews>
    <sheetView showGridLines="0" tabSelected="1" workbookViewId="0">
      <selection activeCell="E2" sqref="E2"/>
    </sheetView>
  </sheetViews>
  <sheetFormatPr baseColWidth="10" defaultColWidth="12.58203125" defaultRowHeight="15" customHeight="1" x14ac:dyDescent="0.25"/>
  <cols>
    <col min="1" max="1" width="2.4140625" style="338" bestFit="1" customWidth="1"/>
    <col min="2" max="2" width="26.83203125" style="338" customWidth="1"/>
    <col min="3" max="3" width="18.08203125" style="338" customWidth="1"/>
    <col min="4" max="4" width="14.5" style="338" customWidth="1"/>
    <col min="5" max="5" width="11.58203125" style="338" customWidth="1"/>
    <col min="6" max="6" width="13" style="338" customWidth="1"/>
    <col min="7" max="7" width="14.58203125" style="338" customWidth="1"/>
    <col min="8" max="8" width="25" style="338" customWidth="1"/>
    <col min="9" max="9" width="27.58203125" style="338" customWidth="1"/>
    <col min="10" max="11" width="13" style="338" bestFit="1" customWidth="1"/>
    <col min="12" max="12" width="15.08203125" style="338" bestFit="1" customWidth="1"/>
    <col min="13" max="13" width="20.33203125" style="338" bestFit="1" customWidth="1"/>
    <col min="14" max="15" width="13" style="338" bestFit="1" customWidth="1"/>
    <col min="16" max="30" width="14" style="338" bestFit="1" customWidth="1"/>
    <col min="31" max="16384" width="12.58203125" style="338"/>
  </cols>
  <sheetData>
    <row r="1" spans="2:9" ht="15" customHeight="1" thickBot="1" x14ac:dyDescent="0.3">
      <c r="B1" s="338" t="s">
        <v>766</v>
      </c>
    </row>
    <row r="2" spans="2:9" ht="84" customHeight="1" x14ac:dyDescent="0.25">
      <c r="B2" s="339" t="s">
        <v>618</v>
      </c>
      <c r="C2" s="340" t="str">
        <f>CONCATENATE("Based on the subproject pipeline studied ("&amp;ROUND('General Inputs&amp;Outputs'!C34/1000000,0)&amp;" MEUR of building infrastructure investment)")</f>
        <v>Based on the subproject pipeline studied (1099 MEUR of building infrastructure investment)</v>
      </c>
      <c r="D2" s="341" t="str">
        <f>CONCATENATE("Extrapolated to the PEEB Cool program amount ("&amp;'General Inputs&amp;Outputs'!C11/1000000&amp;" MEUR or USD eq)")</f>
        <v>Extrapolated to the PEEB Cool program amount (1287 MEUR or USD eq)</v>
      </c>
    </row>
    <row r="3" spans="2:9" ht="15" customHeight="1" x14ac:dyDescent="0.25">
      <c r="B3" s="342" t="s">
        <v>619</v>
      </c>
      <c r="C3" s="343">
        <f>D27</f>
        <v>3645756.777777778</v>
      </c>
      <c r="D3" s="344">
        <f>C3*'General Inputs&amp;Outputs'!C14</f>
        <v>4270238.7420694008</v>
      </c>
      <c r="F3" s="345">
        <f>ROUND(D3/C3,2)</f>
        <v>1.17</v>
      </c>
    </row>
    <row r="4" spans="2:9" ht="34.5" x14ac:dyDescent="0.25">
      <c r="B4" s="342" t="s">
        <v>707</v>
      </c>
      <c r="C4" s="343">
        <f>H27</f>
        <v>1334220.4857488747</v>
      </c>
      <c r="D4" s="344">
        <f>E57</f>
        <v>1562759.2173552227</v>
      </c>
      <c r="E4" s="440"/>
      <c r="F4" s="384"/>
    </row>
    <row r="5" spans="2:9" ht="34.5" x14ac:dyDescent="0.25">
      <c r="B5" s="342" t="s">
        <v>706</v>
      </c>
      <c r="C5" s="184"/>
      <c r="D5" s="346">
        <f>D4*3</f>
        <v>4688277.6520656683</v>
      </c>
    </row>
    <row r="6" spans="2:9" ht="35" thickBot="1" x14ac:dyDescent="0.3">
      <c r="B6" s="347" t="s">
        <v>708</v>
      </c>
      <c r="C6" s="348"/>
      <c r="D6" s="349">
        <f>D4+D5</f>
        <v>6251036.8694208907</v>
      </c>
    </row>
    <row r="8" spans="2:9" ht="15" customHeight="1" x14ac:dyDescent="0.25">
      <c r="B8" s="350" t="s">
        <v>767</v>
      </c>
    </row>
    <row r="9" spans="2:9" ht="48" customHeight="1" x14ac:dyDescent="0.25">
      <c r="B9" s="351" t="s">
        <v>246</v>
      </c>
      <c r="C9" s="351" t="s">
        <v>118</v>
      </c>
      <c r="D9" s="351" t="s">
        <v>247</v>
      </c>
      <c r="E9" s="482" t="s">
        <v>720</v>
      </c>
      <c r="F9" s="483"/>
      <c r="G9" s="484"/>
      <c r="H9" s="351" t="s">
        <v>248</v>
      </c>
      <c r="I9" s="352" t="s">
        <v>611</v>
      </c>
    </row>
    <row r="10" spans="2:9" ht="32.25" customHeight="1" x14ac:dyDescent="0.25">
      <c r="B10" s="176"/>
      <c r="C10" s="176"/>
      <c r="D10" s="176"/>
      <c r="E10" s="351" t="s">
        <v>172</v>
      </c>
      <c r="F10" s="351" t="s">
        <v>249</v>
      </c>
      <c r="G10" s="351" t="s">
        <v>250</v>
      </c>
      <c r="H10" s="176"/>
      <c r="I10" s="353"/>
    </row>
    <row r="11" spans="2:9" ht="11.5" x14ac:dyDescent="0.25">
      <c r="B11" s="173"/>
      <c r="C11" s="173"/>
      <c r="D11" s="173" t="s">
        <v>251</v>
      </c>
      <c r="E11" s="173" t="s">
        <v>252</v>
      </c>
      <c r="F11" s="173" t="s">
        <v>252</v>
      </c>
      <c r="G11" s="173" t="s">
        <v>252</v>
      </c>
      <c r="H11" s="173" t="s">
        <v>252</v>
      </c>
      <c r="I11" s="173" t="s">
        <v>656</v>
      </c>
    </row>
    <row r="12" spans="2:9" ht="11.5" x14ac:dyDescent="0.25">
      <c r="B12" s="173" t="s">
        <v>46</v>
      </c>
      <c r="C12" s="173" t="s">
        <v>714</v>
      </c>
      <c r="D12" s="354">
        <f>'DJ-Office'!D14</f>
        <v>60000</v>
      </c>
      <c r="E12" s="354">
        <f>'DJ-Office'!D34</f>
        <v>138430.95850058214</v>
      </c>
      <c r="F12" s="354">
        <f>'DJ-Office'!D54</f>
        <v>94140.829586663778</v>
      </c>
      <c r="G12" s="354">
        <f>'DJ-Office'!D90</f>
        <v>58664.329231251118</v>
      </c>
      <c r="H12" s="354">
        <f>'DJ-Office'!D98</f>
        <v>51477.229072584742</v>
      </c>
      <c r="I12" s="355">
        <f>H12/'General Inputs&amp;Outputs'!C$12</f>
        <v>3431.8152715056494</v>
      </c>
    </row>
    <row r="13" spans="2:9" ht="11.5" x14ac:dyDescent="0.25">
      <c r="B13" s="173" t="s">
        <v>48</v>
      </c>
      <c r="C13" s="173" t="s">
        <v>58</v>
      </c>
      <c r="D13" s="354">
        <f>'MAR-Residential'!D14</f>
        <v>1217500</v>
      </c>
      <c r="E13" s="354">
        <f>'MAR-Residential'!D34</f>
        <v>1423933.6609042143</v>
      </c>
      <c r="F13" s="354">
        <f>'MAR-Residential'!D54</f>
        <v>1066048.7853898883</v>
      </c>
      <c r="G13" s="354">
        <f>'MAR-Residential'!D74</f>
        <v>977457.39788988815</v>
      </c>
      <c r="H13" s="354">
        <f>'MAR-Residential'!D98</f>
        <v>402180.5692643259</v>
      </c>
      <c r="I13" s="355">
        <f>H13/'General Inputs&amp;Outputs'!C$12</f>
        <v>26812.037950955058</v>
      </c>
    </row>
    <row r="14" spans="2:9" ht="11.5" x14ac:dyDescent="0.25">
      <c r="B14" s="173" t="s">
        <v>48</v>
      </c>
      <c r="C14" s="173" t="s">
        <v>61</v>
      </c>
      <c r="D14" s="354">
        <f>'MAR-Edu'!D14</f>
        <v>11250</v>
      </c>
      <c r="E14" s="354">
        <f>'MAR-Edu'!D34</f>
        <v>6568.7158003985678</v>
      </c>
      <c r="F14" s="354">
        <f>'MAR-Edu'!D54</f>
        <v>5632.7025425682932</v>
      </c>
      <c r="G14" s="354">
        <f>'MAR-Edu'!D74</f>
        <v>5198.0468732915351</v>
      </c>
      <c r="H14" s="354">
        <f>'MAR-Edu'!D98</f>
        <v>1153.3410924686532</v>
      </c>
      <c r="I14" s="355">
        <f>H14/'General Inputs&amp;Outputs'!C$12</f>
        <v>76.889406164576883</v>
      </c>
    </row>
    <row r="15" spans="2:9" ht="11.5" x14ac:dyDescent="0.25">
      <c r="B15" s="173" t="s">
        <v>49</v>
      </c>
      <c r="C15" s="173" t="s">
        <v>58</v>
      </c>
      <c r="D15" s="354">
        <f>'NGA-Residential'!D14</f>
        <v>75000</v>
      </c>
      <c r="E15" s="354">
        <f>'NGA-Residential'!D34</f>
        <v>72649.958405157144</v>
      </c>
      <c r="F15" s="354">
        <f>'NGA-Residential'!D54</f>
        <v>54020.898811328763</v>
      </c>
      <c r="G15" s="354">
        <f>'NGA-Residential'!D74</f>
        <v>50642.523811328763</v>
      </c>
      <c r="H15" s="354">
        <f>'NGA-Residential'!D98</f>
        <v>20318.24709382838</v>
      </c>
      <c r="I15" s="355">
        <f>H15/'General Inputs&amp;Outputs'!C$12</f>
        <v>1354.5498062552253</v>
      </c>
    </row>
    <row r="16" spans="2:9" ht="11.5" x14ac:dyDescent="0.25">
      <c r="B16" s="173" t="s">
        <v>49</v>
      </c>
      <c r="C16" s="173" t="s">
        <v>64</v>
      </c>
      <c r="D16" s="354">
        <f>'NGA-Retail'!D14</f>
        <v>14000</v>
      </c>
      <c r="E16" s="354">
        <f>'NGA-Retail'!D34</f>
        <v>23691.972646985883</v>
      </c>
      <c r="F16" s="354">
        <f>'NGA-Retail'!D54</f>
        <v>19509.747533150359</v>
      </c>
      <c r="G16" s="354">
        <f>'NGA-Retail'!D74</f>
        <v>16272.141748669026</v>
      </c>
      <c r="H16" s="354">
        <f>'NGA-Retail'!D98</f>
        <v>5801.0280060761897</v>
      </c>
      <c r="I16" s="355">
        <f>H16/'General Inputs&amp;Outputs'!C$12</f>
        <v>386.7352004050793</v>
      </c>
    </row>
    <row r="17" spans="2:30" ht="11.5" x14ac:dyDescent="0.25">
      <c r="B17" s="173" t="s">
        <v>50</v>
      </c>
      <c r="C17" s="173" t="str">
        <f>'TUN-Residential'!D13</f>
        <v>Residential</v>
      </c>
      <c r="D17" s="354">
        <f>'TUN-Residential'!D14</f>
        <v>340000</v>
      </c>
      <c r="E17" s="354">
        <f>'TUN-Residential'!D34</f>
        <v>346089.33411447139</v>
      </c>
      <c r="F17" s="354">
        <f>'TUN-Residential'!D54</f>
        <v>261838.14355789317</v>
      </c>
      <c r="G17" s="354">
        <f>'TUN-Residential'!D74</f>
        <v>237098.04355789314</v>
      </c>
      <c r="H17" s="354">
        <f>'TUN-Residential'!D98</f>
        <v>96621.240556578225</v>
      </c>
      <c r="I17" s="355">
        <f>H17/'General Inputs&amp;Outputs'!C$12</f>
        <v>6441.4160371052149</v>
      </c>
    </row>
    <row r="18" spans="2:30" ht="11.5" x14ac:dyDescent="0.25">
      <c r="B18" s="173" t="s">
        <v>50</v>
      </c>
      <c r="C18" s="173" t="s">
        <v>60</v>
      </c>
      <c r="D18" s="354">
        <f>'TUN-Hospital'!D14</f>
        <v>68779</v>
      </c>
      <c r="E18" s="354">
        <f>'TUN-Hospital'!D34</f>
        <v>169495.44132267189</v>
      </c>
      <c r="F18" s="354">
        <f>'TUN-Hospital'!D54</f>
        <v>144180.79049496353</v>
      </c>
      <c r="G18" s="354">
        <f>'TUN-Hospital'!D74</f>
        <v>128398.94235506697</v>
      </c>
      <c r="H18" s="354">
        <f>'TUN-Hospital'!D98</f>
        <v>33205.574897656654</v>
      </c>
      <c r="I18" s="355">
        <f>H18/'General Inputs&amp;Outputs'!C$12</f>
        <v>2213.7049931771103</v>
      </c>
    </row>
    <row r="19" spans="2:30" ht="11.5" x14ac:dyDescent="0.25">
      <c r="B19" s="173" t="s">
        <v>51</v>
      </c>
      <c r="C19" s="173" t="s">
        <v>58</v>
      </c>
      <c r="D19" s="354">
        <f>'ARG-Residential'!D14</f>
        <v>525000</v>
      </c>
      <c r="E19" s="354">
        <f>'ARG-Residential'!D34</f>
        <v>514227.20247602771</v>
      </c>
      <c r="F19" s="354">
        <f>'ARG-Residential'!D54</f>
        <v>391222.91411375842</v>
      </c>
      <c r="G19" s="354">
        <f>'ARG-Residential'!D74</f>
        <v>346625.2720488885</v>
      </c>
      <c r="H19" s="354">
        <f>'ARG-Residential'!D98</f>
        <v>145303.10939470422</v>
      </c>
      <c r="I19" s="355">
        <f>H19/'General Inputs&amp;Outputs'!C$12</f>
        <v>9686.8739596469477</v>
      </c>
    </row>
    <row r="20" spans="2:30" ht="11.5" x14ac:dyDescent="0.25">
      <c r="B20" s="173" t="s">
        <v>52</v>
      </c>
      <c r="C20" s="173" t="s">
        <v>58</v>
      </c>
      <c r="D20" s="354">
        <f>'MEX-Residential'!D14</f>
        <v>191250</v>
      </c>
      <c r="E20" s="354">
        <f>'MEX-Residential'!B4</f>
        <v>168320.49950691906</v>
      </c>
      <c r="F20" s="354">
        <f>'MEX-Residential'!B5</f>
        <v>125810.6100016737</v>
      </c>
      <c r="G20" s="354">
        <f>'MEX-Residential'!B6</f>
        <v>117195.75375167369</v>
      </c>
      <c r="H20" s="354">
        <f>'MEX-Residential'!B9</f>
        <v>46817.317630245365</v>
      </c>
      <c r="I20" s="355">
        <f>H20/'General Inputs&amp;Outputs'!C$12</f>
        <v>3121.1545086830242</v>
      </c>
    </row>
    <row r="21" spans="2:30" ht="11.5" x14ac:dyDescent="0.25">
      <c r="B21" s="173" t="s">
        <v>52</v>
      </c>
      <c r="C21" s="173" t="s">
        <v>714</v>
      </c>
      <c r="D21" s="354">
        <f>'MEX-Office'!D14</f>
        <v>60000</v>
      </c>
      <c r="E21" s="354">
        <f>'MEX-Office'!B4</f>
        <v>82693.981071428076</v>
      </c>
      <c r="F21" s="354">
        <f>'MEX-Office'!B5</f>
        <v>58227.153669642546</v>
      </c>
      <c r="G21" s="354">
        <f>'MEX-Office'!B6</f>
        <v>50748.029930356897</v>
      </c>
      <c r="H21" s="354">
        <f>'MEX-Office'!B9</f>
        <v>28206.38927142835</v>
      </c>
      <c r="I21" s="355">
        <f>H21/'General Inputs&amp;Outputs'!C$12</f>
        <v>1880.4259514285566</v>
      </c>
    </row>
    <row r="22" spans="2:30" ht="11.5" x14ac:dyDescent="0.25">
      <c r="B22" s="173" t="s">
        <v>53</v>
      </c>
      <c r="C22" s="173" t="s">
        <v>58</v>
      </c>
      <c r="D22" s="354">
        <f>'IDN-Residential'!D14</f>
        <v>207777.77777777778</v>
      </c>
      <c r="E22" s="354">
        <f>'IDN-Residential'!B4</f>
        <v>253964.71788099315</v>
      </c>
      <c r="F22" s="354">
        <f>'IDN-Residential'!B5</f>
        <v>190091.53521504623</v>
      </c>
      <c r="G22" s="354">
        <f>'IDN-Residential'!B6</f>
        <v>181452.1352150462</v>
      </c>
      <c r="H22" s="354">
        <f>'IDN-Residential'!B9</f>
        <v>68192.882665946934</v>
      </c>
      <c r="I22" s="355">
        <f>H22/'General Inputs&amp;Outputs'!C$12</f>
        <v>4546.1921777297957</v>
      </c>
    </row>
    <row r="23" spans="2:30" ht="11.5" x14ac:dyDescent="0.25">
      <c r="B23" s="173" t="s">
        <v>54</v>
      </c>
      <c r="C23" s="173" t="s">
        <v>714</v>
      </c>
      <c r="D23" s="354">
        <f>'LKA-Office'!D14</f>
        <v>15000</v>
      </c>
      <c r="E23" s="354">
        <f>'LKA-Office'!B4</f>
        <v>27355.346660498359</v>
      </c>
      <c r="F23" s="354">
        <f>'LKA-Office'!B5</f>
        <v>18732.945537811473</v>
      </c>
      <c r="G23" s="354">
        <f>'LKA-Office'!B6</f>
        <v>15994.523921946686</v>
      </c>
      <c r="H23" s="354">
        <f>'LKA-Office'!B9</f>
        <v>9991.6119306192777</v>
      </c>
      <c r="I23" s="355">
        <f>H23/'General Inputs&amp;Outputs'!C$12</f>
        <v>666.1074620412852</v>
      </c>
    </row>
    <row r="24" spans="2:30" ht="11.5" x14ac:dyDescent="0.25">
      <c r="B24" s="173" t="s">
        <v>55</v>
      </c>
      <c r="C24" s="173" t="s">
        <v>60</v>
      </c>
      <c r="D24" s="354">
        <f>'ALB-Hospital'!D14</f>
        <v>393700</v>
      </c>
      <c r="E24" s="354">
        <f>'ALB-Hospital'!D34</f>
        <v>424306.59322657</v>
      </c>
      <c r="F24" s="354">
        <f>'ALB-Hospital'!D54</f>
        <v>282608.8546544874</v>
      </c>
      <c r="G24" s="354">
        <f>'ALB-Hospital'!D74</f>
        <v>266907.28114304226</v>
      </c>
      <c r="H24" s="354">
        <f>'ALB-Hospital'!D98</f>
        <v>159018.32302965882</v>
      </c>
      <c r="I24" s="355">
        <f>H24/'General Inputs&amp;Outputs'!C$12</f>
        <v>10601.221535310588</v>
      </c>
    </row>
    <row r="25" spans="2:30" ht="11.5" x14ac:dyDescent="0.25">
      <c r="B25" s="173" t="s">
        <v>763</v>
      </c>
      <c r="C25" s="173" t="str">
        <f>'CRI-Edu'!D13</f>
        <v>Education</v>
      </c>
      <c r="D25" s="354">
        <f>'CRI-Edu'!D14</f>
        <v>72800</v>
      </c>
      <c r="E25" s="354">
        <f>'CRI-Edu'!D34</f>
        <v>30750.831468586875</v>
      </c>
      <c r="F25" s="354">
        <f>'CRI-Edu'!D54</f>
        <v>26662.982344715427</v>
      </c>
      <c r="G25" s="354">
        <f>'CRI-Edu'!B6</f>
        <v>26345.953199504438</v>
      </c>
      <c r="H25" s="354">
        <f>'CRI-Edu'!B9</f>
        <v>4246.363696476943</v>
      </c>
      <c r="I25" s="355">
        <f>H25/'General Inputs&amp;Outputs'!C$12</f>
        <v>283.09091309846286</v>
      </c>
    </row>
    <row r="26" spans="2:30" ht="15.75" customHeight="1" x14ac:dyDescent="0.25">
      <c r="B26" s="173" t="s">
        <v>648</v>
      </c>
      <c r="C26" s="173" t="s">
        <v>64</v>
      </c>
      <c r="D26" s="354">
        <f>'NMKD-Retail'!D14</f>
        <v>393700</v>
      </c>
      <c r="E26" s="354">
        <f>'NMKD-Retail'!D34</f>
        <v>983886.54805287637</v>
      </c>
      <c r="F26" s="354">
        <f>'NMKD-Retail'!D54</f>
        <v>796344.58566067228</v>
      </c>
      <c r="G26" s="354">
        <f>'NMKD-Retail'!D74</f>
        <v>648053.9941525287</v>
      </c>
      <c r="H26" s="354">
        <f>'NMKD-Retail'!D98</f>
        <v>261687.25814627591</v>
      </c>
      <c r="I26" s="355">
        <f>H26/'General Inputs&amp;Outputs'!C$12</f>
        <v>17445.817209751727</v>
      </c>
    </row>
    <row r="27" spans="2:30" ht="15.75" customHeight="1" x14ac:dyDescent="0.25">
      <c r="B27" s="172" t="s">
        <v>598</v>
      </c>
      <c r="C27" s="172"/>
      <c r="D27" s="356">
        <f t="shared" ref="D27:I27" si="0">SUM(D12:D26)</f>
        <v>3645756.777777778</v>
      </c>
      <c r="E27" s="356">
        <f t="shared" si="0"/>
        <v>4666365.7620383818</v>
      </c>
      <c r="F27" s="356">
        <f t="shared" si="0"/>
        <v>3535073.4791142638</v>
      </c>
      <c r="G27" s="356">
        <f t="shared" si="0"/>
        <v>3127054.3688303758</v>
      </c>
      <c r="H27" s="356">
        <f t="shared" si="0"/>
        <v>1334220.4857488747</v>
      </c>
      <c r="I27" s="357">
        <f t="shared" si="0"/>
        <v>88948.032383258309</v>
      </c>
    </row>
    <row r="28" spans="2:30" ht="15.75" customHeight="1" x14ac:dyDescent="0.25">
      <c r="B28" s="358" t="s">
        <v>710</v>
      </c>
      <c r="C28" s="358"/>
      <c r="D28" s="356">
        <f>D27*F3</f>
        <v>4265535.43</v>
      </c>
      <c r="E28" s="358"/>
      <c r="F28" s="358"/>
      <c r="G28" s="358"/>
      <c r="H28" s="358"/>
    </row>
    <row r="29" spans="2:30" ht="15.75" customHeight="1" x14ac:dyDescent="0.25">
      <c r="B29" s="358"/>
      <c r="C29" s="358"/>
      <c r="D29" s="376">
        <f>E45*1000000/D28</f>
        <v>301.72062127262649</v>
      </c>
      <c r="E29" s="358"/>
      <c r="F29" s="358"/>
      <c r="G29" s="358"/>
      <c r="H29" s="358"/>
    </row>
    <row r="30" spans="2:30" ht="15.75" customHeight="1" x14ac:dyDescent="0.25">
      <c r="B30" s="359" t="str">
        <f>CONCATENATE("It is assumed that the energy and GHG values would continue for a period of "&amp;'General Inputs&amp;Outputs'!C12&amp;" years")</f>
        <v>It is assumed that the energy and GHG values would continue for a period of 15 years</v>
      </c>
    </row>
    <row r="31" spans="2:30" ht="15.75" customHeight="1" x14ac:dyDescent="0.25">
      <c r="B31" s="359" t="str">
        <f>CONCATENATE("Direct GHG emissions avoided over 15-year lifetimes are multiplied by "&amp;F3&amp;" to reflect the total financing of "&amp;F3&amp;"x the pipeline analysed")</f>
        <v>Direct GHG emissions avoided over 15-year lifetimes are multiplied by 1,17 to reflect the total financing of 1,17x the pipeline analysed</v>
      </c>
    </row>
    <row r="32" spans="2:30" ht="15.75" hidden="1" customHeight="1" x14ac:dyDescent="0.25">
      <c r="B32" s="358" t="s">
        <v>578</v>
      </c>
      <c r="D32" s="338">
        <v>0</v>
      </c>
      <c r="E32" s="338">
        <v>1</v>
      </c>
      <c r="F32" s="338">
        <v>2</v>
      </c>
      <c r="G32" s="338">
        <v>3</v>
      </c>
      <c r="H32" s="338">
        <v>4</v>
      </c>
      <c r="I32" s="338">
        <v>5</v>
      </c>
      <c r="J32" s="338">
        <v>6</v>
      </c>
      <c r="K32" s="338">
        <v>7</v>
      </c>
      <c r="L32" s="338">
        <v>8</v>
      </c>
      <c r="M32" s="338">
        <v>9</v>
      </c>
      <c r="N32" s="338">
        <v>10</v>
      </c>
      <c r="O32" s="338">
        <v>11</v>
      </c>
      <c r="P32" s="338">
        <v>12</v>
      </c>
      <c r="Q32" s="338">
        <v>13</v>
      </c>
      <c r="R32" s="338">
        <v>14</v>
      </c>
      <c r="S32" s="338">
        <v>15</v>
      </c>
      <c r="T32" s="338">
        <v>16</v>
      </c>
      <c r="U32" s="338">
        <v>17</v>
      </c>
      <c r="V32" s="338">
        <v>18</v>
      </c>
      <c r="W32" s="338">
        <v>19</v>
      </c>
      <c r="X32" s="338">
        <v>20</v>
      </c>
      <c r="Y32" s="338">
        <v>21</v>
      </c>
      <c r="Z32" s="338">
        <v>22</v>
      </c>
      <c r="AA32" s="338">
        <v>23</v>
      </c>
      <c r="AB32" s="338">
        <v>24</v>
      </c>
      <c r="AC32" s="338">
        <v>24</v>
      </c>
      <c r="AD32" s="338">
        <v>24</v>
      </c>
    </row>
    <row r="33" spans="1:30" ht="15.75" hidden="1" customHeight="1" x14ac:dyDescent="0.25">
      <c r="B33" s="360" t="s">
        <v>580</v>
      </c>
      <c r="D33" s="361">
        <v>0</v>
      </c>
      <c r="E33" s="361">
        <v>0.1</v>
      </c>
      <c r="F33" s="361">
        <v>0.2</v>
      </c>
      <c r="G33" s="361">
        <v>0.2</v>
      </c>
      <c r="H33" s="361">
        <v>0.2</v>
      </c>
      <c r="I33" s="361">
        <v>0.2</v>
      </c>
      <c r="J33" s="361">
        <v>0.1</v>
      </c>
    </row>
    <row r="34" spans="1:30" ht="15.75" hidden="1" customHeight="1" x14ac:dyDescent="0.25">
      <c r="B34" s="360" t="s">
        <v>579</v>
      </c>
    </row>
    <row r="35" spans="1:30" ht="15.75" hidden="1" customHeight="1" x14ac:dyDescent="0.25">
      <c r="B35" s="360" t="s">
        <v>583</v>
      </c>
      <c r="D35" s="362">
        <v>0</v>
      </c>
      <c r="E35" s="362">
        <f>D33*SUM($H12:$H24)</f>
        <v>0</v>
      </c>
      <c r="F35" s="363">
        <f>E33*SUM($H12:$H24)</f>
        <v>106828.68639061219</v>
      </c>
      <c r="G35" s="363">
        <f t="shared" ref="G35:AD35" si="1">$F35</f>
        <v>106828.68639061219</v>
      </c>
      <c r="H35" s="363">
        <f t="shared" si="1"/>
        <v>106828.68639061219</v>
      </c>
      <c r="I35" s="363">
        <f t="shared" si="1"/>
        <v>106828.68639061219</v>
      </c>
      <c r="J35" s="363">
        <f t="shared" si="1"/>
        <v>106828.68639061219</v>
      </c>
      <c r="K35" s="363">
        <f t="shared" si="1"/>
        <v>106828.68639061219</v>
      </c>
      <c r="L35" s="363">
        <f t="shared" si="1"/>
        <v>106828.68639061219</v>
      </c>
      <c r="M35" s="363">
        <f t="shared" si="1"/>
        <v>106828.68639061219</v>
      </c>
      <c r="N35" s="363">
        <f t="shared" si="1"/>
        <v>106828.68639061219</v>
      </c>
      <c r="O35" s="363">
        <f t="shared" si="1"/>
        <v>106828.68639061219</v>
      </c>
      <c r="P35" s="363">
        <f t="shared" si="1"/>
        <v>106828.68639061219</v>
      </c>
      <c r="Q35" s="363">
        <f t="shared" si="1"/>
        <v>106828.68639061219</v>
      </c>
      <c r="R35" s="363">
        <f t="shared" si="1"/>
        <v>106828.68639061219</v>
      </c>
      <c r="S35" s="363">
        <f t="shared" si="1"/>
        <v>106828.68639061219</v>
      </c>
      <c r="T35" s="363">
        <f t="shared" si="1"/>
        <v>106828.68639061219</v>
      </c>
      <c r="U35" s="363">
        <f t="shared" si="1"/>
        <v>106828.68639061219</v>
      </c>
      <c r="V35" s="363">
        <f t="shared" si="1"/>
        <v>106828.68639061219</v>
      </c>
      <c r="W35" s="363">
        <f t="shared" si="1"/>
        <v>106828.68639061219</v>
      </c>
      <c r="X35" s="363">
        <f t="shared" si="1"/>
        <v>106828.68639061219</v>
      </c>
      <c r="Y35" s="363">
        <f t="shared" si="1"/>
        <v>106828.68639061219</v>
      </c>
      <c r="Z35" s="363">
        <f t="shared" si="1"/>
        <v>106828.68639061219</v>
      </c>
      <c r="AA35" s="363">
        <f t="shared" si="1"/>
        <v>106828.68639061219</v>
      </c>
      <c r="AB35" s="363">
        <f t="shared" si="1"/>
        <v>106828.68639061219</v>
      </c>
      <c r="AC35" s="363">
        <f t="shared" si="1"/>
        <v>106828.68639061219</v>
      </c>
      <c r="AD35" s="363">
        <f t="shared" si="1"/>
        <v>106828.68639061219</v>
      </c>
    </row>
    <row r="36" spans="1:30" ht="15.75" hidden="1" customHeight="1" x14ac:dyDescent="0.25">
      <c r="B36" s="360" t="s">
        <v>584</v>
      </c>
      <c r="D36" s="362">
        <v>0</v>
      </c>
      <c r="E36" s="338">
        <v>0</v>
      </c>
      <c r="F36" s="363">
        <v>0</v>
      </c>
      <c r="G36" s="363" t="e">
        <f>F33*#REF!</f>
        <v>#REF!</v>
      </c>
      <c r="H36" s="363"/>
      <c r="I36" s="363"/>
      <c r="J36" s="363"/>
      <c r="K36" s="363"/>
      <c r="L36" s="363"/>
      <c r="M36" s="363"/>
      <c r="N36" s="363"/>
      <c r="O36" s="363"/>
      <c r="P36" s="363"/>
      <c r="Q36" s="363"/>
      <c r="R36" s="363"/>
      <c r="S36" s="363"/>
      <c r="T36" s="363"/>
      <c r="U36" s="363"/>
      <c r="V36" s="363"/>
      <c r="W36" s="363"/>
      <c r="X36" s="363"/>
      <c r="Y36" s="363"/>
      <c r="Z36" s="363"/>
      <c r="AA36" s="363"/>
      <c r="AB36" s="363"/>
      <c r="AC36" s="363"/>
      <c r="AD36" s="363"/>
    </row>
    <row r="37" spans="1:30" ht="15.75" hidden="1" customHeight="1" x14ac:dyDescent="0.25">
      <c r="B37" s="360" t="s">
        <v>582</v>
      </c>
      <c r="D37" s="362">
        <f>SUM(D35:D36)</f>
        <v>0</v>
      </c>
      <c r="E37" s="362">
        <f t="shared" ref="E37:AB37" si="2">SUM(E35:E36)</f>
        <v>0</v>
      </c>
      <c r="F37" s="363">
        <f>SUM(F35:F36)</f>
        <v>106828.68639061219</v>
      </c>
      <c r="G37" s="363" t="e">
        <f>SUM(G35:G36)</f>
        <v>#REF!</v>
      </c>
      <c r="H37" s="363">
        <f t="shared" si="2"/>
        <v>106828.68639061219</v>
      </c>
      <c r="I37" s="363">
        <f t="shared" si="2"/>
        <v>106828.68639061219</v>
      </c>
      <c r="J37" s="363">
        <f t="shared" si="2"/>
        <v>106828.68639061219</v>
      </c>
      <c r="K37" s="363">
        <f t="shared" si="2"/>
        <v>106828.68639061219</v>
      </c>
      <c r="L37" s="363">
        <f t="shared" si="2"/>
        <v>106828.68639061219</v>
      </c>
      <c r="M37" s="363">
        <f t="shared" si="2"/>
        <v>106828.68639061219</v>
      </c>
      <c r="N37" s="363">
        <f t="shared" si="2"/>
        <v>106828.68639061219</v>
      </c>
      <c r="O37" s="363">
        <f t="shared" si="2"/>
        <v>106828.68639061219</v>
      </c>
      <c r="P37" s="363">
        <f t="shared" si="2"/>
        <v>106828.68639061219</v>
      </c>
      <c r="Q37" s="363">
        <f t="shared" si="2"/>
        <v>106828.68639061219</v>
      </c>
      <c r="R37" s="363">
        <f t="shared" si="2"/>
        <v>106828.68639061219</v>
      </c>
      <c r="S37" s="363">
        <f t="shared" si="2"/>
        <v>106828.68639061219</v>
      </c>
      <c r="T37" s="363">
        <f t="shared" si="2"/>
        <v>106828.68639061219</v>
      </c>
      <c r="U37" s="363">
        <f t="shared" si="2"/>
        <v>106828.68639061219</v>
      </c>
      <c r="V37" s="363">
        <f t="shared" si="2"/>
        <v>106828.68639061219</v>
      </c>
      <c r="W37" s="363">
        <f t="shared" si="2"/>
        <v>106828.68639061219</v>
      </c>
      <c r="X37" s="363">
        <f t="shared" si="2"/>
        <v>106828.68639061219</v>
      </c>
      <c r="Y37" s="363">
        <f t="shared" si="2"/>
        <v>106828.68639061219</v>
      </c>
      <c r="Z37" s="363">
        <f t="shared" si="2"/>
        <v>106828.68639061219</v>
      </c>
      <c r="AA37" s="363">
        <f t="shared" si="2"/>
        <v>106828.68639061219</v>
      </c>
      <c r="AB37" s="363">
        <f t="shared" si="2"/>
        <v>106828.68639061219</v>
      </c>
      <c r="AC37" s="363">
        <f t="shared" ref="AC37:AD37" si="3">SUM(AC35:AC36)</f>
        <v>106828.68639061219</v>
      </c>
      <c r="AD37" s="363">
        <f t="shared" si="3"/>
        <v>106828.68639061219</v>
      </c>
    </row>
    <row r="38" spans="1:30" ht="15.75" hidden="1" customHeight="1" x14ac:dyDescent="0.25">
      <c r="B38" s="360" t="s">
        <v>581</v>
      </c>
    </row>
    <row r="39" spans="1:30" ht="15.75" hidden="1" customHeight="1" x14ac:dyDescent="0.25"/>
    <row r="40" spans="1:30" ht="15.75" customHeight="1" x14ac:dyDescent="0.25"/>
    <row r="41" spans="1:30" ht="15.75" customHeight="1" x14ac:dyDescent="0.25">
      <c r="B41" s="350" t="s">
        <v>753</v>
      </c>
    </row>
    <row r="42" spans="1:30" ht="15.75" customHeight="1" x14ac:dyDescent="0.25">
      <c r="B42" s="170" t="s">
        <v>578</v>
      </c>
      <c r="C42" s="189"/>
      <c r="D42" s="170" t="s">
        <v>585</v>
      </c>
      <c r="E42" s="170" t="s">
        <v>284</v>
      </c>
      <c r="F42" s="171">
        <v>1</v>
      </c>
      <c r="G42" s="171">
        <f t="shared" ref="G42" si="4">F42+1</f>
        <v>2</v>
      </c>
      <c r="H42" s="171">
        <f t="shared" ref="H42" si="5">G42+1</f>
        <v>3</v>
      </c>
      <c r="I42" s="171">
        <f t="shared" ref="I42" si="6">H42+1</f>
        <v>4</v>
      </c>
      <c r="J42" s="171">
        <f t="shared" ref="J42" si="7">I42+1</f>
        <v>5</v>
      </c>
      <c r="K42" s="171">
        <f t="shared" ref="K42" si="8">J42+1</f>
        <v>6</v>
      </c>
      <c r="L42" s="171">
        <f t="shared" ref="L42" si="9">K42+1</f>
        <v>7</v>
      </c>
      <c r="M42" s="171">
        <f t="shared" ref="M42" si="10">L42+1</f>
        <v>8</v>
      </c>
      <c r="N42" s="171">
        <f t="shared" ref="N42" si="11">M42+1</f>
        <v>9</v>
      </c>
      <c r="O42" s="171">
        <f t="shared" ref="O42" si="12">N42+1</f>
        <v>10</v>
      </c>
      <c r="P42" s="183">
        <f t="shared" ref="P42" si="13">O42+1</f>
        <v>11</v>
      </c>
      <c r="Q42" s="183">
        <f t="shared" ref="Q42" si="14">P42+1</f>
        <v>12</v>
      </c>
      <c r="R42" s="183">
        <f t="shared" ref="R42" si="15">Q42+1</f>
        <v>13</v>
      </c>
      <c r="S42" s="183">
        <f t="shared" ref="S42" si="16">R42+1</f>
        <v>14</v>
      </c>
      <c r="T42" s="183">
        <f t="shared" ref="T42" si="17">S42+1</f>
        <v>15</v>
      </c>
      <c r="U42" s="183">
        <f t="shared" ref="U42" si="18">T42+1</f>
        <v>16</v>
      </c>
      <c r="V42" s="183">
        <f t="shared" ref="V42" si="19">U42+1</f>
        <v>17</v>
      </c>
      <c r="W42" s="183">
        <f t="shared" ref="W42" si="20">V42+1</f>
        <v>18</v>
      </c>
      <c r="X42" s="183">
        <f t="shared" ref="X42" si="21">W42+1</f>
        <v>19</v>
      </c>
      <c r="Y42" s="183">
        <f t="shared" ref="Y42" si="22">X42+1</f>
        <v>20</v>
      </c>
      <c r="Z42" s="183">
        <f t="shared" ref="Z42" si="23">Y42+1</f>
        <v>21</v>
      </c>
      <c r="AA42" s="183">
        <f t="shared" ref="AA42" si="24">Z42+1</f>
        <v>22</v>
      </c>
      <c r="AB42" s="183">
        <f t="shared" ref="AB42" si="25">AA42+1</f>
        <v>23</v>
      </c>
      <c r="AC42" s="183">
        <f t="shared" ref="AC42" si="26">AB42+1</f>
        <v>24</v>
      </c>
      <c r="AD42" s="183">
        <f t="shared" ref="AD42" si="27">AC42+1</f>
        <v>25</v>
      </c>
    </row>
    <row r="43" spans="1:30" ht="15.75" customHeight="1" x14ac:dyDescent="0.25">
      <c r="B43" s="173" t="s">
        <v>586</v>
      </c>
      <c r="C43" s="176" t="s">
        <v>254</v>
      </c>
      <c r="D43" s="173" t="s">
        <v>585</v>
      </c>
      <c r="E43" s="172"/>
      <c r="F43" s="173"/>
      <c r="G43" s="173"/>
      <c r="H43" s="173"/>
      <c r="I43" s="173"/>
      <c r="J43" s="173"/>
      <c r="K43" s="173"/>
      <c r="L43" s="173"/>
      <c r="M43" s="173"/>
      <c r="N43" s="173"/>
      <c r="O43" s="182"/>
      <c r="P43" s="184"/>
      <c r="Q43" s="184"/>
      <c r="R43" s="184"/>
      <c r="S43" s="184"/>
      <c r="T43" s="184"/>
      <c r="U43" s="184"/>
      <c r="V43" s="184"/>
      <c r="W43" s="184"/>
      <c r="X43" s="184"/>
      <c r="Y43" s="184"/>
      <c r="Z43" s="184"/>
      <c r="AA43" s="184"/>
      <c r="AB43" s="184"/>
      <c r="AC43" s="184"/>
      <c r="AD43" s="184"/>
    </row>
    <row r="44" spans="1:30" ht="15.75" customHeight="1" x14ac:dyDescent="0.25">
      <c r="B44" s="173" t="s">
        <v>599</v>
      </c>
      <c r="C44" s="176" t="s">
        <v>587</v>
      </c>
      <c r="D44" s="173"/>
      <c r="E44" s="174">
        <v>1</v>
      </c>
      <c r="F44" s="175">
        <f>'[2]Detailed Budget'!G2</f>
        <v>2.3537998705238705E-2</v>
      </c>
      <c r="G44" s="175">
        <f>'[2]Detailed Budget'!I2</f>
        <v>8.2721537465568235E-2</v>
      </c>
      <c r="H44" s="175">
        <f>'[2]Detailed Budget'!K2</f>
        <v>9.1632922479340947E-2</v>
      </c>
      <c r="I44" s="175">
        <f>'[2]Detailed Budget'!M2</f>
        <v>0.10136076873278413</v>
      </c>
      <c r="J44" s="175">
        <f>'[2]Detailed Budget'!O2</f>
        <v>0.10054430749311366</v>
      </c>
      <c r="K44" s="175">
        <f>'[2]Detailed Budget'!Q2</f>
        <v>0.1189113850137727</v>
      </c>
      <c r="L44" s="175">
        <f>'[2]Detailed Budget'!S2</f>
        <v>0.13809492377410226</v>
      </c>
      <c r="M44" s="175">
        <f>'[2]Detailed Budget'!U2</f>
        <v>0.12782277002754541</v>
      </c>
      <c r="N44" s="175">
        <f>'[2]Detailed Budget'!W2</f>
        <v>0.11755061628098859</v>
      </c>
      <c r="O44" s="175">
        <f>'[2]Detailed Budget'!Y2</f>
        <v>9.7822770027545441E-2</v>
      </c>
      <c r="P44" s="175">
        <f>'[2]Detailed Budget'!AA2</f>
        <v>0</v>
      </c>
      <c r="Q44" s="175">
        <f>'[2]Detailed Budget'!AC2</f>
        <v>0</v>
      </c>
      <c r="R44" s="175">
        <f>'[2]Detailed Budget'!AE2</f>
        <v>0</v>
      </c>
      <c r="S44" s="175">
        <f>'[2]Detailed Budget'!AG2</f>
        <v>0</v>
      </c>
      <c r="T44" s="175">
        <f>'[2]Detailed Budget'!AI2</f>
        <v>0</v>
      </c>
      <c r="U44" s="175">
        <f>'[2]Detailed Budget'!AK2</f>
        <v>0</v>
      </c>
      <c r="V44" s="175">
        <f>'[2]Detailed Budget'!AM2</f>
        <v>0</v>
      </c>
      <c r="W44" s="175">
        <f>'[2]Detailed Budget'!AO2</f>
        <v>0</v>
      </c>
      <c r="X44" s="175">
        <f>'[2]Detailed Budget'!AQ2</f>
        <v>0</v>
      </c>
      <c r="Y44" s="175">
        <f>'[2]Detailed Budget'!AS2</f>
        <v>0</v>
      </c>
      <c r="Z44" s="175">
        <f>'[2]Detailed Budget'!AU2</f>
        <v>0</v>
      </c>
      <c r="AA44" s="175">
        <f>'[2]Detailed Budget'!AW2</f>
        <v>0</v>
      </c>
      <c r="AB44" s="175">
        <f>'[2]Detailed Budget'!AY2</f>
        <v>0</v>
      </c>
    </row>
    <row r="45" spans="1:30" ht="25.5" customHeight="1" x14ac:dyDescent="0.25">
      <c r="B45" s="176" t="s">
        <v>768</v>
      </c>
      <c r="C45" s="176" t="s">
        <v>588</v>
      </c>
      <c r="D45" s="176" t="s">
        <v>589</v>
      </c>
      <c r="E45" s="177">
        <f>'General Inputs&amp;Outputs'!C11/1000000</f>
        <v>1287</v>
      </c>
      <c r="F45" s="178">
        <f>$E45*F$44</f>
        <v>30.293404333642215</v>
      </c>
      <c r="G45" s="178">
        <f t="shared" ref="G45:AC46" si="28">$E45*G$44</f>
        <v>106.46261871818632</v>
      </c>
      <c r="H45" s="178">
        <f t="shared" si="28"/>
        <v>117.9315712309118</v>
      </c>
      <c r="I45" s="178">
        <f t="shared" si="28"/>
        <v>130.45130935909319</v>
      </c>
      <c r="J45" s="178">
        <f t="shared" si="28"/>
        <v>129.40052374363728</v>
      </c>
      <c r="K45" s="178">
        <f t="shared" si="28"/>
        <v>153.03895251272547</v>
      </c>
      <c r="L45" s="178">
        <f t="shared" si="28"/>
        <v>177.7281668972696</v>
      </c>
      <c r="M45" s="178">
        <f t="shared" si="28"/>
        <v>164.50790502545095</v>
      </c>
      <c r="N45" s="178">
        <f t="shared" si="28"/>
        <v>151.2876431536323</v>
      </c>
      <c r="O45" s="178">
        <f t="shared" si="28"/>
        <v>125.89790502545098</v>
      </c>
      <c r="P45" s="178">
        <f t="shared" si="28"/>
        <v>0</v>
      </c>
      <c r="Q45" s="178">
        <f t="shared" si="28"/>
        <v>0</v>
      </c>
      <c r="R45" s="178">
        <f t="shared" si="28"/>
        <v>0</v>
      </c>
      <c r="S45" s="178">
        <f t="shared" si="28"/>
        <v>0</v>
      </c>
      <c r="T45" s="178">
        <f t="shared" si="28"/>
        <v>0</v>
      </c>
      <c r="U45" s="178">
        <f t="shared" si="28"/>
        <v>0</v>
      </c>
      <c r="V45" s="178">
        <f t="shared" si="28"/>
        <v>0</v>
      </c>
      <c r="W45" s="178">
        <f t="shared" si="28"/>
        <v>0</v>
      </c>
      <c r="X45" s="178">
        <f t="shared" si="28"/>
        <v>0</v>
      </c>
      <c r="Y45" s="178">
        <f t="shared" si="28"/>
        <v>0</v>
      </c>
      <c r="Z45" s="178">
        <f t="shared" si="28"/>
        <v>0</v>
      </c>
      <c r="AA45" s="178">
        <f t="shared" si="28"/>
        <v>0</v>
      </c>
      <c r="AB45" s="178">
        <f t="shared" si="28"/>
        <v>0</v>
      </c>
      <c r="AC45" s="178">
        <f t="shared" si="28"/>
        <v>0</v>
      </c>
      <c r="AD45" s="178">
        <f t="shared" ref="AD45:AD46" si="29">$E45*AD$44</f>
        <v>0</v>
      </c>
    </row>
    <row r="46" spans="1:30" ht="28.5" customHeight="1" x14ac:dyDescent="0.25">
      <c r="B46" s="179" t="s">
        <v>769</v>
      </c>
      <c r="C46" s="179" t="s">
        <v>588</v>
      </c>
      <c r="D46" s="179" t="s">
        <v>590</v>
      </c>
      <c r="E46" s="180">
        <f>SUM('[2]Revised top-down'!$C$10:$D$10)-E45</f>
        <v>51.5</v>
      </c>
      <c r="F46" s="178">
        <f>$E46*F$44</f>
        <v>1.2122069333197933</v>
      </c>
      <c r="G46" s="178">
        <f t="shared" si="28"/>
        <v>4.2601591794767639</v>
      </c>
      <c r="H46" s="178">
        <f t="shared" si="28"/>
        <v>4.7190955076860588</v>
      </c>
      <c r="I46" s="178">
        <f t="shared" si="28"/>
        <v>5.2200795897383827</v>
      </c>
      <c r="J46" s="178">
        <f t="shared" si="28"/>
        <v>5.1780318358953537</v>
      </c>
      <c r="K46" s="178">
        <f t="shared" si="28"/>
        <v>6.123936328209294</v>
      </c>
      <c r="L46" s="178">
        <f t="shared" si="28"/>
        <v>7.111888574366267</v>
      </c>
      <c r="M46" s="178">
        <f t="shared" si="28"/>
        <v>6.5828726564185889</v>
      </c>
      <c r="N46" s="178">
        <f t="shared" si="28"/>
        <v>6.0538567384709125</v>
      </c>
      <c r="O46" s="178">
        <f t="shared" si="28"/>
        <v>5.0378726564185898</v>
      </c>
      <c r="P46" s="178">
        <f t="shared" si="28"/>
        <v>0</v>
      </c>
      <c r="Q46" s="178">
        <f t="shared" si="28"/>
        <v>0</v>
      </c>
      <c r="R46" s="178">
        <f t="shared" si="28"/>
        <v>0</v>
      </c>
      <c r="S46" s="178">
        <f t="shared" si="28"/>
        <v>0</v>
      </c>
      <c r="T46" s="178">
        <f t="shared" si="28"/>
        <v>0</v>
      </c>
      <c r="U46" s="178">
        <f t="shared" si="28"/>
        <v>0</v>
      </c>
      <c r="V46" s="178">
        <f t="shared" si="28"/>
        <v>0</v>
      </c>
      <c r="W46" s="178">
        <f t="shared" si="28"/>
        <v>0</v>
      </c>
      <c r="X46" s="178">
        <f t="shared" si="28"/>
        <v>0</v>
      </c>
      <c r="Y46" s="178">
        <f t="shared" si="28"/>
        <v>0</v>
      </c>
      <c r="Z46" s="178">
        <f t="shared" si="28"/>
        <v>0</v>
      </c>
      <c r="AA46" s="178">
        <f t="shared" si="28"/>
        <v>0</v>
      </c>
      <c r="AB46" s="178">
        <f t="shared" si="28"/>
        <v>0</v>
      </c>
      <c r="AC46" s="178">
        <f t="shared" si="28"/>
        <v>0</v>
      </c>
      <c r="AD46" s="178">
        <f t="shared" si="29"/>
        <v>0</v>
      </c>
    </row>
    <row r="47" spans="1:30" ht="15.75" customHeight="1" x14ac:dyDescent="0.25">
      <c r="A47" s="338">
        <v>1</v>
      </c>
      <c r="B47" s="181" t="s">
        <v>583</v>
      </c>
      <c r="C47" s="181" t="s">
        <v>21</v>
      </c>
      <c r="D47" s="184"/>
      <c r="E47" s="276">
        <f>SUM(F47:AD47)</f>
        <v>36784.224434707081</v>
      </c>
      <c r="F47" s="185"/>
      <c r="G47" s="185">
        <f>IF(F42&lt;15+$F42,$F44*$I$27*'General Inputs&amp;Outputs'!$C$14,0)</f>
        <v>2452.2816289804723</v>
      </c>
      <c r="H47" s="185">
        <f>IF(G42&lt;15+$F42,$F44*$I$27*'General Inputs&amp;Outputs'!$C$14,0)</f>
        <v>2452.2816289804723</v>
      </c>
      <c r="I47" s="185">
        <f>IF(H42&lt;15+$F42,$F44*$I$27*'General Inputs&amp;Outputs'!$C$14,0)</f>
        <v>2452.2816289804723</v>
      </c>
      <c r="J47" s="185">
        <f>IF(I42&lt;15+$F42,$F44*$I$27*'General Inputs&amp;Outputs'!$C$14,0)</f>
        <v>2452.2816289804723</v>
      </c>
      <c r="K47" s="185">
        <f>IF(J42&lt;15+$F42,$F44*$I$27*'General Inputs&amp;Outputs'!$C$14,0)</f>
        <v>2452.2816289804723</v>
      </c>
      <c r="L47" s="185">
        <f>IF(K42&lt;15+$F42,$F44*$I$27*'General Inputs&amp;Outputs'!$C$14,0)</f>
        <v>2452.2816289804723</v>
      </c>
      <c r="M47" s="185">
        <f>IF(L42&lt;15+$F42,$F44*$I$27*'General Inputs&amp;Outputs'!$C$14,0)</f>
        <v>2452.2816289804723</v>
      </c>
      <c r="N47" s="185">
        <f>IF(M42&lt;15+$F42,$F44*$I$27*'General Inputs&amp;Outputs'!$C$14,0)</f>
        <v>2452.2816289804723</v>
      </c>
      <c r="O47" s="185">
        <f>IF(N42&lt;15+$F42,$F44*$I$27*'General Inputs&amp;Outputs'!$C$14,0)</f>
        <v>2452.2816289804723</v>
      </c>
      <c r="P47" s="185">
        <f>IF(O42&lt;15+$F42,$F44*$I$27*'General Inputs&amp;Outputs'!$C$14,0)</f>
        <v>2452.2816289804723</v>
      </c>
      <c r="Q47" s="185">
        <f>IF(P42&lt;15+$F42,$F44*$I$27*'General Inputs&amp;Outputs'!$C$14,0)</f>
        <v>2452.2816289804723</v>
      </c>
      <c r="R47" s="185">
        <f>IF(Q42&lt;15+$F42,$F44*$I$27*'General Inputs&amp;Outputs'!$C$14,0)</f>
        <v>2452.2816289804723</v>
      </c>
      <c r="S47" s="185">
        <f>IF(R42&lt;15+$F42,$F44*$I$27*'General Inputs&amp;Outputs'!$C$14,0)</f>
        <v>2452.2816289804723</v>
      </c>
      <c r="T47" s="185">
        <f>IF(S42&lt;15+$F42,$F44*$I$27*'General Inputs&amp;Outputs'!$C$14,0)</f>
        <v>2452.2816289804723</v>
      </c>
      <c r="U47" s="185">
        <f>IF(T42&lt;15+$F42,$F44*$I$27*'General Inputs&amp;Outputs'!$C$14,0)</f>
        <v>2452.2816289804723</v>
      </c>
      <c r="V47" s="185">
        <f>IF(U42&lt;15+$F42,$F44*$I$27*'General Inputs&amp;Outputs'!$C$14,0)</f>
        <v>0</v>
      </c>
      <c r="W47" s="185">
        <f>IF(V42&lt;15+$F42,$F44*$I$27*'General Inputs&amp;Outputs'!$C$14,0)</f>
        <v>0</v>
      </c>
      <c r="X47" s="185">
        <f>IF(W42&lt;15+$F42,$F44*$I$27*'General Inputs&amp;Outputs'!$C$14,0)</f>
        <v>0</v>
      </c>
      <c r="Y47" s="185">
        <f>IF(X42&lt;15+$F42,$F44*$I$27*'General Inputs&amp;Outputs'!$C$14,0)</f>
        <v>0</v>
      </c>
      <c r="Z47" s="185">
        <f>IF(Y42&lt;15+$F42,$F44*$I$27*'General Inputs&amp;Outputs'!$C$14,0)</f>
        <v>0</v>
      </c>
      <c r="AA47" s="185">
        <f>IF(Z42&lt;15+$F42,$F44*$I$27*'General Inputs&amp;Outputs'!$C$14,0)</f>
        <v>0</v>
      </c>
      <c r="AB47" s="185">
        <f>IF(AA42&lt;15+$F42,$F44*$I$27*'General Inputs&amp;Outputs'!$C$14,0)</f>
        <v>0</v>
      </c>
      <c r="AC47" s="185">
        <f>IF(AB42&lt;15+$F42,$F44*$I$27*'General Inputs&amp;Outputs'!$C$14,0)</f>
        <v>0</v>
      </c>
      <c r="AD47" s="185">
        <f>IF(AC42&lt;15+$F42,$F44*$I$27*'General Inputs&amp;Outputs'!$C$14,0)</f>
        <v>0</v>
      </c>
    </row>
    <row r="48" spans="1:30" ht="15.75" customHeight="1" x14ac:dyDescent="0.25">
      <c r="A48" s="338">
        <v>2</v>
      </c>
      <c r="B48" s="181" t="s">
        <v>584</v>
      </c>
      <c r="C48" s="181" t="s">
        <v>21</v>
      </c>
      <c r="D48" s="184"/>
      <c r="E48" s="276">
        <f t="shared" ref="E48:E56" si="30">SUM(F48:AD48)</f>
        <v>129273.84514811219</v>
      </c>
      <c r="F48" s="185"/>
      <c r="G48" s="185"/>
      <c r="H48" s="185">
        <f>IF(G42&lt;15+$A48,$G$44*$I$27*'General Inputs&amp;Outputs'!$C$14,0)</f>
        <v>8618.2563432074767</v>
      </c>
      <c r="I48" s="185">
        <f>IF(H42&lt;15+$A48,$G$44*$I$27*'General Inputs&amp;Outputs'!$C$14,0)</f>
        <v>8618.2563432074767</v>
      </c>
      <c r="J48" s="185">
        <f>IF(I42&lt;15+$A48,$G$44*$I$27*'General Inputs&amp;Outputs'!$C$14,0)</f>
        <v>8618.2563432074767</v>
      </c>
      <c r="K48" s="185">
        <f>IF(J42&lt;15+$A48,$G$44*$I$27*'General Inputs&amp;Outputs'!$C$14,0)</f>
        <v>8618.2563432074767</v>
      </c>
      <c r="L48" s="185">
        <f>IF(K42&lt;15+$A48,$G$44*$I$27*'General Inputs&amp;Outputs'!$C$14,0)</f>
        <v>8618.2563432074767</v>
      </c>
      <c r="M48" s="185">
        <f>IF(L42&lt;15+$A48,$G$44*$I$27*'General Inputs&amp;Outputs'!$C$14,0)</f>
        <v>8618.2563432074767</v>
      </c>
      <c r="N48" s="185">
        <f>IF(M42&lt;15+$A48,$G$44*$I$27*'General Inputs&amp;Outputs'!$C$14,0)</f>
        <v>8618.2563432074767</v>
      </c>
      <c r="O48" s="185">
        <f>IF(N42&lt;15+$A48,$G$44*$I$27*'General Inputs&amp;Outputs'!$C$14,0)</f>
        <v>8618.2563432074767</v>
      </c>
      <c r="P48" s="185">
        <f>IF(O42&lt;15+$A48,$G$44*$I$27*'General Inputs&amp;Outputs'!$C$14,0)</f>
        <v>8618.2563432074767</v>
      </c>
      <c r="Q48" s="185">
        <f>IF(P42&lt;15+$A48,$G$44*$I$27*'General Inputs&amp;Outputs'!$C$14,0)</f>
        <v>8618.2563432074767</v>
      </c>
      <c r="R48" s="185">
        <f>IF(Q42&lt;15+$A48,$G$44*$I$27*'General Inputs&amp;Outputs'!$C$14,0)</f>
        <v>8618.2563432074767</v>
      </c>
      <c r="S48" s="185">
        <f>IF(R42&lt;15+$A48,$G$44*$I$27*'General Inputs&amp;Outputs'!$C$14,0)</f>
        <v>8618.2563432074767</v>
      </c>
      <c r="T48" s="185">
        <f>IF(S42&lt;15+$A48,$G$44*$I$27*'General Inputs&amp;Outputs'!$C$14,0)</f>
        <v>8618.2563432074767</v>
      </c>
      <c r="U48" s="185">
        <f>IF(T42&lt;15+$A48,$G$44*$I$27*'General Inputs&amp;Outputs'!$C$14,0)</f>
        <v>8618.2563432074767</v>
      </c>
      <c r="V48" s="185">
        <f>IF(U42&lt;15+$A48,$G$44*$I$27*'General Inputs&amp;Outputs'!$C$14,0)</f>
        <v>8618.2563432074767</v>
      </c>
      <c r="W48" s="185">
        <f>IF(V42&lt;15+$A48,$G$44*$I$27*'General Inputs&amp;Outputs'!$C$14,0)</f>
        <v>0</v>
      </c>
      <c r="X48" s="185">
        <f>IF(W42&lt;15+$A48,$G$44*$I$27*'General Inputs&amp;Outputs'!$C$14,0)</f>
        <v>0</v>
      </c>
      <c r="Y48" s="185">
        <f>IF(X42&lt;15+$A48,$G$44*$I$27*'General Inputs&amp;Outputs'!$C$14,0)</f>
        <v>0</v>
      </c>
      <c r="Z48" s="185">
        <f>IF(Y42&lt;15+$A48,$G$44*$I$27*'General Inputs&amp;Outputs'!$C$14,0)</f>
        <v>0</v>
      </c>
      <c r="AA48" s="185">
        <f>IF(Z42&lt;15+$A48,$G$44*$I$27*'General Inputs&amp;Outputs'!$C$14,0)</f>
        <v>0</v>
      </c>
      <c r="AB48" s="185">
        <f>IF(AA42&lt;15+$A48,$G$44*$I$27*'General Inputs&amp;Outputs'!$C$14,0)</f>
        <v>0</v>
      </c>
      <c r="AC48" s="185">
        <f>IF(AB42&lt;15+$A48,$G$44*$I$27*'General Inputs&amp;Outputs'!$C$14,0)</f>
        <v>0</v>
      </c>
      <c r="AD48" s="185">
        <f>IF(AC42&lt;15+$A48,$G$44*$I$27*'General Inputs&amp;Outputs'!$C$14,0)</f>
        <v>0</v>
      </c>
    </row>
    <row r="49" spans="1:30" ht="15.75" customHeight="1" x14ac:dyDescent="0.25">
      <c r="A49" s="338">
        <v>3</v>
      </c>
      <c r="B49" s="181" t="s">
        <v>591</v>
      </c>
      <c r="C49" s="181" t="s">
        <v>21</v>
      </c>
      <c r="D49" s="184"/>
      <c r="E49" s="276">
        <f t="shared" si="30"/>
        <v>143200.19421778663</v>
      </c>
      <c r="F49" s="184"/>
      <c r="G49" s="184"/>
      <c r="H49" s="184"/>
      <c r="I49" s="185">
        <f>IF(H42&lt;15+$A49,$H$44*$I$27*'General Inputs&amp;Outputs'!$C$14,0)</f>
        <v>9546.6796145191092</v>
      </c>
      <c r="J49" s="185">
        <f>IF(I42&lt;15+$A49,$H$44*$I$27*'General Inputs&amp;Outputs'!$C$14,0)</f>
        <v>9546.6796145191092</v>
      </c>
      <c r="K49" s="185">
        <f>IF(J42&lt;15+$A49,$H$44*$I$27*'General Inputs&amp;Outputs'!$C$14,0)</f>
        <v>9546.6796145191092</v>
      </c>
      <c r="L49" s="185">
        <f>IF(K42&lt;15+$A49,$H$44*$I$27*'General Inputs&amp;Outputs'!$C$14,0)</f>
        <v>9546.6796145191092</v>
      </c>
      <c r="M49" s="185">
        <f>IF(L42&lt;15+$A49,$H$44*$I$27*'General Inputs&amp;Outputs'!$C$14,0)</f>
        <v>9546.6796145191092</v>
      </c>
      <c r="N49" s="185">
        <f>IF(M42&lt;15+$A49,$H$44*$I$27*'General Inputs&amp;Outputs'!$C$14,0)</f>
        <v>9546.6796145191092</v>
      </c>
      <c r="O49" s="185">
        <f>IF(N42&lt;15+$A49,$H$44*$I$27*'General Inputs&amp;Outputs'!$C$14,0)</f>
        <v>9546.6796145191092</v>
      </c>
      <c r="P49" s="185">
        <f>IF(O42&lt;15+$A49,$H$44*$I$27*'General Inputs&amp;Outputs'!$C$14,0)</f>
        <v>9546.6796145191092</v>
      </c>
      <c r="Q49" s="185">
        <f>IF(P42&lt;15+$A49,$H$44*$I$27*'General Inputs&amp;Outputs'!$C$14,0)</f>
        <v>9546.6796145191092</v>
      </c>
      <c r="R49" s="185">
        <f>IF(Q42&lt;15+$A49,$H$44*$I$27*'General Inputs&amp;Outputs'!$C$14,0)</f>
        <v>9546.6796145191092</v>
      </c>
      <c r="S49" s="185">
        <f>IF(R42&lt;15+$A49,$H$44*$I$27*'General Inputs&amp;Outputs'!$C$14,0)</f>
        <v>9546.6796145191092</v>
      </c>
      <c r="T49" s="185">
        <f>IF(S42&lt;15+$A49,$H$44*$I$27*'General Inputs&amp;Outputs'!$C$14,0)</f>
        <v>9546.6796145191092</v>
      </c>
      <c r="U49" s="185">
        <f>IF(T42&lt;15+$A49,$H$44*$I$27*'General Inputs&amp;Outputs'!$C$14,0)</f>
        <v>9546.6796145191092</v>
      </c>
      <c r="V49" s="185">
        <f>IF(U42&lt;15+$A49,$H$44*$I$27*'General Inputs&amp;Outputs'!$C$14,0)</f>
        <v>9546.6796145191092</v>
      </c>
      <c r="W49" s="185">
        <f>IF(V42&lt;15+$A49,$H$44*$I$27*'General Inputs&amp;Outputs'!$C$14,0)</f>
        <v>9546.6796145191092</v>
      </c>
      <c r="X49" s="185">
        <f>IF(W42&lt;15+$A49,$H$44*$I$27*'General Inputs&amp;Outputs'!$C$14,0)</f>
        <v>0</v>
      </c>
      <c r="Y49" s="185">
        <f>IF(X42&lt;15+$A49,$H$44*$I$27*'General Inputs&amp;Outputs'!$C$14,0)</f>
        <v>0</v>
      </c>
      <c r="Z49" s="185">
        <f>IF(Y42&lt;15+$A49,$H$44*$I$27*'General Inputs&amp;Outputs'!$C$14,0)</f>
        <v>0</v>
      </c>
      <c r="AA49" s="185">
        <f>IF(Z42&lt;15+$A49,$H$44*$I$27*'General Inputs&amp;Outputs'!$C$14,0)</f>
        <v>0</v>
      </c>
      <c r="AB49" s="185">
        <f>IF(AA42&lt;15+$A49,$H$44*$I$27*'General Inputs&amp;Outputs'!$C$14,0)</f>
        <v>0</v>
      </c>
      <c r="AC49" s="185">
        <f>IF(AB42&lt;15+$A49,$H$44*$I$27*'General Inputs&amp;Outputs'!$C$14,0)</f>
        <v>0</v>
      </c>
      <c r="AD49" s="185">
        <f>IF(AC42&lt;15+$A49,$H$44*$I$27*'General Inputs&amp;Outputs'!$C$14,0)</f>
        <v>0</v>
      </c>
    </row>
    <row r="50" spans="1:30" ht="15.75" customHeight="1" x14ac:dyDescent="0.25">
      <c r="A50" s="338">
        <v>4</v>
      </c>
      <c r="B50" s="181" t="s">
        <v>592</v>
      </c>
      <c r="C50" s="181" t="s">
        <v>21</v>
      </c>
      <c r="D50" s="184"/>
      <c r="E50" s="276">
        <f t="shared" si="30"/>
        <v>158402.47561536939</v>
      </c>
      <c r="F50" s="184"/>
      <c r="G50" s="184"/>
      <c r="H50" s="184"/>
      <c r="I50" s="184"/>
      <c r="J50" s="185">
        <f>IF(I42&lt;15+$A50,$I$44*$I$27*'General Inputs&amp;Outputs'!$C$14,0)</f>
        <v>10560.165041024629</v>
      </c>
      <c r="K50" s="185">
        <f>IF(J42&lt;15+$A50,$I$44*$I$27*'General Inputs&amp;Outputs'!$C$14,0)</f>
        <v>10560.165041024629</v>
      </c>
      <c r="L50" s="185">
        <f>IF(K42&lt;15+$A50,$I$44*$I$27*'General Inputs&amp;Outputs'!$C$14,0)</f>
        <v>10560.165041024629</v>
      </c>
      <c r="M50" s="185">
        <f>IF(L42&lt;15+$A50,$I$44*$I$27*'General Inputs&amp;Outputs'!$C$14,0)</f>
        <v>10560.165041024629</v>
      </c>
      <c r="N50" s="185">
        <f>IF(M42&lt;15+$A50,$I$44*$I$27*'General Inputs&amp;Outputs'!$C$14,0)</f>
        <v>10560.165041024629</v>
      </c>
      <c r="O50" s="185">
        <f>IF(N42&lt;15+$A50,$I$44*$I$27*'General Inputs&amp;Outputs'!$C$14,0)</f>
        <v>10560.165041024629</v>
      </c>
      <c r="P50" s="185">
        <f>IF(O42&lt;15+$A50,$I$44*$I$27*'General Inputs&amp;Outputs'!$C$14,0)</f>
        <v>10560.165041024629</v>
      </c>
      <c r="Q50" s="185">
        <f>IF(P42&lt;15+$A50,$I$44*$I$27*'General Inputs&amp;Outputs'!$C$14,0)</f>
        <v>10560.165041024629</v>
      </c>
      <c r="R50" s="185">
        <f>IF(Q42&lt;15+$A50,$I$44*$I$27*'General Inputs&amp;Outputs'!$C$14,0)</f>
        <v>10560.165041024629</v>
      </c>
      <c r="S50" s="185">
        <f>IF(R42&lt;15+$A50,$I$44*$I$27*'General Inputs&amp;Outputs'!$C$14,0)</f>
        <v>10560.165041024629</v>
      </c>
      <c r="T50" s="185">
        <f>IF(S42&lt;15+$A50,$I$44*$I$27*'General Inputs&amp;Outputs'!$C$14,0)</f>
        <v>10560.165041024629</v>
      </c>
      <c r="U50" s="185">
        <f>IF(T42&lt;15+$A50,$I$44*$I$27*'General Inputs&amp;Outputs'!$C$14,0)</f>
        <v>10560.165041024629</v>
      </c>
      <c r="V50" s="185">
        <f>IF(U42&lt;15+$A50,$I$44*$I$27*'General Inputs&amp;Outputs'!$C$14,0)</f>
        <v>10560.165041024629</v>
      </c>
      <c r="W50" s="185">
        <f>IF(V42&lt;15+$A50,$I$44*$I$27*'General Inputs&amp;Outputs'!$C$14,0)</f>
        <v>10560.165041024629</v>
      </c>
      <c r="X50" s="185">
        <f>IF(W42&lt;15+$A50,$I$44*$I$27*'General Inputs&amp;Outputs'!$C$14,0)</f>
        <v>10560.165041024629</v>
      </c>
      <c r="Y50" s="185">
        <f>IF(X42&lt;15+$A50,$I$44*$I$27*'General Inputs&amp;Outputs'!$C$14,0)</f>
        <v>0</v>
      </c>
      <c r="Z50" s="185">
        <f>IF(Y42&lt;15+$A50,$I$44*$I$27*'General Inputs&amp;Outputs'!$C$14,0)</f>
        <v>0</v>
      </c>
      <c r="AA50" s="185">
        <f>IF(Z42&lt;15+$A50,$I$44*$I$27*'General Inputs&amp;Outputs'!$C$14,0)</f>
        <v>0</v>
      </c>
      <c r="AB50" s="185">
        <f>IF(AA42&lt;15+$A50,$I$44*$I$27*'General Inputs&amp;Outputs'!$C$14,0)</f>
        <v>0</v>
      </c>
      <c r="AC50" s="185">
        <f>IF(AB42&lt;15+$A50,$I$44*$I$27*'General Inputs&amp;Outputs'!$C$14,0)</f>
        <v>0</v>
      </c>
      <c r="AD50" s="185">
        <f>IF(AC42&lt;15+$A50,$I$44*$I$27*'General Inputs&amp;Outputs'!$C$14,0)</f>
        <v>0</v>
      </c>
    </row>
    <row r="51" spans="1:30" ht="15.75" customHeight="1" x14ac:dyDescent="0.25">
      <c r="A51" s="338">
        <v>5</v>
      </c>
      <c r="B51" s="181" t="s">
        <v>593</v>
      </c>
      <c r="C51" s="181" t="s">
        <v>21</v>
      </c>
      <c r="D51" s="184"/>
      <c r="E51" s="276">
        <f t="shared" si="30"/>
        <v>157126.54328746113</v>
      </c>
      <c r="F51" s="184"/>
      <c r="G51" s="184"/>
      <c r="H51" s="184"/>
      <c r="I51" s="184"/>
      <c r="J51" s="184"/>
      <c r="K51" s="185">
        <f>IF(J42&lt;15+$A51,$J$44*$I$27*'General Inputs&amp;Outputs'!$C$14,0)</f>
        <v>10475.102885830744</v>
      </c>
      <c r="L51" s="185">
        <f>IF(K42&lt;15+$A51,$J$44*$I$27*'General Inputs&amp;Outputs'!$C$14,0)</f>
        <v>10475.102885830744</v>
      </c>
      <c r="M51" s="185">
        <f>IF(L42&lt;15+$A51,$J$44*$I$27*'General Inputs&amp;Outputs'!$C$14,0)</f>
        <v>10475.102885830744</v>
      </c>
      <c r="N51" s="185">
        <f>IF(M42&lt;15+$A51,$J$44*$I$27*'General Inputs&amp;Outputs'!$C$14,0)</f>
        <v>10475.102885830744</v>
      </c>
      <c r="O51" s="185">
        <f>IF(N42&lt;15+$A51,$J$44*$I$27*'General Inputs&amp;Outputs'!$C$14,0)</f>
        <v>10475.102885830744</v>
      </c>
      <c r="P51" s="185">
        <f>IF(O42&lt;15+$A51,$J$44*$I$27*'General Inputs&amp;Outputs'!$C$14,0)</f>
        <v>10475.102885830744</v>
      </c>
      <c r="Q51" s="185">
        <f>IF(P42&lt;15+$A51,$J$44*$I$27*'General Inputs&amp;Outputs'!$C$14,0)</f>
        <v>10475.102885830744</v>
      </c>
      <c r="R51" s="185">
        <f>IF(Q42&lt;15+$A51,$J$44*$I$27*'General Inputs&amp;Outputs'!$C$14,0)</f>
        <v>10475.102885830744</v>
      </c>
      <c r="S51" s="185">
        <f>IF(R42&lt;15+$A51,$J$44*$I$27*'General Inputs&amp;Outputs'!$C$14,0)</f>
        <v>10475.102885830744</v>
      </c>
      <c r="T51" s="185">
        <f>IF(S42&lt;15+$A51,$J$44*$I$27*'General Inputs&amp;Outputs'!$C$14,0)</f>
        <v>10475.102885830744</v>
      </c>
      <c r="U51" s="185">
        <f>IF(T42&lt;15+$A51,$J$44*$I$27*'General Inputs&amp;Outputs'!$C$14,0)</f>
        <v>10475.102885830744</v>
      </c>
      <c r="V51" s="185">
        <f>IF(U42&lt;15+$A51,$J$44*$I$27*'General Inputs&amp;Outputs'!$C$14,0)</f>
        <v>10475.102885830744</v>
      </c>
      <c r="W51" s="185">
        <f>IF(V42&lt;15+$A51,$J$44*$I$27*'General Inputs&amp;Outputs'!$C$14,0)</f>
        <v>10475.102885830744</v>
      </c>
      <c r="X51" s="185">
        <f>IF(W42&lt;15+$A51,$J$44*$I$27*'General Inputs&amp;Outputs'!$C$14,0)</f>
        <v>10475.102885830744</v>
      </c>
      <c r="Y51" s="185">
        <f>IF(X42&lt;15+$A51,$J$44*$I$27*'General Inputs&amp;Outputs'!$C$14,0)</f>
        <v>10475.102885830744</v>
      </c>
      <c r="Z51" s="185">
        <f>IF(Y42&lt;15+$A51,$J$44*$I$27*'General Inputs&amp;Outputs'!$C$14,0)</f>
        <v>0</v>
      </c>
      <c r="AA51" s="185">
        <f>IF(Z42&lt;15+$A51,$J$44*$I$27*'General Inputs&amp;Outputs'!$C$14,0)</f>
        <v>0</v>
      </c>
      <c r="AB51" s="185">
        <f>IF(AA42&lt;15+$A51,$J$44*$I$27*'General Inputs&amp;Outputs'!$C$14,0)</f>
        <v>0</v>
      </c>
      <c r="AC51" s="185">
        <f>IF(AB42&lt;15+$A51,$J$44*$I$27*'General Inputs&amp;Outputs'!$C$14,0)</f>
        <v>0</v>
      </c>
      <c r="AD51" s="185">
        <f>IF(AC42&lt;15+$A51,$J$44*$I$27*'General Inputs&amp;Outputs'!$C$14,0)</f>
        <v>0</v>
      </c>
    </row>
    <row r="52" spans="1:30" ht="15.75" customHeight="1" x14ac:dyDescent="0.25">
      <c r="A52" s="338">
        <v>6</v>
      </c>
      <c r="B52" s="181" t="s">
        <v>594</v>
      </c>
      <c r="C52" s="181" t="s">
        <v>21</v>
      </c>
      <c r="D52" s="184"/>
      <c r="E52" s="276">
        <f t="shared" si="30"/>
        <v>185829.86297874898</v>
      </c>
      <c r="F52" s="184"/>
      <c r="G52" s="184"/>
      <c r="H52" s="184"/>
      <c r="I52" s="184"/>
      <c r="J52" s="184"/>
      <c r="K52" s="184"/>
      <c r="L52" s="185">
        <f>IF(K42&lt;15+$A52,$K$44*$I$27*'General Inputs&amp;Outputs'!$C$14,0)</f>
        <v>12388.657531916599</v>
      </c>
      <c r="M52" s="185">
        <f>IF(L42&lt;15+$A52,$K$44*$I$27*'General Inputs&amp;Outputs'!$C$14,0)</f>
        <v>12388.657531916599</v>
      </c>
      <c r="N52" s="185">
        <f>IF(M42&lt;15+$A52,$K$44*$I$27*'General Inputs&amp;Outputs'!$C$14,0)</f>
        <v>12388.657531916599</v>
      </c>
      <c r="O52" s="185">
        <f>IF(N42&lt;15+$A52,$K$44*$I$27*'General Inputs&amp;Outputs'!$C$14,0)</f>
        <v>12388.657531916599</v>
      </c>
      <c r="P52" s="185">
        <f>IF(O42&lt;15+$A52,$K$44*$I$27*'General Inputs&amp;Outputs'!$C$14,0)</f>
        <v>12388.657531916599</v>
      </c>
      <c r="Q52" s="185">
        <f>IF(P42&lt;15+$A52,$K$44*$I$27*'General Inputs&amp;Outputs'!$C$14,0)</f>
        <v>12388.657531916599</v>
      </c>
      <c r="R52" s="185">
        <f>IF(Q42&lt;15+$A52,$K$44*$I$27*'General Inputs&amp;Outputs'!$C$14,0)</f>
        <v>12388.657531916599</v>
      </c>
      <c r="S52" s="185">
        <f>IF(R42&lt;15+$A52,$K$44*$I$27*'General Inputs&amp;Outputs'!$C$14,0)</f>
        <v>12388.657531916599</v>
      </c>
      <c r="T52" s="185">
        <f>IF(S42&lt;15+$A52,$K$44*$I$27*'General Inputs&amp;Outputs'!$C$14,0)</f>
        <v>12388.657531916599</v>
      </c>
      <c r="U52" s="185">
        <f>IF(T42&lt;15+$A52,$K$44*$I$27*'General Inputs&amp;Outputs'!$C$14,0)</f>
        <v>12388.657531916599</v>
      </c>
      <c r="V52" s="185">
        <f>IF(U42&lt;15+$A52,$K$44*$I$27*'General Inputs&amp;Outputs'!$C$14,0)</f>
        <v>12388.657531916599</v>
      </c>
      <c r="W52" s="185">
        <f>IF(V42&lt;15+$A52,$K$44*$I$27*'General Inputs&amp;Outputs'!$C$14,0)</f>
        <v>12388.657531916599</v>
      </c>
      <c r="X52" s="185">
        <f>IF(W42&lt;15+$A52,$K$44*$I$27*'General Inputs&amp;Outputs'!$C$14,0)</f>
        <v>12388.657531916599</v>
      </c>
      <c r="Y52" s="185">
        <f>IF(X42&lt;15+$A52,$K$44*$I$27*'General Inputs&amp;Outputs'!$C$14,0)</f>
        <v>12388.657531916599</v>
      </c>
      <c r="Z52" s="185">
        <f>IF(Y42&lt;15+$A52,$K$44*$I$27*'General Inputs&amp;Outputs'!$C$14,0)</f>
        <v>12388.657531916599</v>
      </c>
      <c r="AA52" s="185">
        <f>IF(Z42&lt;15+$A52,$K$44*$I$27*'General Inputs&amp;Outputs'!$C$14,0)</f>
        <v>0</v>
      </c>
      <c r="AB52" s="185">
        <f>IF(AA42&lt;15+$A52,$K$44*$I$27*'General Inputs&amp;Outputs'!$C$14,0)</f>
        <v>0</v>
      </c>
      <c r="AC52" s="185">
        <f>IF(AB42&lt;15+$A52,$K$44*$I$27*'General Inputs&amp;Outputs'!$C$14,0)</f>
        <v>0</v>
      </c>
      <c r="AD52" s="185">
        <f>IF(AC42&lt;15+$A52,$K$44*$I$27*'General Inputs&amp;Outputs'!$C$14,0)</f>
        <v>0</v>
      </c>
    </row>
    <row r="53" spans="1:30" ht="15.75" customHeight="1" x14ac:dyDescent="0.25">
      <c r="A53" s="338">
        <v>7</v>
      </c>
      <c r="B53" s="181" t="s">
        <v>595</v>
      </c>
      <c r="C53" s="181" t="s">
        <v>21</v>
      </c>
      <c r="D53" s="184"/>
      <c r="E53" s="276">
        <f t="shared" si="30"/>
        <v>215809.11499794517</v>
      </c>
      <c r="F53" s="184"/>
      <c r="G53" s="184"/>
      <c r="H53" s="184"/>
      <c r="I53" s="184"/>
      <c r="J53" s="184"/>
      <c r="K53" s="184"/>
      <c r="L53" s="184"/>
      <c r="M53" s="185">
        <f>IF(L42&lt;15+$A53,$L$44*$I$27*'General Inputs&amp;Outputs'!$C$14,0)</f>
        <v>14387.274333196347</v>
      </c>
      <c r="N53" s="185">
        <f>IF(M42&lt;15+$A53,$L$44*$I$27*'General Inputs&amp;Outputs'!$C$14,0)</f>
        <v>14387.274333196347</v>
      </c>
      <c r="O53" s="185">
        <f>IF(N42&lt;15+$A53,$L$44*$I$27*'General Inputs&amp;Outputs'!$C$14,0)</f>
        <v>14387.274333196347</v>
      </c>
      <c r="P53" s="185">
        <f>IF(O42&lt;15+$A53,$L$44*$I$27*'General Inputs&amp;Outputs'!$C$14,0)</f>
        <v>14387.274333196347</v>
      </c>
      <c r="Q53" s="185">
        <f>IF(P42&lt;15+$A53,$L$44*$I$27*'General Inputs&amp;Outputs'!$C$14,0)</f>
        <v>14387.274333196347</v>
      </c>
      <c r="R53" s="185">
        <f>IF(Q42&lt;15+$A53,$L$44*$I$27*'General Inputs&amp;Outputs'!$C$14,0)</f>
        <v>14387.274333196347</v>
      </c>
      <c r="S53" s="185">
        <f>IF(R42&lt;15+$A53,$L$44*$I$27*'General Inputs&amp;Outputs'!$C$14,0)</f>
        <v>14387.274333196347</v>
      </c>
      <c r="T53" s="185">
        <f>IF(S42&lt;15+$A53,$L$44*$I$27*'General Inputs&amp;Outputs'!$C$14,0)</f>
        <v>14387.274333196347</v>
      </c>
      <c r="U53" s="185">
        <f>IF(T42&lt;15+$A53,$L$44*$I$27*'General Inputs&amp;Outputs'!$C$14,0)</f>
        <v>14387.274333196347</v>
      </c>
      <c r="V53" s="185">
        <f>IF(U42&lt;15+$A53,$L$44*$I$27*'General Inputs&amp;Outputs'!$C$14,0)</f>
        <v>14387.274333196347</v>
      </c>
      <c r="W53" s="185">
        <f>IF(V42&lt;15+$A53,$L$44*$I$27*'General Inputs&amp;Outputs'!$C$14,0)</f>
        <v>14387.274333196347</v>
      </c>
      <c r="X53" s="185">
        <f>IF(W42&lt;15+$A53,$L$44*$I$27*'General Inputs&amp;Outputs'!$C$14,0)</f>
        <v>14387.274333196347</v>
      </c>
      <c r="Y53" s="185">
        <f>IF(X42&lt;15+$A53,$L$44*$I$27*'General Inputs&amp;Outputs'!$C$14,0)</f>
        <v>14387.274333196347</v>
      </c>
      <c r="Z53" s="185">
        <f>IF(Y42&lt;15+$A53,$L$44*$I$27*'General Inputs&amp;Outputs'!$C$14,0)</f>
        <v>14387.274333196347</v>
      </c>
      <c r="AA53" s="185">
        <f>IF(Z42&lt;15+$A53,$L$44*$I$27*'General Inputs&amp;Outputs'!$C$14,0)</f>
        <v>14387.274333196347</v>
      </c>
      <c r="AB53" s="185">
        <f>IF(AA42&lt;15+$A53,$L$44*$I$27*'General Inputs&amp;Outputs'!$C$14,0)</f>
        <v>0</v>
      </c>
      <c r="AC53" s="185">
        <f>IF(AB42&lt;15+$A53,$L$44*$I$27*'General Inputs&amp;Outputs'!$C$14,0)</f>
        <v>0</v>
      </c>
      <c r="AD53" s="185">
        <f>IF(AC42&lt;15+$A53,$L$44*$I$27*'General Inputs&amp;Outputs'!$C$14,0)</f>
        <v>0</v>
      </c>
    </row>
    <row r="54" spans="1:30" ht="15.75" customHeight="1" x14ac:dyDescent="0.25">
      <c r="A54" s="338">
        <v>8</v>
      </c>
      <c r="B54" s="181" t="s">
        <v>596</v>
      </c>
      <c r="C54" s="181" t="s">
        <v>21</v>
      </c>
      <c r="D54" s="184"/>
      <c r="E54" s="276">
        <f t="shared" si="30"/>
        <v>199756.21204842345</v>
      </c>
      <c r="F54" s="184"/>
      <c r="G54" s="184"/>
      <c r="H54" s="184"/>
      <c r="I54" s="184"/>
      <c r="J54" s="184"/>
      <c r="K54" s="184"/>
      <c r="L54" s="184"/>
      <c r="M54" s="184"/>
      <c r="N54" s="185">
        <f>IF(M42&lt;15+$A54,$M$44*$I$27*'General Inputs&amp;Outputs'!$C$14,0)</f>
        <v>13317.080803228233</v>
      </c>
      <c r="O54" s="185">
        <f>IF(N42&lt;15+$A54,$M$44*$I$27*'General Inputs&amp;Outputs'!$C$14,0)</f>
        <v>13317.080803228233</v>
      </c>
      <c r="P54" s="185">
        <f>IF(O42&lt;15+$A54,$M$44*$I$27*'General Inputs&amp;Outputs'!$C$14,0)</f>
        <v>13317.080803228233</v>
      </c>
      <c r="Q54" s="185">
        <f>IF(P42&lt;15+$A54,$M$44*$I$27*'General Inputs&amp;Outputs'!$C$14,0)</f>
        <v>13317.080803228233</v>
      </c>
      <c r="R54" s="185">
        <f>IF(Q42&lt;15+$A54,$M$44*$I$27*'General Inputs&amp;Outputs'!$C$14,0)</f>
        <v>13317.080803228233</v>
      </c>
      <c r="S54" s="185">
        <f>IF(R42&lt;15+$A54,$M$44*$I$27*'General Inputs&amp;Outputs'!$C$14,0)</f>
        <v>13317.080803228233</v>
      </c>
      <c r="T54" s="185">
        <f>IF(S42&lt;15+$A54,$M$44*$I$27*'General Inputs&amp;Outputs'!$C$14,0)</f>
        <v>13317.080803228233</v>
      </c>
      <c r="U54" s="185">
        <f>IF(T42&lt;15+$A54,$M$44*$I$27*'General Inputs&amp;Outputs'!$C$14,0)</f>
        <v>13317.080803228233</v>
      </c>
      <c r="V54" s="185">
        <f>IF(U42&lt;15+$A54,$M$44*$I$27*'General Inputs&amp;Outputs'!$C$14,0)</f>
        <v>13317.080803228233</v>
      </c>
      <c r="W54" s="185">
        <f>IF(V42&lt;15+$A54,$M$44*$I$27*'General Inputs&amp;Outputs'!$C$14,0)</f>
        <v>13317.080803228233</v>
      </c>
      <c r="X54" s="185">
        <f>IF(W42&lt;15+$A54,$M$44*$I$27*'General Inputs&amp;Outputs'!$C$14,0)</f>
        <v>13317.080803228233</v>
      </c>
      <c r="Y54" s="185">
        <f>IF(X42&lt;15+$A54,$M$44*$I$27*'General Inputs&amp;Outputs'!$C$14,0)</f>
        <v>13317.080803228233</v>
      </c>
      <c r="Z54" s="185">
        <f>IF(Y42&lt;15+$A54,$M$44*$I$27*'General Inputs&amp;Outputs'!$C$14,0)</f>
        <v>13317.080803228233</v>
      </c>
      <c r="AA54" s="185">
        <f>IF(Z42&lt;15+$A54,$M$44*$I$27*'General Inputs&amp;Outputs'!$C$14,0)</f>
        <v>13317.080803228233</v>
      </c>
      <c r="AB54" s="185">
        <f>IF(AA42&lt;15+$A54,$M$44*$I$27*'General Inputs&amp;Outputs'!$C$14,0)</f>
        <v>13317.080803228233</v>
      </c>
      <c r="AC54" s="185">
        <f>IF(AB42&lt;15+$A54,$M$44*$I$27*'General Inputs&amp;Outputs'!$C$14,0)</f>
        <v>0</v>
      </c>
      <c r="AD54" s="185">
        <f>IF(AC42&lt;15+$A54,$M$44*$I$27*'General Inputs&amp;Outputs'!$C$14,0)</f>
        <v>0</v>
      </c>
    </row>
    <row r="55" spans="1:30" ht="15.75" customHeight="1" x14ac:dyDescent="0.25">
      <c r="A55" s="338">
        <v>9</v>
      </c>
      <c r="B55" s="181" t="s">
        <v>755</v>
      </c>
      <c r="C55" s="181" t="s">
        <v>21</v>
      </c>
      <c r="D55" s="184"/>
      <c r="E55" s="276">
        <f t="shared" si="30"/>
        <v>183703.30909890184</v>
      </c>
      <c r="F55" s="184"/>
      <c r="G55" s="184"/>
      <c r="H55" s="184"/>
      <c r="I55" s="184"/>
      <c r="J55" s="184"/>
      <c r="K55" s="184"/>
      <c r="L55" s="184"/>
      <c r="M55" s="184"/>
      <c r="N55" s="185"/>
      <c r="O55" s="185">
        <f>IF(N42&lt;15+$A55,$N$44*$I$27*'General Inputs&amp;Outputs'!$C$14,0)</f>
        <v>12246.887273260121</v>
      </c>
      <c r="P55" s="185">
        <f>IF(O42&lt;15+$A55,$N$44*$I$27*'General Inputs&amp;Outputs'!$C$14,0)</f>
        <v>12246.887273260121</v>
      </c>
      <c r="Q55" s="185">
        <f>IF(P42&lt;15+$A55,$N$44*$I$27*'General Inputs&amp;Outputs'!$C$14,0)</f>
        <v>12246.887273260121</v>
      </c>
      <c r="R55" s="185">
        <f>IF(Q42&lt;15+$A55,$N$44*$I$27*'General Inputs&amp;Outputs'!$C$14,0)</f>
        <v>12246.887273260121</v>
      </c>
      <c r="S55" s="185">
        <f>IF(R42&lt;15+$A55,$N$44*$I$27*'General Inputs&amp;Outputs'!$C$14,0)</f>
        <v>12246.887273260121</v>
      </c>
      <c r="T55" s="185">
        <f>IF(S42&lt;15+$A55,$N$44*$I$27*'General Inputs&amp;Outputs'!$C$14,0)</f>
        <v>12246.887273260121</v>
      </c>
      <c r="U55" s="185">
        <f>IF(T42&lt;15+$A55,$N$44*$I$27*'General Inputs&amp;Outputs'!$C$14,0)</f>
        <v>12246.887273260121</v>
      </c>
      <c r="V55" s="185">
        <f>IF(U42&lt;15+$A55,$N$44*$I$27*'General Inputs&amp;Outputs'!$C$14,0)</f>
        <v>12246.887273260121</v>
      </c>
      <c r="W55" s="185">
        <f>IF(V42&lt;15+$A55,$N$44*$I$27*'General Inputs&amp;Outputs'!$C$14,0)</f>
        <v>12246.887273260121</v>
      </c>
      <c r="X55" s="185">
        <f>IF(W42&lt;15+$A55,$N$44*$I$27*'General Inputs&amp;Outputs'!$C$14,0)</f>
        <v>12246.887273260121</v>
      </c>
      <c r="Y55" s="185">
        <f>IF(X42&lt;15+$A55,$N$44*$I$27*'General Inputs&amp;Outputs'!$C$14,0)</f>
        <v>12246.887273260121</v>
      </c>
      <c r="Z55" s="185">
        <f>IF(Y42&lt;15+$A55,$N$44*$I$27*'General Inputs&amp;Outputs'!$C$14,0)</f>
        <v>12246.887273260121</v>
      </c>
      <c r="AA55" s="185">
        <f>IF(Z42&lt;15+$A55,$N$44*$I$27*'General Inputs&amp;Outputs'!$C$14,0)</f>
        <v>12246.887273260121</v>
      </c>
      <c r="AB55" s="185">
        <f>IF(AA42&lt;15+$A55,$N$44*$I$27*'General Inputs&amp;Outputs'!$C$14,0)</f>
        <v>12246.887273260121</v>
      </c>
      <c r="AC55" s="185">
        <f>IF(AB42&lt;15+$A55,$N$44*$I$27*'General Inputs&amp;Outputs'!$C$14,0)</f>
        <v>12246.887273260121</v>
      </c>
      <c r="AD55" s="185">
        <f>IF(AC42&lt;15+$A55,$N$44*$I$27*'General Inputs&amp;Outputs'!$C$14,0)</f>
        <v>0</v>
      </c>
    </row>
    <row r="56" spans="1:30" ht="15.75" customHeight="1" x14ac:dyDescent="0.25">
      <c r="A56" s="338">
        <v>10</v>
      </c>
      <c r="B56" s="181" t="s">
        <v>756</v>
      </c>
      <c r="C56" s="181" t="s">
        <v>21</v>
      </c>
      <c r="D56" s="184"/>
      <c r="E56" s="276">
        <f t="shared" si="30"/>
        <v>152873.43552776685</v>
      </c>
      <c r="F56" s="184"/>
      <c r="G56" s="184"/>
      <c r="H56" s="184"/>
      <c r="I56" s="184"/>
      <c r="J56" s="184"/>
      <c r="K56" s="184"/>
      <c r="L56" s="184"/>
      <c r="M56" s="184"/>
      <c r="N56" s="185"/>
      <c r="O56" s="186"/>
      <c r="P56" s="185">
        <f>IF(O42&lt;15+$A56,$O$44*$I$27*'General Inputs&amp;Outputs'!$C$14,0)</f>
        <v>10191.562368517791</v>
      </c>
      <c r="Q56" s="185">
        <f>IF(P42&lt;15+$A56,$O$44*$I$27*'General Inputs&amp;Outputs'!$C$14,0)</f>
        <v>10191.562368517791</v>
      </c>
      <c r="R56" s="185">
        <f>IF(Q42&lt;15+$A56,$O$44*$I$27*'General Inputs&amp;Outputs'!$C$14,0)</f>
        <v>10191.562368517791</v>
      </c>
      <c r="S56" s="185">
        <f>IF(R42&lt;15+$A56,$O$44*$I$27*'General Inputs&amp;Outputs'!$C$14,0)</f>
        <v>10191.562368517791</v>
      </c>
      <c r="T56" s="185">
        <f>IF(S42&lt;15+$A56,$O$44*$I$27*'General Inputs&amp;Outputs'!$C$14,0)</f>
        <v>10191.562368517791</v>
      </c>
      <c r="U56" s="185">
        <f>IF(T42&lt;15+$A56,$O$44*$I$27*'General Inputs&amp;Outputs'!$C$14,0)</f>
        <v>10191.562368517791</v>
      </c>
      <c r="V56" s="185">
        <f>IF(U42&lt;15+$A56,$O$44*$I$27*'General Inputs&amp;Outputs'!$C$14,0)</f>
        <v>10191.562368517791</v>
      </c>
      <c r="W56" s="185">
        <f>IF(V42&lt;15+$A56,$O$44*$I$27*'General Inputs&amp;Outputs'!$C$14,0)</f>
        <v>10191.562368517791</v>
      </c>
      <c r="X56" s="185">
        <f>IF(W42&lt;15+$A56,$O$44*$I$27*'General Inputs&amp;Outputs'!$C$14,0)</f>
        <v>10191.562368517791</v>
      </c>
      <c r="Y56" s="185">
        <f>IF(X42&lt;15+$A56,$O$44*$I$27*'General Inputs&amp;Outputs'!$C$14,0)</f>
        <v>10191.562368517791</v>
      </c>
      <c r="Z56" s="185">
        <f>IF(Y42&lt;15+$A56,$O$44*$I$27*'General Inputs&amp;Outputs'!$C$14,0)</f>
        <v>10191.562368517791</v>
      </c>
      <c r="AA56" s="185">
        <f>IF(Z42&lt;15+$A56,$O$44*$I$27*'General Inputs&amp;Outputs'!$C$14,0)</f>
        <v>10191.562368517791</v>
      </c>
      <c r="AB56" s="185">
        <f>IF(AA42&lt;15+$A56,$O$44*$I$27*'General Inputs&amp;Outputs'!$C$14,0)</f>
        <v>10191.562368517791</v>
      </c>
      <c r="AC56" s="185">
        <f>IF(AB42&lt;15+$A56,$O$44*$I$27*'General Inputs&amp;Outputs'!$C$14,0)</f>
        <v>10191.562368517791</v>
      </c>
      <c r="AD56" s="185">
        <f>IF(AC42&lt;15+$A56,$O$44*$I$27*'General Inputs&amp;Outputs'!$C$14,0)</f>
        <v>10191.562368517791</v>
      </c>
    </row>
    <row r="57" spans="1:30" ht="15.75" customHeight="1" x14ac:dyDescent="0.25">
      <c r="B57" s="181" t="s">
        <v>582</v>
      </c>
      <c r="C57" s="181" t="s">
        <v>21</v>
      </c>
      <c r="D57" s="184"/>
      <c r="E57" s="276">
        <f>SUM(F57:AD57)</f>
        <v>1562759.2173552227</v>
      </c>
      <c r="F57" s="185">
        <f>SUM(F47:F54)</f>
        <v>0</v>
      </c>
      <c r="G57" s="185">
        <f t="shared" ref="G57:AD57" si="31">SUM(G47:G56)</f>
        <v>2452.2816289804723</v>
      </c>
      <c r="H57" s="185">
        <f t="shared" si="31"/>
        <v>11070.537972187949</v>
      </c>
      <c r="I57" s="185">
        <f t="shared" si="31"/>
        <v>20617.217586707058</v>
      </c>
      <c r="J57" s="185">
        <f t="shared" si="31"/>
        <v>31177.382627731688</v>
      </c>
      <c r="K57" s="185">
        <f t="shared" si="31"/>
        <v>41652.485513562431</v>
      </c>
      <c r="L57" s="185">
        <f t="shared" si="31"/>
        <v>54041.143045479032</v>
      </c>
      <c r="M57" s="185">
        <f t="shared" si="31"/>
        <v>68428.417378675382</v>
      </c>
      <c r="N57" s="185">
        <f t="shared" si="31"/>
        <v>81745.498181903618</v>
      </c>
      <c r="O57" s="185">
        <f t="shared" si="31"/>
        <v>93992.385455163734</v>
      </c>
      <c r="P57" s="185">
        <f t="shared" si="31"/>
        <v>104183.94782368152</v>
      </c>
      <c r="Q57" s="185">
        <f t="shared" si="31"/>
        <v>104183.94782368152</v>
      </c>
      <c r="R57" s="185">
        <f t="shared" si="31"/>
        <v>104183.94782368152</v>
      </c>
      <c r="S57" s="185">
        <f t="shared" si="31"/>
        <v>104183.94782368152</v>
      </c>
      <c r="T57" s="185">
        <f t="shared" si="31"/>
        <v>104183.94782368152</v>
      </c>
      <c r="U57" s="185">
        <f t="shared" si="31"/>
        <v>104183.94782368152</v>
      </c>
      <c r="V57" s="185">
        <f t="shared" si="31"/>
        <v>101731.66619470104</v>
      </c>
      <c r="W57" s="185">
        <f t="shared" si="31"/>
        <v>93113.409851493561</v>
      </c>
      <c r="X57" s="185">
        <f t="shared" si="31"/>
        <v>83566.730236974458</v>
      </c>
      <c r="Y57" s="185">
        <f t="shared" si="31"/>
        <v>73006.565195949835</v>
      </c>
      <c r="Z57" s="185">
        <f t="shared" si="31"/>
        <v>62531.462310119095</v>
      </c>
      <c r="AA57" s="185">
        <f t="shared" si="31"/>
        <v>50142.804778202495</v>
      </c>
      <c r="AB57" s="185">
        <f t="shared" si="31"/>
        <v>35755.530445006145</v>
      </c>
      <c r="AC57" s="185">
        <f t="shared" si="31"/>
        <v>22438.449641777912</v>
      </c>
      <c r="AD57" s="185">
        <f t="shared" si="31"/>
        <v>10191.562368517791</v>
      </c>
    </row>
    <row r="58" spans="1:30" ht="15.75" customHeight="1" x14ac:dyDescent="0.25">
      <c r="B58" s="181" t="s">
        <v>597</v>
      </c>
      <c r="C58" s="181" t="s">
        <v>21</v>
      </c>
      <c r="D58" s="184"/>
      <c r="E58" s="184"/>
      <c r="F58" s="184"/>
      <c r="G58" s="187">
        <f>G57+F58</f>
        <v>2452.2816289804723</v>
      </c>
      <c r="H58" s="187">
        <f>H57+G58</f>
        <v>13522.819601168421</v>
      </c>
      <c r="I58" s="187">
        <f>I57+H58</f>
        <v>34140.037187875481</v>
      </c>
      <c r="J58" s="187">
        <f t="shared" ref="J58" si="32">J57+I58</f>
        <v>65317.419815607165</v>
      </c>
      <c r="K58" s="187">
        <f t="shared" ref="K58" si="33">K57+J58</f>
        <v>106969.90532916959</v>
      </c>
      <c r="L58" s="187">
        <f t="shared" ref="L58" si="34">L57+K58</f>
        <v>161011.04837464861</v>
      </c>
      <c r="M58" s="187">
        <f t="shared" ref="M58" si="35">M57+L58</f>
        <v>229439.46575332398</v>
      </c>
      <c r="N58" s="187">
        <f t="shared" ref="N58" si="36">N57+M58</f>
        <v>311184.9639352276</v>
      </c>
      <c r="O58" s="188">
        <f t="shared" ref="O58" si="37">O57+N58</f>
        <v>405177.34939039132</v>
      </c>
      <c r="P58" s="187">
        <f t="shared" ref="P58" si="38">P57+O58</f>
        <v>509361.29721407284</v>
      </c>
      <c r="Q58" s="187">
        <f t="shared" ref="Q58" si="39">Q57+P58</f>
        <v>613545.2450377543</v>
      </c>
      <c r="R58" s="187">
        <f t="shared" ref="R58" si="40">R57+Q58</f>
        <v>717729.19286143582</v>
      </c>
      <c r="S58" s="187">
        <f t="shared" ref="S58" si="41">S57+R58</f>
        <v>821913.14068511734</v>
      </c>
      <c r="T58" s="187">
        <f t="shared" ref="T58" si="42">T57+S58</f>
        <v>926097.08850879886</v>
      </c>
      <c r="U58" s="187">
        <f t="shared" ref="U58" si="43">U57+T58</f>
        <v>1030281.0363324804</v>
      </c>
      <c r="V58" s="187">
        <f t="shared" ref="V58" si="44">V57+U58</f>
        <v>1132012.7025271815</v>
      </c>
      <c r="W58" s="187">
        <f t="shared" ref="W58" si="45">W57+V58</f>
        <v>1225126.112378675</v>
      </c>
      <c r="X58" s="187">
        <f t="shared" ref="X58" si="46">X57+W58</f>
        <v>1308692.8426156496</v>
      </c>
      <c r="Y58" s="187">
        <f t="shared" ref="Y58" si="47">Y57+X58</f>
        <v>1381699.4078115993</v>
      </c>
      <c r="Z58" s="187">
        <f t="shared" ref="Z58" si="48">Z57+Y58</f>
        <v>1444230.8701217184</v>
      </c>
      <c r="AA58" s="187">
        <f t="shared" ref="AA58" si="49">AA57+Z58</f>
        <v>1494373.6748999208</v>
      </c>
      <c r="AB58" s="187">
        <f t="shared" ref="AB58" si="50">AB57+AA58</f>
        <v>1530129.205344927</v>
      </c>
      <c r="AC58" s="187">
        <f t="shared" ref="AC58" si="51">AC57+AB58</f>
        <v>1552567.6549867049</v>
      </c>
      <c r="AD58" s="187">
        <f t="shared" ref="AD58" si="52">AD57+AC58</f>
        <v>1562759.2173552227</v>
      </c>
    </row>
    <row r="59" spans="1:30" ht="15.75" customHeight="1" x14ac:dyDescent="0.25">
      <c r="B59" s="359" t="s">
        <v>672</v>
      </c>
    </row>
    <row r="60" spans="1:30" ht="15.75" customHeight="1" x14ac:dyDescent="0.25"/>
    <row r="61" spans="1:30" ht="11.5" x14ac:dyDescent="0.25">
      <c r="B61" s="181"/>
      <c r="C61" s="364" t="s">
        <v>675</v>
      </c>
      <c r="D61" s="364" t="s">
        <v>770</v>
      </c>
    </row>
    <row r="62" spans="1:30" ht="11.5" x14ac:dyDescent="0.25">
      <c r="B62" s="181" t="s">
        <v>677</v>
      </c>
      <c r="C62" s="365">
        <f>SUM(F44:K44)</f>
        <v>0.51870891988981838</v>
      </c>
      <c r="D62" s="365">
        <v>1</v>
      </c>
    </row>
    <row r="63" spans="1:30" ht="11.5" x14ac:dyDescent="0.25">
      <c r="B63" s="181" t="s">
        <v>771</v>
      </c>
      <c r="C63" s="366">
        <f>D63*C$62</f>
        <v>694.29188927252187</v>
      </c>
      <c r="D63" s="366">
        <f>SUM('[2]Revised top-down'!$C$10:$D$10)</f>
        <v>1338.5</v>
      </c>
    </row>
    <row r="64" spans="1:30" ht="11.5" x14ac:dyDescent="0.25">
      <c r="B64" s="181" t="s">
        <v>772</v>
      </c>
      <c r="C64" s="366">
        <f>D64*C$62</f>
        <v>114.11596237576005</v>
      </c>
      <c r="D64" s="366">
        <f>SUM('[2]Revised top-down'!$E$10:$F$10)</f>
        <v>220</v>
      </c>
    </row>
    <row r="65" spans="2:5" ht="11.5" x14ac:dyDescent="0.25">
      <c r="B65" s="181" t="s">
        <v>754</v>
      </c>
      <c r="C65" s="366">
        <f>D65*C$62</f>
        <v>22.823192475152013</v>
      </c>
      <c r="D65" s="366">
        <f>SUM('[2]Revised top-down'!$E$3,'[2]Revised top-down'!$E$5:$E$9)</f>
        <v>44.000000000000007</v>
      </c>
    </row>
    <row r="66" spans="2:5" ht="11.5" x14ac:dyDescent="0.25">
      <c r="B66" s="367" t="s">
        <v>680</v>
      </c>
      <c r="C66" s="366"/>
      <c r="D66" s="366"/>
    </row>
    <row r="67" spans="2:5" ht="11.5" x14ac:dyDescent="0.25">
      <c r="B67" s="181" t="s">
        <v>673</v>
      </c>
      <c r="C67" s="365">
        <v>0.35</v>
      </c>
      <c r="D67" s="365">
        <v>0.35</v>
      </c>
    </row>
    <row r="68" spans="2:5" ht="23" x14ac:dyDescent="0.25">
      <c r="B68" s="181" t="s">
        <v>676</v>
      </c>
      <c r="C68" s="368">
        <f>D68*C$62</f>
        <v>810617.14568218542</v>
      </c>
      <c r="D68" s="368">
        <f>D4</f>
        <v>1562759.2173552227</v>
      </c>
    </row>
    <row r="69" spans="2:5" ht="23" x14ac:dyDescent="0.25">
      <c r="B69" s="181" t="s">
        <v>773</v>
      </c>
      <c r="C69" s="184"/>
      <c r="D69" s="366">
        <f>D63*D67*1000000/D68</f>
        <v>299.77426771658151</v>
      </c>
    </row>
    <row r="70" spans="2:5" ht="23" x14ac:dyDescent="0.25">
      <c r="B70" s="181" t="s">
        <v>774</v>
      </c>
      <c r="C70" s="184"/>
      <c r="D70" s="366">
        <f>D64*D67*1000000/D68</f>
        <v>49.27182584807467</v>
      </c>
    </row>
    <row r="71" spans="2:5" ht="23" x14ac:dyDescent="0.25">
      <c r="B71" s="181" t="s">
        <v>775</v>
      </c>
      <c r="C71" s="184"/>
      <c r="D71" s="366">
        <f>D65*D67*1000000/D68</f>
        <v>9.854365169614935</v>
      </c>
    </row>
    <row r="72" spans="2:5" ht="15.75" customHeight="1" x14ac:dyDescent="0.25"/>
    <row r="73" spans="2:5" ht="15.75" customHeight="1" x14ac:dyDescent="0.25">
      <c r="B73" s="369" t="s">
        <v>681</v>
      </c>
      <c r="C73" s="364" t="s">
        <v>675</v>
      </c>
      <c r="D73" s="364" t="s">
        <v>770</v>
      </c>
    </row>
    <row r="74" spans="2:5" ht="15.75" customHeight="1" x14ac:dyDescent="0.25">
      <c r="B74" s="181" t="s">
        <v>678</v>
      </c>
      <c r="C74" s="368">
        <f>C62*D74</f>
        <v>587832.50571397238</v>
      </c>
      <c r="D74" s="368">
        <f>Beneficiaries!K33</f>
        <v>1133260.8389283856</v>
      </c>
    </row>
    <row r="75" spans="2:5" ht="15.75" customHeight="1" x14ac:dyDescent="0.25">
      <c r="B75" s="181" t="s">
        <v>679</v>
      </c>
      <c r="C75" s="370" t="s">
        <v>325</v>
      </c>
      <c r="D75" s="368">
        <f>Beneficiaries!N33</f>
        <v>33620</v>
      </c>
      <c r="E75" s="382">
        <f>D75+D74</f>
        <v>1166880.8389283856</v>
      </c>
    </row>
    <row r="76" spans="2:5" ht="15.75" customHeight="1" x14ac:dyDescent="0.25">
      <c r="B76" s="181" t="s">
        <v>685</v>
      </c>
      <c r="C76" s="365">
        <f>1-C67</f>
        <v>0.65</v>
      </c>
      <c r="D76" s="365">
        <f>1-D67</f>
        <v>0.65</v>
      </c>
    </row>
    <row r="77" spans="2:5" ht="23" x14ac:dyDescent="0.25">
      <c r="B77" s="181" t="s">
        <v>776</v>
      </c>
      <c r="C77" s="365"/>
      <c r="D77" s="366">
        <f>D63*1000000/D74</f>
        <v>1181.1049619129953</v>
      </c>
    </row>
    <row r="78" spans="2:5" ht="23" x14ac:dyDescent="0.25">
      <c r="B78" s="181" t="s">
        <v>777</v>
      </c>
      <c r="C78" s="184"/>
      <c r="D78" s="366">
        <f>D64*1000000/D74</f>
        <v>194.13006471487409</v>
      </c>
    </row>
    <row r="79" spans="2:5" ht="23" x14ac:dyDescent="0.25">
      <c r="B79" s="371" t="s">
        <v>778</v>
      </c>
      <c r="C79" s="365"/>
      <c r="D79" s="366">
        <f>D65*1000000/D74</f>
        <v>38.82601294297482</v>
      </c>
    </row>
    <row r="80" spans="2:5" ht="15.75" customHeight="1" x14ac:dyDescent="0.25"/>
    <row r="81" spans="2:5" ht="15.75" customHeight="1" x14ac:dyDescent="0.25">
      <c r="B81" s="350" t="s">
        <v>757</v>
      </c>
    </row>
    <row r="82" spans="2:5" ht="15.75" customHeight="1" x14ac:dyDescent="0.25">
      <c r="B82" s="181" t="str">
        <f>Beneficiaries!B4</f>
        <v>Residential</v>
      </c>
      <c r="C82" s="368">
        <f t="shared" ref="C82:C88" si="53">D82*C$62</f>
        <v>22101.562704657146</v>
      </c>
      <c r="D82" s="368">
        <f>Beneficiaries!I16</f>
        <v>42608.796296296299</v>
      </c>
    </row>
    <row r="83" spans="2:5" ht="15.75" hidden="1" customHeight="1" x14ac:dyDescent="0.25">
      <c r="B83" s="181" t="str">
        <f>Beneficiaries!C4</f>
        <v>Small scale healthcare</v>
      </c>
      <c r="C83" s="368">
        <f t="shared" si="53"/>
        <v>0</v>
      </c>
      <c r="D83" s="368">
        <f>Beneficiaries!J16</f>
        <v>0</v>
      </c>
    </row>
    <row r="84" spans="2:5" ht="15.75" customHeight="1" x14ac:dyDescent="0.25">
      <c r="B84" s="181" t="str">
        <f>Beneficiaries!D4</f>
        <v>Hospital</v>
      </c>
      <c r="C84" s="368">
        <f t="shared" si="53"/>
        <v>7.0647881884298576</v>
      </c>
      <c r="D84" s="368">
        <f>Beneficiaries!K16</f>
        <v>13.619947368421052</v>
      </c>
    </row>
    <row r="85" spans="2:5" ht="15.75" customHeight="1" x14ac:dyDescent="0.25">
      <c r="B85" s="181" t="str">
        <f>Beneficiaries!E4</f>
        <v>Education</v>
      </c>
      <c r="C85" s="368">
        <f t="shared" si="53"/>
        <v>4.3597484716739237</v>
      </c>
      <c r="D85" s="368">
        <f>Beneficiaries!L16</f>
        <v>8.4050000000000011</v>
      </c>
    </row>
    <row r="86" spans="2:5" ht="15.75" customHeight="1" x14ac:dyDescent="0.25">
      <c r="B86" s="181" t="str">
        <f>Beneficiaries!F4</f>
        <v>Small scale office</v>
      </c>
      <c r="C86" s="368">
        <f t="shared" si="53"/>
        <v>7.0025704185125477</v>
      </c>
      <c r="D86" s="368">
        <f>Beneficiaries!M16</f>
        <v>13.5</v>
      </c>
    </row>
    <row r="87" spans="2:5" ht="15.75" hidden="1" customHeight="1" x14ac:dyDescent="0.25">
      <c r="B87" s="181" t="str">
        <f>Beneficiaries!G4</f>
        <v>Hotel</v>
      </c>
      <c r="C87" s="368">
        <f t="shared" si="53"/>
        <v>0</v>
      </c>
      <c r="D87" s="368">
        <f>Beneficiaries!N16</f>
        <v>0</v>
      </c>
    </row>
    <row r="88" spans="2:5" ht="15.75" customHeight="1" x14ac:dyDescent="0.25">
      <c r="B88" s="181" t="str">
        <f>Beneficiaries!H4</f>
        <v>Retail</v>
      </c>
      <c r="C88" s="368">
        <f t="shared" si="53"/>
        <v>42.295525327815788</v>
      </c>
      <c r="D88" s="368">
        <f>Beneficiaries!O16</f>
        <v>81.539999999999992</v>
      </c>
    </row>
    <row r="89" spans="2:5" ht="15.75" customHeight="1" x14ac:dyDescent="0.25">
      <c r="B89" s="364" t="s">
        <v>284</v>
      </c>
      <c r="C89" s="372">
        <f>SUM(C82:C88)</f>
        <v>22162.285337063578</v>
      </c>
      <c r="D89" s="372">
        <f>SUM(D82:D88)</f>
        <v>42725.861243664724</v>
      </c>
    </row>
    <row r="90" spans="2:5" ht="15.75" customHeight="1" x14ac:dyDescent="0.25"/>
    <row r="91" spans="2:5" ht="15.75" customHeight="1" x14ac:dyDescent="0.25">
      <c r="B91" s="400" t="s">
        <v>730</v>
      </c>
    </row>
    <row r="92" spans="2:5" ht="15.75" customHeight="1" thickBot="1" x14ac:dyDescent="0.3"/>
    <row r="93" spans="2:5" ht="15.75" customHeight="1" x14ac:dyDescent="0.25">
      <c r="B93" s="406" t="s">
        <v>246</v>
      </c>
      <c r="C93" s="407" t="s">
        <v>118</v>
      </c>
      <c r="D93" s="407" t="s">
        <v>247</v>
      </c>
      <c r="E93" s="416" t="s">
        <v>730</v>
      </c>
    </row>
    <row r="94" spans="2:5" ht="15.75" customHeight="1" x14ac:dyDescent="0.25">
      <c r="B94" s="408"/>
      <c r="C94" s="181"/>
      <c r="D94" s="181"/>
      <c r="E94" s="409"/>
    </row>
    <row r="95" spans="2:5" ht="15.75" customHeight="1" x14ac:dyDescent="0.25">
      <c r="B95" s="410"/>
      <c r="C95" s="402"/>
      <c r="D95" s="402" t="s">
        <v>251</v>
      </c>
      <c r="E95" s="265" t="s">
        <v>725</v>
      </c>
    </row>
    <row r="96" spans="2:5" ht="15.75" customHeight="1" x14ac:dyDescent="0.25">
      <c r="B96" s="410" t="s">
        <v>46</v>
      </c>
      <c r="C96" s="402" t="s">
        <v>714</v>
      </c>
      <c r="D96" s="403">
        <v>60000</v>
      </c>
      <c r="E96" s="344">
        <f>'DJ-Office'!B128+'DJ-Office'!B129</f>
        <v>5070</v>
      </c>
    </row>
    <row r="97" spans="2:5" ht="15.75" customHeight="1" x14ac:dyDescent="0.25">
      <c r="B97" s="410" t="s">
        <v>48</v>
      </c>
      <c r="C97" s="402" t="s">
        <v>58</v>
      </c>
      <c r="D97" s="403">
        <v>1217500</v>
      </c>
      <c r="E97" s="344">
        <f>'MAR-Residential'!B129+'MAR-Residential'!B130</f>
        <v>50526.25</v>
      </c>
    </row>
    <row r="98" spans="2:5" ht="15.75" customHeight="1" x14ac:dyDescent="0.25">
      <c r="B98" s="410" t="s">
        <v>48</v>
      </c>
      <c r="C98" s="402" t="s">
        <v>61</v>
      </c>
      <c r="D98" s="403">
        <v>11250</v>
      </c>
      <c r="E98" s="344">
        <f>'MAR-Edu'!B128+'MAR-Edu'!B129</f>
        <v>129.375</v>
      </c>
    </row>
    <row r="99" spans="2:5" ht="15.75" customHeight="1" x14ac:dyDescent="0.25">
      <c r="B99" s="410" t="s">
        <v>49</v>
      </c>
      <c r="C99" s="402" t="s">
        <v>58</v>
      </c>
      <c r="D99" s="403">
        <v>75000</v>
      </c>
      <c r="E99" s="344">
        <f>'NGA-Residential'!B128+'NGA-Residential'!B129</f>
        <v>2737.5</v>
      </c>
    </row>
    <row r="100" spans="2:5" ht="15.75" customHeight="1" x14ac:dyDescent="0.25">
      <c r="B100" s="410" t="s">
        <v>49</v>
      </c>
      <c r="C100" s="402" t="s">
        <v>64</v>
      </c>
      <c r="D100" s="403">
        <v>14000</v>
      </c>
      <c r="E100" s="344">
        <f>'NGA-Retail'!B128+'NGA-Retail'!B129</f>
        <v>959</v>
      </c>
    </row>
    <row r="101" spans="2:5" ht="15.75" customHeight="1" x14ac:dyDescent="0.25">
      <c r="B101" s="410" t="s">
        <v>50</v>
      </c>
      <c r="C101" s="402" t="s">
        <v>58</v>
      </c>
      <c r="D101" s="403">
        <v>340000</v>
      </c>
      <c r="E101" s="344">
        <f>'TUN-Residential'!B128+'TUN-Residential'!B129</f>
        <v>14110</v>
      </c>
    </row>
    <row r="102" spans="2:5" ht="15.75" customHeight="1" x14ac:dyDescent="0.25">
      <c r="B102" s="410" t="s">
        <v>50</v>
      </c>
      <c r="C102" s="402" t="s">
        <v>60</v>
      </c>
      <c r="D102" s="403">
        <v>68779</v>
      </c>
      <c r="E102" s="344">
        <f>'TUN-Hospital'!B128+'TUN-Hospital'!B129</f>
        <v>8253.48</v>
      </c>
    </row>
    <row r="103" spans="2:5" ht="15.75" customHeight="1" x14ac:dyDescent="0.25">
      <c r="B103" s="410" t="s">
        <v>51</v>
      </c>
      <c r="C103" s="402" t="s">
        <v>58</v>
      </c>
      <c r="D103" s="403">
        <v>525000</v>
      </c>
      <c r="E103" s="344">
        <f>'ARG-Residential'!B128+'ARG-Residential'!B129</f>
        <v>23100</v>
      </c>
    </row>
    <row r="104" spans="2:5" ht="15.75" customHeight="1" x14ac:dyDescent="0.25">
      <c r="B104" s="410" t="s">
        <v>52</v>
      </c>
      <c r="C104" s="402" t="s">
        <v>58</v>
      </c>
      <c r="D104" s="403">
        <v>191250</v>
      </c>
      <c r="E104" s="344">
        <f>'MEX-Residential'!B128+'MEX-Residential'!B129</f>
        <v>6980.625</v>
      </c>
    </row>
    <row r="105" spans="2:5" ht="15.75" customHeight="1" x14ac:dyDescent="0.25">
      <c r="B105" s="410" t="s">
        <v>52</v>
      </c>
      <c r="C105" s="402" t="s">
        <v>714</v>
      </c>
      <c r="D105" s="403">
        <v>60000</v>
      </c>
      <c r="E105" s="344">
        <f>'MEX-Office'!B128+'MEX-Office'!B129</f>
        <v>5280</v>
      </c>
    </row>
    <row r="106" spans="2:5" ht="15.75" customHeight="1" x14ac:dyDescent="0.25">
      <c r="B106" s="410" t="s">
        <v>53</v>
      </c>
      <c r="C106" s="402" t="s">
        <v>58</v>
      </c>
      <c r="D106" s="403">
        <v>207777.77777777778</v>
      </c>
      <c r="E106" s="344">
        <f>'IDN-Residential'!B129+'IDN-Residential'!B128</f>
        <v>6856.666666666667</v>
      </c>
    </row>
    <row r="107" spans="2:5" ht="15.75" customHeight="1" x14ac:dyDescent="0.25">
      <c r="B107" s="410" t="s">
        <v>54</v>
      </c>
      <c r="C107" s="402" t="s">
        <v>714</v>
      </c>
      <c r="D107" s="403">
        <v>15000</v>
      </c>
      <c r="E107" s="344">
        <f>'LKA-Office'!B128+'LKA-Office'!B129</f>
        <v>1320</v>
      </c>
    </row>
    <row r="108" spans="2:5" ht="15.75" customHeight="1" x14ac:dyDescent="0.25">
      <c r="B108" s="410" t="s">
        <v>55</v>
      </c>
      <c r="C108" s="402" t="s">
        <v>60</v>
      </c>
      <c r="D108" s="403">
        <v>393700</v>
      </c>
      <c r="E108" s="344">
        <f>'ALB-Hospital'!B128+'ALB-Hospital'!B129</f>
        <v>47244</v>
      </c>
    </row>
    <row r="109" spans="2:5" ht="15.75" customHeight="1" x14ac:dyDescent="0.25">
      <c r="B109" s="410" t="s">
        <v>763</v>
      </c>
      <c r="C109" s="402" t="s">
        <v>61</v>
      </c>
      <c r="D109" s="403">
        <f>D25</f>
        <v>72800</v>
      </c>
      <c r="E109" s="344">
        <f>'CRI-Edu'!B128+'CRI-Edu'!B129</f>
        <v>1019.1999999999998</v>
      </c>
    </row>
    <row r="110" spans="2:5" ht="15.75" customHeight="1" x14ac:dyDescent="0.25">
      <c r="B110" s="410" t="s">
        <v>648</v>
      </c>
      <c r="C110" s="402" t="s">
        <v>64</v>
      </c>
      <c r="D110" s="403">
        <v>393700</v>
      </c>
      <c r="E110" s="344">
        <f>'NMKD-Retail'!B128+'NMKD-Retail'!B129</f>
        <v>25787.35</v>
      </c>
    </row>
    <row r="111" spans="2:5" ht="15.75" customHeight="1" x14ac:dyDescent="0.25">
      <c r="B111" s="411" t="s">
        <v>598</v>
      </c>
      <c r="C111" s="404"/>
      <c r="D111" s="405">
        <f>SUM(D96:D110)</f>
        <v>3645756.777777778</v>
      </c>
      <c r="E111" s="412">
        <f>SUM(E96:E110)</f>
        <v>199373.44666666668</v>
      </c>
    </row>
    <row r="112" spans="2:5" ht="15.75" customHeight="1" thickBot="1" x14ac:dyDescent="0.3">
      <c r="B112" s="413" t="s">
        <v>710</v>
      </c>
      <c r="C112" s="414"/>
      <c r="D112" s="415">
        <f>D111*F3</f>
        <v>4265535.43</v>
      </c>
      <c r="E112" s="415">
        <f>E111*F3</f>
        <v>233266.9326</v>
      </c>
    </row>
    <row r="113" spans="4:5" ht="15.75" customHeight="1" x14ac:dyDescent="0.25"/>
    <row r="114" spans="4:5" ht="15.75" customHeight="1" x14ac:dyDescent="0.25">
      <c r="D114" s="338" t="s">
        <v>733</v>
      </c>
      <c r="E114" s="363">
        <f>E112*0.6</f>
        <v>139960.15956</v>
      </c>
    </row>
    <row r="115" spans="4:5" ht="15.75" customHeight="1" x14ac:dyDescent="0.25"/>
    <row r="116" spans="4:5" ht="15.75" customHeight="1" x14ac:dyDescent="0.25"/>
    <row r="117" spans="4:5" ht="15.75" customHeight="1" x14ac:dyDescent="0.25"/>
    <row r="118" spans="4:5" ht="15.75" customHeight="1" x14ac:dyDescent="0.25"/>
    <row r="119" spans="4:5" ht="15.75" customHeight="1" x14ac:dyDescent="0.25"/>
    <row r="120" spans="4:5" ht="15.75" customHeight="1" x14ac:dyDescent="0.25"/>
    <row r="121" spans="4:5" ht="15.75" customHeight="1" x14ac:dyDescent="0.25"/>
    <row r="122" spans="4:5" ht="15.75" customHeight="1" x14ac:dyDescent="0.25"/>
    <row r="123" spans="4:5" ht="15.75" customHeight="1" x14ac:dyDescent="0.25"/>
    <row r="124" spans="4:5" ht="15.75" customHeight="1" x14ac:dyDescent="0.25"/>
    <row r="125" spans="4:5" ht="15.75" customHeight="1" x14ac:dyDescent="0.25"/>
    <row r="126" spans="4:5" ht="15.75" customHeight="1" x14ac:dyDescent="0.25"/>
    <row r="127" spans="4:5" ht="15.75" customHeight="1" x14ac:dyDescent="0.25"/>
    <row r="128" spans="4:5"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sheetData>
  <mergeCells count="1">
    <mergeCell ref="E9:G9"/>
  </mergeCells>
  <phoneticPr fontId="37" type="noConversion"/>
  <pageMargins left="0.7" right="0.7" top="0.75" bottom="0.75" header="0" footer="0"/>
  <pageSetup paperSize="9" orientation="portrai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10"/>
  <sheetViews>
    <sheetView topLeftCell="A111" workbookViewId="0">
      <selection activeCell="A102" sqref="A102:B129"/>
    </sheetView>
  </sheetViews>
  <sheetFormatPr baseColWidth="10" defaultColWidth="12.58203125" defaultRowHeight="12.5" x14ac:dyDescent="0.25"/>
  <cols>
    <col min="1" max="1" width="43.58203125" style="254" customWidth="1"/>
    <col min="2" max="2" width="22.58203125" style="254" customWidth="1"/>
    <col min="3" max="3" width="17" style="327" customWidth="1"/>
    <col min="4" max="4" width="16" style="254" customWidth="1"/>
    <col min="5" max="26" width="9.33203125" style="254" customWidth="1"/>
    <col min="27" max="16384" width="12.58203125" style="254"/>
  </cols>
  <sheetData>
    <row r="1" spans="1:4" ht="13" x14ac:dyDescent="0.3">
      <c r="A1" s="253" t="s">
        <v>614</v>
      </c>
    </row>
    <row r="3" spans="1:4" ht="13.5" thickBot="1" x14ac:dyDescent="0.35">
      <c r="A3" s="253" t="s">
        <v>601</v>
      </c>
      <c r="B3" s="255"/>
    </row>
    <row r="4" spans="1:4" x14ac:dyDescent="0.25">
      <c r="A4" s="256" t="s">
        <v>603</v>
      </c>
      <c r="B4" s="257">
        <f>D34</f>
        <v>514227.20247602771</v>
      </c>
    </row>
    <row r="5" spans="1:4" x14ac:dyDescent="0.25">
      <c r="A5" s="258" t="s">
        <v>604</v>
      </c>
      <c r="B5" s="259">
        <f>D54</f>
        <v>391222.91411375842</v>
      </c>
    </row>
    <row r="6" spans="1:4" x14ac:dyDescent="0.25">
      <c r="A6" s="260" t="s">
        <v>605</v>
      </c>
      <c r="B6" s="259">
        <f>D74</f>
        <v>346625.2720488885</v>
      </c>
    </row>
    <row r="7" spans="1:4" x14ac:dyDescent="0.25">
      <c r="A7" s="260" t="s">
        <v>308</v>
      </c>
      <c r="B7" s="259">
        <f>D82</f>
        <v>123004.28836226926</v>
      </c>
    </row>
    <row r="8" spans="1:4" x14ac:dyDescent="0.25">
      <c r="A8" s="260" t="s">
        <v>315</v>
      </c>
      <c r="B8" s="259">
        <f>D90</f>
        <v>167601.93042713922</v>
      </c>
    </row>
    <row r="9" spans="1:4" ht="13" thickBot="1" x14ac:dyDescent="0.3">
      <c r="A9" s="261" t="s">
        <v>322</v>
      </c>
      <c r="B9" s="262">
        <f>D98</f>
        <v>145303.10939470422</v>
      </c>
    </row>
    <row r="10" spans="1:4" ht="13" thickBot="1" x14ac:dyDescent="0.3"/>
    <row r="11" spans="1:4" ht="13" x14ac:dyDescent="0.3">
      <c r="A11" s="328" t="s">
        <v>600</v>
      </c>
      <c r="B11" s="326" t="s">
        <v>253</v>
      </c>
      <c r="C11" s="326" t="s">
        <v>254</v>
      </c>
      <c r="D11" s="263" t="s">
        <v>255</v>
      </c>
    </row>
    <row r="12" spans="1:4" ht="13" x14ac:dyDescent="0.3">
      <c r="A12" s="264" t="str">
        <f>+'Input_Area and Costs'!F3</f>
        <v>Argentina</v>
      </c>
      <c r="B12" s="329"/>
      <c r="C12" s="329"/>
      <c r="D12" s="265"/>
    </row>
    <row r="13" spans="1:4" x14ac:dyDescent="0.25">
      <c r="A13" s="258" t="s">
        <v>256</v>
      </c>
      <c r="B13" s="329"/>
      <c r="C13" s="329"/>
      <c r="D13" s="266" t="str">
        <f>+'Input_Area and Costs'!A4</f>
        <v>Residential</v>
      </c>
    </row>
    <row r="14" spans="1:4" x14ac:dyDescent="0.25">
      <c r="A14" s="258" t="s">
        <v>247</v>
      </c>
      <c r="B14" s="329" t="s">
        <v>257</v>
      </c>
      <c r="C14" s="329" t="s">
        <v>251</v>
      </c>
      <c r="D14" s="267">
        <f>+'Input_Area and Costs'!F4</f>
        <v>525000</v>
      </c>
    </row>
    <row r="15" spans="1:4" x14ac:dyDescent="0.25">
      <c r="A15" s="258" t="s">
        <v>258</v>
      </c>
      <c r="B15" s="329" t="s">
        <v>259</v>
      </c>
      <c r="C15" s="329" t="s">
        <v>260</v>
      </c>
      <c r="D15" s="267">
        <f>'General Inputs&amp;Outputs'!$C$12</f>
        <v>15</v>
      </c>
    </row>
    <row r="16" spans="1:4" x14ac:dyDescent="0.25">
      <c r="A16" s="254" t="s">
        <v>172</v>
      </c>
      <c r="B16" s="329"/>
      <c r="C16" s="329"/>
      <c r="D16" s="265"/>
    </row>
    <row r="17" spans="1:4" ht="13" x14ac:dyDescent="0.3">
      <c r="A17" s="264" t="s">
        <v>285</v>
      </c>
      <c r="B17" s="329"/>
      <c r="C17" s="329"/>
      <c r="D17" s="265"/>
    </row>
    <row r="18" spans="1:4" ht="13" x14ac:dyDescent="0.3">
      <c r="A18" s="264" t="s">
        <v>261</v>
      </c>
      <c r="B18" s="329"/>
      <c r="C18" s="333"/>
      <c r="D18" s="265"/>
    </row>
    <row r="19" spans="1:4" ht="13" x14ac:dyDescent="0.3">
      <c r="A19" s="268" t="s">
        <v>262</v>
      </c>
      <c r="B19" s="329" t="s">
        <v>263</v>
      </c>
      <c r="C19" s="329" t="s">
        <v>264</v>
      </c>
      <c r="D19" s="266">
        <f>+'Energy use'!B285-D20</f>
        <v>69</v>
      </c>
    </row>
    <row r="20" spans="1:4" ht="13" x14ac:dyDescent="0.3">
      <c r="A20" s="268" t="s">
        <v>265</v>
      </c>
      <c r="B20" s="329" t="s">
        <v>266</v>
      </c>
      <c r="C20" s="329" t="s">
        <v>264</v>
      </c>
      <c r="D20" s="266">
        <f>+'Energy use'!B286+'Energy use'!B291</f>
        <v>65</v>
      </c>
    </row>
    <row r="21" spans="1:4" ht="13" x14ac:dyDescent="0.3">
      <c r="A21" s="264" t="s">
        <v>267</v>
      </c>
      <c r="B21" s="329"/>
      <c r="C21" s="333"/>
      <c r="D21" s="265"/>
    </row>
    <row r="22" spans="1:4" ht="13" x14ac:dyDescent="0.3">
      <c r="A22" s="268" t="str">
        <f t="shared" ref="A22:A23" si="0">A19</f>
        <v>Electricity</v>
      </c>
      <c r="B22" s="329" t="s">
        <v>268</v>
      </c>
      <c r="C22" s="329" t="s">
        <v>269</v>
      </c>
      <c r="D22" s="269">
        <f>+'Input_Energy Context'!F12</f>
        <v>0.35019264315809107</v>
      </c>
    </row>
    <row r="23" spans="1:4" ht="13" x14ac:dyDescent="0.3">
      <c r="A23" s="268" t="str">
        <f t="shared" si="0"/>
        <v>Natural gas</v>
      </c>
      <c r="B23" s="329" t="s">
        <v>270</v>
      </c>
      <c r="C23" s="329" t="s">
        <v>269</v>
      </c>
      <c r="D23" s="266">
        <f>+'Input_Energy Context'!B13</f>
        <v>0.23100000000000001</v>
      </c>
    </row>
    <row r="24" spans="1:4" ht="13" x14ac:dyDescent="0.3">
      <c r="A24" s="264" t="s">
        <v>271</v>
      </c>
      <c r="B24" s="329"/>
      <c r="C24" s="333"/>
      <c r="D24" s="265"/>
    </row>
    <row r="25" spans="1:4" ht="13" x14ac:dyDescent="0.3">
      <c r="A25" s="268" t="str">
        <f t="shared" ref="A25:A26" si="1">A22</f>
        <v>Electricity</v>
      </c>
      <c r="B25" s="329" t="s">
        <v>272</v>
      </c>
      <c r="C25" s="329" t="s">
        <v>273</v>
      </c>
      <c r="D25" s="270">
        <f t="shared" ref="D25:D26" si="2">+D19*D22</f>
        <v>24.163292377908284</v>
      </c>
    </row>
    <row r="26" spans="1:4" ht="13" x14ac:dyDescent="0.3">
      <c r="A26" s="268" t="str">
        <f t="shared" si="1"/>
        <v>Natural gas</v>
      </c>
      <c r="B26" s="329" t="s">
        <v>274</v>
      </c>
      <c r="C26" s="329" t="s">
        <v>273</v>
      </c>
      <c r="D26" s="270">
        <f t="shared" si="2"/>
        <v>15.015000000000001</v>
      </c>
    </row>
    <row r="27" spans="1:4" ht="13" x14ac:dyDescent="0.3">
      <c r="A27" s="268" t="s">
        <v>275</v>
      </c>
      <c r="B27" s="329" t="s">
        <v>276</v>
      </c>
      <c r="C27" s="329" t="s">
        <v>273</v>
      </c>
      <c r="D27" s="270">
        <f>'Input_LC Materials'!F21/'Input_LC Materials'!C5</f>
        <v>391.80599999999993</v>
      </c>
    </row>
    <row r="28" spans="1:4" ht="13" x14ac:dyDescent="0.3">
      <c r="A28" s="264" t="s">
        <v>277</v>
      </c>
      <c r="B28" s="329"/>
      <c r="C28" s="333"/>
      <c r="D28" s="265"/>
    </row>
    <row r="29" spans="1:4" ht="13" x14ac:dyDescent="0.3">
      <c r="A29" s="268" t="str">
        <f t="shared" ref="A29:A30" si="3">A25</f>
        <v>Electricity</v>
      </c>
      <c r="B29" s="329" t="s">
        <v>278</v>
      </c>
      <c r="C29" s="329" t="s">
        <v>279</v>
      </c>
      <c r="D29" s="267">
        <f>+D25*D14/1000</f>
        <v>12685.728498401848</v>
      </c>
    </row>
    <row r="30" spans="1:4" ht="13" x14ac:dyDescent="0.3">
      <c r="A30" s="268" t="str">
        <f t="shared" si="3"/>
        <v>Natural gas</v>
      </c>
      <c r="B30" s="329" t="s">
        <v>280</v>
      </c>
      <c r="C30" s="329" t="s">
        <v>279</v>
      </c>
      <c r="D30" s="267">
        <f>+D26*D14/1000</f>
        <v>7882.875</v>
      </c>
    </row>
    <row r="31" spans="1:4" ht="13" x14ac:dyDescent="0.3">
      <c r="A31" s="268" t="str">
        <f>$A$25</f>
        <v>Electricity</v>
      </c>
      <c r="B31" s="329" t="s">
        <v>281</v>
      </c>
      <c r="C31" s="329" t="s">
        <v>577</v>
      </c>
      <c r="D31" s="267">
        <f t="shared" ref="D31:D32" si="4">D29*$D$15</f>
        <v>190285.92747602772</v>
      </c>
    </row>
    <row r="32" spans="1:4" ht="13" x14ac:dyDescent="0.3">
      <c r="A32" s="268" t="str">
        <f>$A$26</f>
        <v>Natural gas</v>
      </c>
      <c r="B32" s="329" t="s">
        <v>282</v>
      </c>
      <c r="C32" s="329" t="s">
        <v>577</v>
      </c>
      <c r="D32" s="267">
        <f t="shared" si="4"/>
        <v>118243.125</v>
      </c>
    </row>
    <row r="33" spans="1:4" ht="13" x14ac:dyDescent="0.3">
      <c r="A33" s="268" t="s">
        <v>275</v>
      </c>
      <c r="B33" s="329" t="s">
        <v>283</v>
      </c>
      <c r="C33" s="329" t="s">
        <v>577</v>
      </c>
      <c r="D33" s="267">
        <f>+D27*D14/1000</f>
        <v>205698.14999999997</v>
      </c>
    </row>
    <row r="34" spans="1:4" ht="13.5" thickBot="1" x14ac:dyDescent="0.35">
      <c r="A34" s="325" t="s">
        <v>284</v>
      </c>
      <c r="B34" s="332"/>
      <c r="C34" s="332" t="s">
        <v>577</v>
      </c>
      <c r="D34" s="274">
        <f>SUM(D31:D33)</f>
        <v>514227.20247602771</v>
      </c>
    </row>
    <row r="35" spans="1:4" ht="13" thickBot="1" x14ac:dyDescent="0.3">
      <c r="B35" s="330"/>
      <c r="C35" s="330"/>
    </row>
    <row r="36" spans="1:4" ht="13" x14ac:dyDescent="0.3">
      <c r="A36" s="328" t="s">
        <v>249</v>
      </c>
      <c r="B36" s="326"/>
      <c r="C36" s="326"/>
      <c r="D36" s="263"/>
    </row>
    <row r="37" spans="1:4" ht="13" x14ac:dyDescent="0.3">
      <c r="A37" s="264" t="s">
        <v>285</v>
      </c>
      <c r="B37" s="329"/>
      <c r="C37" s="329"/>
      <c r="D37" s="265"/>
    </row>
    <row r="38" spans="1:4" ht="13" x14ac:dyDescent="0.3">
      <c r="A38" s="264" t="s">
        <v>261</v>
      </c>
      <c r="B38" s="329"/>
      <c r="C38" s="333"/>
      <c r="D38" s="265"/>
    </row>
    <row r="39" spans="1:4" ht="13" x14ac:dyDescent="0.3">
      <c r="A39" s="268" t="s">
        <v>262</v>
      </c>
      <c r="B39" s="329" t="s">
        <v>286</v>
      </c>
      <c r="C39" s="329" t="s">
        <v>264</v>
      </c>
      <c r="D39" s="266">
        <f>+'Energy use'!C285-D40</f>
        <v>48</v>
      </c>
    </row>
    <row r="40" spans="1:4" ht="13" x14ac:dyDescent="0.3">
      <c r="A40" s="268" t="s">
        <v>265</v>
      </c>
      <c r="B40" s="329" t="s">
        <v>287</v>
      </c>
      <c r="C40" s="329" t="s">
        <v>264</v>
      </c>
      <c r="D40" s="266">
        <f>+'Energy use'!C286+'Energy use'!C291</f>
        <v>54</v>
      </c>
    </row>
    <row r="41" spans="1:4" ht="13" x14ac:dyDescent="0.3">
      <c r="A41" s="264" t="s">
        <v>267</v>
      </c>
      <c r="B41" s="329"/>
      <c r="C41" s="329"/>
      <c r="D41" s="265"/>
    </row>
    <row r="42" spans="1:4" ht="13" x14ac:dyDescent="0.3">
      <c r="A42" s="268" t="str">
        <f t="shared" ref="A42:A43" si="5">A39</f>
        <v>Electricity</v>
      </c>
      <c r="B42" s="329" t="s">
        <v>268</v>
      </c>
      <c r="C42" s="329" t="s">
        <v>269</v>
      </c>
      <c r="D42" s="269">
        <f t="shared" ref="D42:D43" si="6">+D22</f>
        <v>0.35019264315809107</v>
      </c>
    </row>
    <row r="43" spans="1:4" ht="13" x14ac:dyDescent="0.3">
      <c r="A43" s="268" t="str">
        <f t="shared" si="5"/>
        <v>Natural gas</v>
      </c>
      <c r="B43" s="329" t="s">
        <v>270</v>
      </c>
      <c r="C43" s="329" t="s">
        <v>269</v>
      </c>
      <c r="D43" s="266">
        <f t="shared" si="6"/>
        <v>0.23100000000000001</v>
      </c>
    </row>
    <row r="44" spans="1:4" ht="13" x14ac:dyDescent="0.3">
      <c r="A44" s="264" t="s">
        <v>271</v>
      </c>
      <c r="B44" s="329"/>
      <c r="C44" s="329"/>
      <c r="D44" s="265"/>
    </row>
    <row r="45" spans="1:4" ht="13" x14ac:dyDescent="0.3">
      <c r="A45" s="268" t="str">
        <f t="shared" ref="A45:A46" si="7">A42</f>
        <v>Electricity</v>
      </c>
      <c r="B45" s="329" t="s">
        <v>288</v>
      </c>
      <c r="C45" s="329" t="s">
        <v>273</v>
      </c>
      <c r="D45" s="267">
        <f t="shared" ref="D45:D46" si="8">+D39*D42</f>
        <v>16.809246871588371</v>
      </c>
    </row>
    <row r="46" spans="1:4" ht="13" x14ac:dyDescent="0.3">
      <c r="A46" s="268" t="str">
        <f t="shared" si="7"/>
        <v>Natural gas</v>
      </c>
      <c r="B46" s="329" t="s">
        <v>289</v>
      </c>
      <c r="C46" s="329" t="s">
        <v>273</v>
      </c>
      <c r="D46" s="270">
        <f t="shared" si="8"/>
        <v>12.474</v>
      </c>
    </row>
    <row r="47" spans="1:4" ht="13" x14ac:dyDescent="0.3">
      <c r="A47" s="268" t="s">
        <v>275</v>
      </c>
      <c r="B47" s="329" t="s">
        <v>290</v>
      </c>
      <c r="C47" s="329" t="s">
        <v>273</v>
      </c>
      <c r="D47" s="270">
        <f>D27-'Input_LC Materials'!F21</f>
        <v>305.93779999999998</v>
      </c>
    </row>
    <row r="48" spans="1:4" ht="13" x14ac:dyDescent="0.3">
      <c r="A48" s="264" t="s">
        <v>277</v>
      </c>
      <c r="B48" s="329"/>
      <c r="C48" s="329"/>
      <c r="D48" s="265"/>
    </row>
    <row r="49" spans="1:5" ht="13" x14ac:dyDescent="0.3">
      <c r="A49" s="268" t="str">
        <f t="shared" ref="A49:A50" si="9">A45</f>
        <v>Electricity</v>
      </c>
      <c r="B49" s="329" t="s">
        <v>291</v>
      </c>
      <c r="C49" s="329" t="s">
        <v>279</v>
      </c>
      <c r="D49" s="267">
        <f>+D45*D14/1000</f>
        <v>8824.8546075838949</v>
      </c>
    </row>
    <row r="50" spans="1:5" ht="13" x14ac:dyDescent="0.3">
      <c r="A50" s="268" t="str">
        <f t="shared" si="9"/>
        <v>Natural gas</v>
      </c>
      <c r="B50" s="329" t="s">
        <v>292</v>
      </c>
      <c r="C50" s="329" t="s">
        <v>279</v>
      </c>
      <c r="D50" s="267">
        <f>+D46*D14/1000</f>
        <v>6548.85</v>
      </c>
    </row>
    <row r="51" spans="1:5" ht="13" x14ac:dyDescent="0.3">
      <c r="A51" s="268" t="str">
        <f>$A$45</f>
        <v>Electricity</v>
      </c>
      <c r="B51" s="329" t="s">
        <v>293</v>
      </c>
      <c r="C51" s="329" t="str">
        <f>$C$31</f>
        <v>tCO2 over lifetime</v>
      </c>
      <c r="D51" s="267">
        <f t="shared" ref="D51:D52" si="10">D49*$D$15</f>
        <v>132372.81911375842</v>
      </c>
    </row>
    <row r="52" spans="1:5" ht="13" x14ac:dyDescent="0.3">
      <c r="A52" s="268" t="str">
        <f>$A$46</f>
        <v>Natural gas</v>
      </c>
      <c r="B52" s="329" t="s">
        <v>294</v>
      </c>
      <c r="C52" s="329" t="str">
        <f>$C$31</f>
        <v>tCO2 over lifetime</v>
      </c>
      <c r="D52" s="267">
        <f t="shared" si="10"/>
        <v>98232.75</v>
      </c>
    </row>
    <row r="53" spans="1:5" ht="13" x14ac:dyDescent="0.3">
      <c r="A53" s="268" t="s">
        <v>275</v>
      </c>
      <c r="B53" s="329" t="s">
        <v>295</v>
      </c>
      <c r="C53" s="329" t="str">
        <f>C$33</f>
        <v>tCO2 over lifetime</v>
      </c>
      <c r="D53" s="267">
        <f>+D47*D14/1000</f>
        <v>160617.345</v>
      </c>
    </row>
    <row r="54" spans="1:5" ht="13.5" thickBot="1" x14ac:dyDescent="0.35">
      <c r="A54" s="325" t="s">
        <v>284</v>
      </c>
      <c r="B54" s="332"/>
      <c r="C54" s="332" t="str">
        <f>C$34</f>
        <v>tCO2 over lifetime</v>
      </c>
      <c r="D54" s="274">
        <f>SUM(D51:D53)</f>
        <v>391222.91411375842</v>
      </c>
      <c r="E54" s="255"/>
    </row>
    <row r="55" spans="1:5" ht="13" thickBot="1" x14ac:dyDescent="0.3">
      <c r="A55" s="255"/>
      <c r="B55" s="330"/>
      <c r="C55" s="330"/>
      <c r="D55" s="255"/>
      <c r="E55" s="255"/>
    </row>
    <row r="56" spans="1:5" ht="13" x14ac:dyDescent="0.3">
      <c r="A56" s="328" t="s">
        <v>250</v>
      </c>
      <c r="B56" s="326"/>
      <c r="C56" s="326"/>
      <c r="D56" s="263"/>
      <c r="E56" s="255"/>
    </row>
    <row r="57" spans="1:5" ht="13" x14ac:dyDescent="0.3">
      <c r="A57" s="264" t="s">
        <v>285</v>
      </c>
      <c r="B57" s="329"/>
      <c r="C57" s="329"/>
      <c r="D57" s="265"/>
      <c r="E57" s="255"/>
    </row>
    <row r="58" spans="1:5" ht="13" x14ac:dyDescent="0.3">
      <c r="A58" s="264" t="s">
        <v>261</v>
      </c>
      <c r="B58" s="329"/>
      <c r="C58" s="329"/>
      <c r="D58" s="265"/>
    </row>
    <row r="59" spans="1:5" ht="13" x14ac:dyDescent="0.3">
      <c r="A59" s="268" t="s">
        <v>262</v>
      </c>
      <c r="B59" s="329" t="s">
        <v>296</v>
      </c>
      <c r="C59" s="329" t="s">
        <v>264</v>
      </c>
      <c r="D59" s="266">
        <f>+'Energy use'!D285-D60</f>
        <v>47</v>
      </c>
    </row>
    <row r="60" spans="1:5" ht="13" x14ac:dyDescent="0.3">
      <c r="A60" s="268" t="s">
        <v>265</v>
      </c>
      <c r="B60" s="329" t="s">
        <v>297</v>
      </c>
      <c r="C60" s="329" t="s">
        <v>264</v>
      </c>
      <c r="D60" s="266">
        <f>+'Energy use'!D286+'Energy use'!D291</f>
        <v>31</v>
      </c>
    </row>
    <row r="61" spans="1:5" ht="13" x14ac:dyDescent="0.3">
      <c r="A61" s="264" t="s">
        <v>267</v>
      </c>
      <c r="B61" s="329"/>
      <c r="C61" s="329"/>
      <c r="D61" s="265"/>
    </row>
    <row r="62" spans="1:5" ht="13" x14ac:dyDescent="0.3">
      <c r="A62" s="268" t="str">
        <f t="shared" ref="A62:A63" si="11">A59</f>
        <v>Electricity</v>
      </c>
      <c r="B62" s="329" t="s">
        <v>268</v>
      </c>
      <c r="C62" s="329" t="s">
        <v>269</v>
      </c>
      <c r="D62" s="269">
        <f t="shared" ref="D62:D63" si="12">+D42</f>
        <v>0.35019264315809107</v>
      </c>
    </row>
    <row r="63" spans="1:5" ht="13" x14ac:dyDescent="0.3">
      <c r="A63" s="268" t="str">
        <f t="shared" si="11"/>
        <v>Natural gas</v>
      </c>
      <c r="B63" s="329" t="s">
        <v>270</v>
      </c>
      <c r="C63" s="329" t="s">
        <v>269</v>
      </c>
      <c r="D63" s="266">
        <f t="shared" si="12"/>
        <v>0.23100000000000001</v>
      </c>
    </row>
    <row r="64" spans="1:5" ht="13" x14ac:dyDescent="0.3">
      <c r="A64" s="264" t="s">
        <v>271</v>
      </c>
      <c r="B64" s="329"/>
      <c r="C64" s="329"/>
      <c r="D64" s="265"/>
    </row>
    <row r="65" spans="1:4" ht="13" x14ac:dyDescent="0.3">
      <c r="A65" s="268" t="str">
        <f t="shared" ref="A65:A66" si="13">A62</f>
        <v>Electricity</v>
      </c>
      <c r="B65" s="329" t="s">
        <v>299</v>
      </c>
      <c r="C65" s="329" t="s">
        <v>273</v>
      </c>
      <c r="D65" s="267">
        <f t="shared" ref="D65:D66" si="14">+D59*D62</f>
        <v>16.459054228430279</v>
      </c>
    </row>
    <row r="66" spans="1:4" ht="13" x14ac:dyDescent="0.3">
      <c r="A66" s="268" t="str">
        <f t="shared" si="13"/>
        <v>Natural gas</v>
      </c>
      <c r="B66" s="329" t="s">
        <v>300</v>
      </c>
      <c r="C66" s="329" t="s">
        <v>273</v>
      </c>
      <c r="D66" s="270">
        <f t="shared" si="14"/>
        <v>7.1610000000000005</v>
      </c>
    </row>
    <row r="67" spans="1:4" ht="13" x14ac:dyDescent="0.3">
      <c r="A67" s="268" t="s">
        <v>275</v>
      </c>
      <c r="B67" s="329" t="s">
        <v>301</v>
      </c>
      <c r="C67" s="329" t="s">
        <v>273</v>
      </c>
      <c r="D67" s="270">
        <f>D47</f>
        <v>305.93779999999998</v>
      </c>
    </row>
    <row r="68" spans="1:4" ht="13" x14ac:dyDescent="0.3">
      <c r="A68" s="264" t="s">
        <v>277</v>
      </c>
      <c r="B68" s="329"/>
      <c r="C68" s="329"/>
      <c r="D68" s="265"/>
    </row>
    <row r="69" spans="1:4" ht="13" x14ac:dyDescent="0.3">
      <c r="A69" s="268" t="str">
        <f t="shared" ref="A69:A70" si="15">A65</f>
        <v>Electricity</v>
      </c>
      <c r="B69" s="329" t="s">
        <v>303</v>
      </c>
      <c r="C69" s="329" t="s">
        <v>279</v>
      </c>
      <c r="D69" s="267">
        <f t="shared" ref="D69:D70" si="16">+D65*$D$14/1000</f>
        <v>8641.0034699258977</v>
      </c>
    </row>
    <row r="70" spans="1:4" ht="13" x14ac:dyDescent="0.3">
      <c r="A70" s="268" t="str">
        <f t="shared" si="15"/>
        <v>Natural gas</v>
      </c>
      <c r="B70" s="329" t="s">
        <v>304</v>
      </c>
      <c r="C70" s="329" t="s">
        <v>279</v>
      </c>
      <c r="D70" s="267">
        <f t="shared" si="16"/>
        <v>3759.5250000000005</v>
      </c>
    </row>
    <row r="71" spans="1:4" ht="13" x14ac:dyDescent="0.3">
      <c r="A71" s="268" t="str">
        <f>$A$45</f>
        <v>Electricity</v>
      </c>
      <c r="B71" s="329" t="s">
        <v>305</v>
      </c>
      <c r="C71" s="329" t="str">
        <f>$C$31</f>
        <v>tCO2 over lifetime</v>
      </c>
      <c r="D71" s="267">
        <f t="shared" ref="D71:D72" si="17">D69*$D$15</f>
        <v>129615.05204888846</v>
      </c>
    </row>
    <row r="72" spans="1:4" ht="13" x14ac:dyDescent="0.3">
      <c r="A72" s="268" t="str">
        <f>$A$46</f>
        <v>Natural gas</v>
      </c>
      <c r="B72" s="329" t="s">
        <v>306</v>
      </c>
      <c r="C72" s="329" t="str">
        <f>$C$31</f>
        <v>tCO2 over lifetime</v>
      </c>
      <c r="D72" s="267">
        <f t="shared" si="17"/>
        <v>56392.875000000007</v>
      </c>
    </row>
    <row r="73" spans="1:4" ht="13" x14ac:dyDescent="0.3">
      <c r="A73" s="268" t="s">
        <v>275</v>
      </c>
      <c r="B73" s="329" t="s">
        <v>307</v>
      </c>
      <c r="C73" s="329" t="str">
        <f>C$33</f>
        <v>tCO2 over lifetime</v>
      </c>
      <c r="D73" s="267">
        <f>+D67*$D$14/1000</f>
        <v>160617.345</v>
      </c>
    </row>
    <row r="74" spans="1:4" ht="13.5" thickBot="1" x14ac:dyDescent="0.35">
      <c r="A74" s="325" t="s">
        <v>284</v>
      </c>
      <c r="B74" s="332"/>
      <c r="C74" s="332" t="str">
        <f>C$34</f>
        <v>tCO2 over lifetime</v>
      </c>
      <c r="D74" s="274">
        <f>SUM(D71:D73)</f>
        <v>346625.2720488885</v>
      </c>
    </row>
    <row r="75" spans="1:4" ht="13" thickBot="1" x14ac:dyDescent="0.3">
      <c r="B75" s="330"/>
      <c r="C75" s="330"/>
    </row>
    <row r="76" spans="1:4" ht="13" x14ac:dyDescent="0.3">
      <c r="A76" s="272" t="s">
        <v>308</v>
      </c>
      <c r="B76" s="331"/>
      <c r="C76" s="331"/>
      <c r="D76" s="273"/>
    </row>
    <row r="77" spans="1:4" x14ac:dyDescent="0.25">
      <c r="A77" s="258" t="s">
        <v>262</v>
      </c>
      <c r="B77" s="329" t="s">
        <v>309</v>
      </c>
      <c r="C77" s="334" t="s">
        <v>279</v>
      </c>
      <c r="D77" s="267">
        <f t="shared" ref="D77:D78" si="18">+D29-D49</f>
        <v>3860.873890817953</v>
      </c>
    </row>
    <row r="78" spans="1:4" x14ac:dyDescent="0.25">
      <c r="A78" s="258" t="s">
        <v>265</v>
      </c>
      <c r="B78" s="329" t="s">
        <v>310</v>
      </c>
      <c r="C78" s="329" t="s">
        <v>279</v>
      </c>
      <c r="D78" s="267">
        <f t="shared" si="18"/>
        <v>1334.0249999999996</v>
      </c>
    </row>
    <row r="79" spans="1:4" x14ac:dyDescent="0.25">
      <c r="A79" s="258" t="s">
        <v>262</v>
      </c>
      <c r="B79" s="329" t="s">
        <v>311</v>
      </c>
      <c r="C79" s="329" t="str">
        <f>$C$31</f>
        <v>tCO2 over lifetime</v>
      </c>
      <c r="D79" s="267">
        <f t="shared" ref="D79:D80" si="19">D77*$D$15</f>
        <v>57913.108362269297</v>
      </c>
    </row>
    <row r="80" spans="1:4" x14ac:dyDescent="0.25">
      <c r="A80" s="258" t="s">
        <v>265</v>
      </c>
      <c r="B80" s="329" t="s">
        <v>312</v>
      </c>
      <c r="C80" s="329" t="str">
        <f>$C$31</f>
        <v>tCO2 over lifetime</v>
      </c>
      <c r="D80" s="267">
        <f t="shared" si="19"/>
        <v>20010.374999999993</v>
      </c>
    </row>
    <row r="81" spans="1:4" x14ac:dyDescent="0.25">
      <c r="A81" s="258" t="s">
        <v>275</v>
      </c>
      <c r="B81" s="329" t="s">
        <v>313</v>
      </c>
      <c r="C81" s="329" t="str">
        <f>$C$31</f>
        <v>tCO2 over lifetime</v>
      </c>
      <c r="D81" s="267">
        <f>+D33-D53</f>
        <v>45080.804999999964</v>
      </c>
    </row>
    <row r="82" spans="1:4" ht="13.5" thickBot="1" x14ac:dyDescent="0.35">
      <c r="A82" s="275" t="s">
        <v>284</v>
      </c>
      <c r="B82" s="332" t="s">
        <v>314</v>
      </c>
      <c r="C82" s="332" t="str">
        <f>$C$31</f>
        <v>tCO2 over lifetime</v>
      </c>
      <c r="D82" s="274">
        <f>SUM(D79:D81)</f>
        <v>123004.28836226926</v>
      </c>
    </row>
    <row r="83" spans="1:4" ht="13" thickBot="1" x14ac:dyDescent="0.3">
      <c r="B83" s="330"/>
      <c r="C83" s="330"/>
    </row>
    <row r="84" spans="1:4" ht="13" x14ac:dyDescent="0.3">
      <c r="A84" s="272" t="s">
        <v>315</v>
      </c>
      <c r="B84" s="331"/>
      <c r="C84" s="331"/>
      <c r="D84" s="273"/>
    </row>
    <row r="85" spans="1:4" x14ac:dyDescent="0.25">
      <c r="A85" s="258" t="s">
        <v>262</v>
      </c>
      <c r="B85" s="329" t="s">
        <v>316</v>
      </c>
      <c r="C85" s="329" t="s">
        <v>279</v>
      </c>
      <c r="D85" s="267">
        <f t="shared" ref="D85:D86" si="20">+D29-D69</f>
        <v>4044.7250284759502</v>
      </c>
    </row>
    <row r="86" spans="1:4" x14ac:dyDescent="0.25">
      <c r="A86" s="258" t="s">
        <v>265</v>
      </c>
      <c r="B86" s="329" t="s">
        <v>317</v>
      </c>
      <c r="C86" s="329" t="s">
        <v>279</v>
      </c>
      <c r="D86" s="267">
        <f t="shared" si="20"/>
        <v>4123.3499999999995</v>
      </c>
    </row>
    <row r="87" spans="1:4" x14ac:dyDescent="0.25">
      <c r="A87" s="258" t="s">
        <v>262</v>
      </c>
      <c r="B87" s="329" t="s">
        <v>318</v>
      </c>
      <c r="C87" s="329" t="str">
        <f>$C$31</f>
        <v>tCO2 over lifetime</v>
      </c>
      <c r="D87" s="267">
        <f t="shared" ref="D87:D88" si="21">D85*$D$15</f>
        <v>60670.875427139254</v>
      </c>
    </row>
    <row r="88" spans="1:4" x14ac:dyDescent="0.25">
      <c r="A88" s="258" t="s">
        <v>265</v>
      </c>
      <c r="B88" s="329" t="s">
        <v>319</v>
      </c>
      <c r="C88" s="329" t="str">
        <f>$C$31</f>
        <v>tCO2 over lifetime</v>
      </c>
      <c r="D88" s="267">
        <f t="shared" si="21"/>
        <v>61850.249999999993</v>
      </c>
    </row>
    <row r="89" spans="1:4" x14ac:dyDescent="0.25">
      <c r="A89" s="258" t="s">
        <v>275</v>
      </c>
      <c r="B89" s="329" t="s">
        <v>320</v>
      </c>
      <c r="C89" s="329" t="str">
        <f>$C$31</f>
        <v>tCO2 over lifetime</v>
      </c>
      <c r="D89" s="267">
        <f>+D33-D73</f>
        <v>45080.804999999964</v>
      </c>
    </row>
    <row r="90" spans="1:4" ht="13.5" thickBot="1" x14ac:dyDescent="0.35">
      <c r="A90" s="275" t="s">
        <v>284</v>
      </c>
      <c r="B90" s="332" t="s">
        <v>321</v>
      </c>
      <c r="C90" s="332" t="str">
        <f>$C$31</f>
        <v>tCO2 over lifetime</v>
      </c>
      <c r="D90" s="274">
        <f>SUM(D87:D89)</f>
        <v>167601.93042713922</v>
      </c>
    </row>
    <row r="91" spans="1:4" ht="13" thickBot="1" x14ac:dyDescent="0.3">
      <c r="B91" s="330"/>
      <c r="C91" s="330"/>
    </row>
    <row r="92" spans="1:4" ht="13" x14ac:dyDescent="0.3">
      <c r="A92" s="272" t="s">
        <v>322</v>
      </c>
      <c r="B92" s="331"/>
      <c r="C92" s="331"/>
      <c r="D92" s="273"/>
    </row>
    <row r="93" spans="1:4" x14ac:dyDescent="0.25">
      <c r="A93" s="258" t="s">
        <v>262</v>
      </c>
      <c r="B93" s="329" t="s">
        <v>323</v>
      </c>
      <c r="C93" s="329" t="s">
        <v>279</v>
      </c>
      <c r="D93" s="267">
        <f t="shared" ref="D93:D94" si="22">+AVERAGE(D85,D77)</f>
        <v>3952.7994596469516</v>
      </c>
    </row>
    <row r="94" spans="1:4" x14ac:dyDescent="0.25">
      <c r="A94" s="258" t="s">
        <v>265</v>
      </c>
      <c r="B94" s="329" t="s">
        <v>323</v>
      </c>
      <c r="C94" s="329" t="s">
        <v>279</v>
      </c>
      <c r="D94" s="267">
        <f t="shared" si="22"/>
        <v>2728.6874999999995</v>
      </c>
    </row>
    <row r="95" spans="1:4" x14ac:dyDescent="0.25">
      <c r="A95" s="258" t="s">
        <v>262</v>
      </c>
      <c r="B95" s="329" t="s">
        <v>323</v>
      </c>
      <c r="C95" s="329" t="str">
        <f>$C$31</f>
        <v>tCO2 over lifetime</v>
      </c>
      <c r="D95" s="267">
        <f t="shared" ref="D95:D96" si="23">D93*$D$15</f>
        <v>59291.991894704275</v>
      </c>
    </row>
    <row r="96" spans="1:4" x14ac:dyDescent="0.25">
      <c r="A96" s="258" t="s">
        <v>265</v>
      </c>
      <c r="B96" s="329" t="s">
        <v>323</v>
      </c>
      <c r="C96" s="329" t="str">
        <f>$C$31</f>
        <v>tCO2 over lifetime</v>
      </c>
      <c r="D96" s="267">
        <f t="shared" si="23"/>
        <v>40930.312499999993</v>
      </c>
    </row>
    <row r="97" spans="1:4" x14ac:dyDescent="0.25">
      <c r="A97" s="258" t="s">
        <v>275</v>
      </c>
      <c r="B97" s="329" t="s">
        <v>323</v>
      </c>
      <c r="C97" s="329" t="str">
        <f>$C$31</f>
        <v>tCO2 over lifetime</v>
      </c>
      <c r="D97" s="267">
        <f>+AVERAGE(D89,D81)</f>
        <v>45080.804999999964</v>
      </c>
    </row>
    <row r="98" spans="1:4" ht="13.5" thickBot="1" x14ac:dyDescent="0.35">
      <c r="A98" s="275" t="s">
        <v>284</v>
      </c>
      <c r="B98" s="332" t="s">
        <v>324</v>
      </c>
      <c r="C98" s="332" t="str">
        <f>$C$31</f>
        <v>tCO2 over lifetime</v>
      </c>
      <c r="D98" s="274">
        <f>SUM(D95:D97)</f>
        <v>145303.10939470422</v>
      </c>
    </row>
    <row r="99" spans="1:4" ht="15.75" customHeight="1" x14ac:dyDescent="0.25"/>
    <row r="100" spans="1:4" ht="15.75" customHeight="1" x14ac:dyDescent="0.25">
      <c r="A100" s="254" t="s">
        <v>709</v>
      </c>
      <c r="D100" s="375">
        <f>D97/D98</f>
        <v>0.31025354645055514</v>
      </c>
    </row>
    <row r="101" spans="1:4" ht="15.75" customHeight="1" x14ac:dyDescent="0.25"/>
    <row r="102" spans="1:4" ht="15.75" customHeight="1" x14ac:dyDescent="0.3">
      <c r="A102" s="398" t="s">
        <v>730</v>
      </c>
    </row>
    <row r="103" spans="1:4" ht="15.75" customHeight="1" thickBot="1" x14ac:dyDescent="0.3"/>
    <row r="104" spans="1:4" ht="15.75" customHeight="1" x14ac:dyDescent="0.3">
      <c r="A104" s="393" t="s">
        <v>728</v>
      </c>
      <c r="B104" s="394" t="str">
        <f>C19</f>
        <v>kWh/m2/yr</v>
      </c>
    </row>
    <row r="105" spans="1:4" ht="15.75" customHeight="1" x14ac:dyDescent="0.3">
      <c r="A105" s="395" t="s">
        <v>172</v>
      </c>
      <c r="B105" s="265"/>
    </row>
    <row r="106" spans="1:4" ht="15.75" customHeight="1" x14ac:dyDescent="0.25">
      <c r="A106" s="260" t="s">
        <v>726</v>
      </c>
      <c r="B106" s="265">
        <f>D19</f>
        <v>69</v>
      </c>
    </row>
    <row r="107" spans="1:4" ht="15.75" customHeight="1" x14ac:dyDescent="0.25">
      <c r="A107" s="260" t="s">
        <v>727</v>
      </c>
      <c r="B107" s="265">
        <f>D20</f>
        <v>65</v>
      </c>
    </row>
    <row r="108" spans="1:4" ht="15.75" customHeight="1" x14ac:dyDescent="0.3">
      <c r="A108" s="396" t="s">
        <v>249</v>
      </c>
      <c r="B108" s="265"/>
    </row>
    <row r="109" spans="1:4" ht="15.75" customHeight="1" x14ac:dyDescent="0.25">
      <c r="A109" s="260" t="s">
        <v>726</v>
      </c>
      <c r="B109" s="265">
        <f>D39</f>
        <v>48</v>
      </c>
    </row>
    <row r="110" spans="1:4" ht="15.75" customHeight="1" x14ac:dyDescent="0.25">
      <c r="A110" s="260" t="s">
        <v>727</v>
      </c>
      <c r="B110" s="265">
        <f>D40</f>
        <v>54</v>
      </c>
    </row>
    <row r="111" spans="1:4" ht="15.75" customHeight="1" x14ac:dyDescent="0.3">
      <c r="A111" s="396" t="s">
        <v>250</v>
      </c>
      <c r="B111" s="265"/>
    </row>
    <row r="112" spans="1:4" ht="15.75" customHeight="1" x14ac:dyDescent="0.25">
      <c r="A112" s="260" t="s">
        <v>726</v>
      </c>
      <c r="B112" s="265">
        <f>D59</f>
        <v>47</v>
      </c>
    </row>
    <row r="113" spans="1:2" ht="15.75" customHeight="1" x14ac:dyDescent="0.25">
      <c r="A113" s="260" t="s">
        <v>727</v>
      </c>
      <c r="B113" s="265">
        <f>D60</f>
        <v>31</v>
      </c>
    </row>
    <row r="114" spans="1:2" ht="15.75" customHeight="1" x14ac:dyDescent="0.3">
      <c r="A114" s="396" t="s">
        <v>731</v>
      </c>
      <c r="B114" s="265"/>
    </row>
    <row r="115" spans="1:2" ht="15.75" customHeight="1" x14ac:dyDescent="0.25">
      <c r="A115" s="260" t="s">
        <v>726</v>
      </c>
      <c r="B115" s="265">
        <f>AVERAGE(B109,B112)</f>
        <v>47.5</v>
      </c>
    </row>
    <row r="116" spans="1:2" ht="15.75" customHeight="1" thickBot="1" x14ac:dyDescent="0.3">
      <c r="A116" s="261" t="s">
        <v>727</v>
      </c>
      <c r="B116" s="397">
        <f>AVERAGE(B110,B113)</f>
        <v>42.5</v>
      </c>
    </row>
    <row r="117" spans="1:2" ht="15.75" customHeight="1" thickBot="1" x14ac:dyDescent="0.3"/>
    <row r="118" spans="1:2" ht="15.75" customHeight="1" x14ac:dyDescent="0.3">
      <c r="A118" s="393" t="s">
        <v>729</v>
      </c>
      <c r="B118" s="394" t="s">
        <v>725</v>
      </c>
    </row>
    <row r="119" spans="1:2" ht="15.75" customHeight="1" x14ac:dyDescent="0.3">
      <c r="A119" s="395" t="s">
        <v>172</v>
      </c>
      <c r="B119" s="265"/>
    </row>
    <row r="120" spans="1:2" ht="15.75" customHeight="1" x14ac:dyDescent="0.25">
      <c r="A120" s="260" t="s">
        <v>726</v>
      </c>
      <c r="B120" s="259">
        <f>B106*D14/1000</f>
        <v>36225</v>
      </c>
    </row>
    <row r="121" spans="1:2" ht="15.75" customHeight="1" x14ac:dyDescent="0.25">
      <c r="A121" s="260" t="s">
        <v>727</v>
      </c>
      <c r="B121" s="259">
        <f>B107*D14/1000</f>
        <v>34125</v>
      </c>
    </row>
    <row r="122" spans="1:2" ht="15.75" customHeight="1" x14ac:dyDescent="0.3">
      <c r="A122" s="396" t="s">
        <v>731</v>
      </c>
      <c r="B122" s="265"/>
    </row>
    <row r="123" spans="1:2" ht="15.75" customHeight="1" x14ac:dyDescent="0.25">
      <c r="A123" s="260" t="s">
        <v>726</v>
      </c>
      <c r="B123" s="259">
        <f>B115*D14/1000</f>
        <v>24937.5</v>
      </c>
    </row>
    <row r="124" spans="1:2" ht="15.75" customHeight="1" thickBot="1" x14ac:dyDescent="0.3">
      <c r="A124" s="261" t="s">
        <v>727</v>
      </c>
      <c r="B124" s="262">
        <f>B116*D14/1000</f>
        <v>22312.5</v>
      </c>
    </row>
    <row r="125" spans="1:2" ht="15.75" customHeight="1" thickBot="1" x14ac:dyDescent="0.3">
      <c r="B125" s="392"/>
    </row>
    <row r="126" spans="1:2" ht="15.75" customHeight="1" x14ac:dyDescent="0.3">
      <c r="A126" s="393" t="s">
        <v>732</v>
      </c>
      <c r="B126" s="394" t="s">
        <v>725</v>
      </c>
    </row>
    <row r="127" spans="1:2" ht="15.75" customHeight="1" x14ac:dyDescent="0.3">
      <c r="A127" s="396" t="s">
        <v>731</v>
      </c>
      <c r="B127" s="399"/>
    </row>
    <row r="128" spans="1:2" ht="15.75" customHeight="1" x14ac:dyDescent="0.25">
      <c r="A128" s="260" t="s">
        <v>726</v>
      </c>
      <c r="B128" s="259">
        <f>B120-B123</f>
        <v>11287.5</v>
      </c>
    </row>
    <row r="129" spans="1:2" ht="15.75" customHeight="1" thickBot="1" x14ac:dyDescent="0.3">
      <c r="A129" s="261" t="s">
        <v>727</v>
      </c>
      <c r="B129" s="262">
        <f>B121-B124</f>
        <v>11812.5</v>
      </c>
    </row>
    <row r="130" spans="1:2" ht="15.75" customHeight="1" x14ac:dyDescent="0.25"/>
    <row r="131" spans="1:2" ht="15.75" customHeight="1" x14ac:dyDescent="0.25"/>
    <row r="132" spans="1:2" ht="15.75" customHeight="1" x14ac:dyDescent="0.25"/>
    <row r="133" spans="1:2" ht="15.75" customHeight="1" x14ac:dyDescent="0.25"/>
    <row r="134" spans="1:2" ht="15.75" customHeight="1" x14ac:dyDescent="0.25"/>
    <row r="135" spans="1:2" ht="15.75" customHeight="1" x14ac:dyDescent="0.25"/>
    <row r="136" spans="1:2" ht="15.75" customHeight="1" x14ac:dyDescent="0.25"/>
    <row r="137" spans="1:2" ht="15.75" customHeight="1" x14ac:dyDescent="0.25"/>
    <row r="138" spans="1:2" ht="15.75" customHeight="1" x14ac:dyDescent="0.25"/>
    <row r="139" spans="1:2" ht="15.75" customHeight="1" x14ac:dyDescent="0.25"/>
    <row r="140" spans="1:2" ht="15.75" customHeight="1" x14ac:dyDescent="0.25"/>
    <row r="141" spans="1:2" ht="15.75" customHeight="1" x14ac:dyDescent="0.25"/>
    <row r="142" spans="1:2" ht="15.75" customHeight="1" x14ac:dyDescent="0.25"/>
    <row r="143" spans="1:2" ht="15.75" customHeight="1" x14ac:dyDescent="0.25"/>
    <row r="144" spans="1:2"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row r="1010" ht="15.75" customHeight="1" x14ac:dyDescent="0.25"/>
  </sheetData>
  <pageMargins left="0.7" right="0.7" top="0.75" bottom="0.75" header="0" footer="0"/>
  <pageSetup orientation="landscape"/>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10"/>
  <sheetViews>
    <sheetView topLeftCell="A116" workbookViewId="0">
      <selection activeCell="A102" sqref="A102:B129"/>
    </sheetView>
  </sheetViews>
  <sheetFormatPr baseColWidth="10" defaultColWidth="12.58203125" defaultRowHeight="12.5" x14ac:dyDescent="0.25"/>
  <cols>
    <col min="1" max="1" width="43.58203125" style="254" customWidth="1"/>
    <col min="2" max="2" width="22.58203125" style="254" customWidth="1"/>
    <col min="3" max="3" width="17" style="327" customWidth="1"/>
    <col min="4" max="4" width="16" style="254" customWidth="1"/>
    <col min="5" max="26" width="9.33203125" style="254" customWidth="1"/>
    <col min="27" max="16384" width="12.58203125" style="254"/>
  </cols>
  <sheetData>
    <row r="1" spans="1:4" ht="13" x14ac:dyDescent="0.3">
      <c r="A1" s="253" t="s">
        <v>661</v>
      </c>
    </row>
    <row r="2" spans="1:4" ht="15" customHeight="1" x14ac:dyDescent="0.25"/>
    <row r="3" spans="1:4" ht="13.5" thickBot="1" x14ac:dyDescent="0.35">
      <c r="A3" s="253" t="s">
        <v>601</v>
      </c>
      <c r="B3" s="255"/>
    </row>
    <row r="4" spans="1:4" x14ac:dyDescent="0.25">
      <c r="A4" s="256" t="s">
        <v>603</v>
      </c>
      <c r="B4" s="257">
        <f>D34</f>
        <v>168320.49950691906</v>
      </c>
    </row>
    <row r="5" spans="1:4" x14ac:dyDescent="0.25">
      <c r="A5" s="258" t="s">
        <v>604</v>
      </c>
      <c r="B5" s="259">
        <f>D54</f>
        <v>125810.6100016737</v>
      </c>
    </row>
    <row r="6" spans="1:4" x14ac:dyDescent="0.25">
      <c r="A6" s="260" t="s">
        <v>605</v>
      </c>
      <c r="B6" s="259">
        <f>D74</f>
        <v>117195.75375167369</v>
      </c>
    </row>
    <row r="7" spans="1:4" x14ac:dyDescent="0.25">
      <c r="A7" s="260" t="s">
        <v>308</v>
      </c>
      <c r="B7" s="259">
        <f>D82</f>
        <v>42509.889505245359</v>
      </c>
    </row>
    <row r="8" spans="1:4" x14ac:dyDescent="0.25">
      <c r="A8" s="260" t="s">
        <v>315</v>
      </c>
      <c r="B8" s="259">
        <f>D90</f>
        <v>51124.745755245356</v>
      </c>
    </row>
    <row r="9" spans="1:4" ht="13" thickBot="1" x14ac:dyDescent="0.3">
      <c r="A9" s="261" t="s">
        <v>322</v>
      </c>
      <c r="B9" s="262">
        <f>D98</f>
        <v>46817.317630245365</v>
      </c>
    </row>
    <row r="10" spans="1:4" ht="13" thickBot="1" x14ac:dyDescent="0.3"/>
    <row r="11" spans="1:4" ht="13" x14ac:dyDescent="0.3">
      <c r="A11" s="328" t="s">
        <v>600</v>
      </c>
      <c r="B11" s="326" t="s">
        <v>253</v>
      </c>
      <c r="C11" s="326" t="s">
        <v>254</v>
      </c>
      <c r="D11" s="263" t="s">
        <v>255</v>
      </c>
    </row>
    <row r="12" spans="1:4" ht="13" x14ac:dyDescent="0.3">
      <c r="A12" s="264" t="s">
        <v>52</v>
      </c>
      <c r="B12" s="329"/>
      <c r="C12" s="329"/>
      <c r="D12" s="265"/>
    </row>
    <row r="13" spans="1:4" x14ac:dyDescent="0.25">
      <c r="A13" s="258" t="s">
        <v>256</v>
      </c>
      <c r="B13" s="329"/>
      <c r="C13" s="329"/>
      <c r="D13" s="266" t="str">
        <f>+'Input_Area and Costs'!A4</f>
        <v>Residential</v>
      </c>
    </row>
    <row r="14" spans="1:4" x14ac:dyDescent="0.25">
      <c r="A14" s="258" t="s">
        <v>247</v>
      </c>
      <c r="B14" s="329" t="s">
        <v>257</v>
      </c>
      <c r="C14" s="329" t="s">
        <v>251</v>
      </c>
      <c r="D14" s="267">
        <f>+'Input_Area and Costs'!G4</f>
        <v>191250</v>
      </c>
    </row>
    <row r="15" spans="1:4" x14ac:dyDescent="0.25">
      <c r="A15" s="258" t="s">
        <v>258</v>
      </c>
      <c r="B15" s="329" t="s">
        <v>259</v>
      </c>
      <c r="C15" s="329" t="s">
        <v>260</v>
      </c>
      <c r="D15" s="267">
        <f>'General Inputs&amp;Outputs'!$C$12</f>
        <v>15</v>
      </c>
    </row>
    <row r="16" spans="1:4" x14ac:dyDescent="0.25">
      <c r="A16" s="254" t="s">
        <v>172</v>
      </c>
      <c r="B16" s="329"/>
      <c r="C16" s="329"/>
      <c r="D16" s="265"/>
    </row>
    <row r="17" spans="1:4" ht="13" x14ac:dyDescent="0.3">
      <c r="A17" s="264" t="s">
        <v>285</v>
      </c>
      <c r="B17" s="329"/>
      <c r="C17" s="329"/>
      <c r="D17" s="265"/>
    </row>
    <row r="18" spans="1:4" ht="13" x14ac:dyDescent="0.3">
      <c r="A18" s="264" t="s">
        <v>261</v>
      </c>
      <c r="B18" s="329"/>
      <c r="C18" s="333"/>
      <c r="D18" s="265"/>
    </row>
    <row r="19" spans="1:4" ht="13" x14ac:dyDescent="0.3">
      <c r="A19" s="268" t="s">
        <v>262</v>
      </c>
      <c r="B19" s="329" t="s">
        <v>263</v>
      </c>
      <c r="C19" s="329" t="s">
        <v>264</v>
      </c>
      <c r="D19" s="266">
        <f>+'Energy use'!B257-D20</f>
        <v>78</v>
      </c>
    </row>
    <row r="20" spans="1:4" ht="13" x14ac:dyDescent="0.3">
      <c r="A20" s="268" t="s">
        <v>265</v>
      </c>
      <c r="B20" s="329" t="s">
        <v>266</v>
      </c>
      <c r="C20" s="329" t="s">
        <v>264</v>
      </c>
      <c r="D20" s="266">
        <f>+'Energy use'!B258+'Energy use'!B263</f>
        <v>33</v>
      </c>
    </row>
    <row r="21" spans="1:4" ht="13" x14ac:dyDescent="0.3">
      <c r="A21" s="264" t="s">
        <v>267</v>
      </c>
      <c r="B21" s="329"/>
      <c r="C21" s="333"/>
      <c r="D21" s="265"/>
    </row>
    <row r="22" spans="1:4" ht="13" x14ac:dyDescent="0.3">
      <c r="A22" s="268" t="str">
        <f t="shared" ref="A22:A23" si="0">A19</f>
        <v>Electricity</v>
      </c>
      <c r="B22" s="329" t="s">
        <v>268</v>
      </c>
      <c r="C22" s="329" t="s">
        <v>269</v>
      </c>
      <c r="D22" s="269">
        <f>+'Input_Energy Context'!G12</f>
        <v>0.31962067261904487</v>
      </c>
    </row>
    <row r="23" spans="1:4" ht="13" x14ac:dyDescent="0.3">
      <c r="A23" s="268" t="str">
        <f t="shared" si="0"/>
        <v>Natural gas</v>
      </c>
      <c r="B23" s="329" t="s">
        <v>270</v>
      </c>
      <c r="C23" s="329" t="s">
        <v>269</v>
      </c>
      <c r="D23" s="266">
        <f>+'Input_Energy Context'!B13</f>
        <v>0.23100000000000001</v>
      </c>
    </row>
    <row r="24" spans="1:4" ht="13" x14ac:dyDescent="0.3">
      <c r="A24" s="264" t="s">
        <v>271</v>
      </c>
      <c r="B24" s="329"/>
      <c r="C24" s="333"/>
      <c r="D24" s="265"/>
    </row>
    <row r="25" spans="1:4" ht="13" x14ac:dyDescent="0.3">
      <c r="A25" s="268" t="str">
        <f t="shared" ref="A25:A26" si="1">A22</f>
        <v>Electricity</v>
      </c>
      <c r="B25" s="329" t="s">
        <v>272</v>
      </c>
      <c r="C25" s="329" t="s">
        <v>273</v>
      </c>
      <c r="D25" s="270">
        <f>+D19*D22</f>
        <v>24.930412464285499</v>
      </c>
    </row>
    <row r="26" spans="1:4" ht="13" x14ac:dyDescent="0.3">
      <c r="A26" s="268" t="str">
        <f t="shared" si="1"/>
        <v>Natural gas</v>
      </c>
      <c r="B26" s="329" t="s">
        <v>274</v>
      </c>
      <c r="C26" s="329" t="s">
        <v>273</v>
      </c>
      <c r="D26" s="270">
        <f>+D20*D23</f>
        <v>7.6230000000000002</v>
      </c>
    </row>
    <row r="27" spans="1:4" ht="13" x14ac:dyDescent="0.3">
      <c r="A27" s="268" t="s">
        <v>275</v>
      </c>
      <c r="B27" s="329" t="s">
        <v>276</v>
      </c>
      <c r="C27" s="329" t="s">
        <v>273</v>
      </c>
      <c r="D27" s="270">
        <f>'Input_LC Materials'!G21/'Input_LC Materials'!E5</f>
        <v>391.80600000000004</v>
      </c>
    </row>
    <row r="28" spans="1:4" ht="13" x14ac:dyDescent="0.3">
      <c r="A28" s="264" t="s">
        <v>277</v>
      </c>
      <c r="B28" s="329"/>
      <c r="C28" s="333"/>
      <c r="D28" s="265"/>
    </row>
    <row r="29" spans="1:4" ht="13" x14ac:dyDescent="0.3">
      <c r="A29" s="268" t="str">
        <f t="shared" ref="A29:A30" si="2">A25</f>
        <v>Electricity</v>
      </c>
      <c r="B29" s="329" t="s">
        <v>278</v>
      </c>
      <c r="C29" s="329" t="s">
        <v>279</v>
      </c>
      <c r="D29" s="267">
        <f>+D25*D14/1000</f>
        <v>4767.9413837946022</v>
      </c>
    </row>
    <row r="30" spans="1:4" ht="13" x14ac:dyDescent="0.3">
      <c r="A30" s="268" t="str">
        <f t="shared" si="2"/>
        <v>Natural gas</v>
      </c>
      <c r="B30" s="329" t="s">
        <v>280</v>
      </c>
      <c r="C30" s="329" t="s">
        <v>279</v>
      </c>
      <c r="D30" s="267">
        <f>+D26*D14/1000</f>
        <v>1457.8987500000001</v>
      </c>
    </row>
    <row r="31" spans="1:4" ht="13" x14ac:dyDescent="0.3">
      <c r="A31" s="268" t="str">
        <f>$A$25</f>
        <v>Electricity</v>
      </c>
      <c r="B31" s="329" t="s">
        <v>281</v>
      </c>
      <c r="C31" s="329" t="s">
        <v>577</v>
      </c>
      <c r="D31" s="267">
        <f t="shared" ref="D31:D32" si="3">D29*$D$15</f>
        <v>71519.12075691903</v>
      </c>
    </row>
    <row r="32" spans="1:4" ht="13" x14ac:dyDescent="0.3">
      <c r="A32" s="268" t="str">
        <f>$A$26</f>
        <v>Natural gas</v>
      </c>
      <c r="B32" s="329" t="s">
        <v>282</v>
      </c>
      <c r="C32" s="329" t="s">
        <v>577</v>
      </c>
      <c r="D32" s="267">
        <f t="shared" si="3"/>
        <v>21868.481250000001</v>
      </c>
    </row>
    <row r="33" spans="1:4" ht="13" x14ac:dyDescent="0.3">
      <c r="A33" s="268" t="s">
        <v>275</v>
      </c>
      <c r="B33" s="329" t="s">
        <v>283</v>
      </c>
      <c r="C33" s="329" t="s">
        <v>577</v>
      </c>
      <c r="D33" s="267">
        <f>+D27*D14/1000</f>
        <v>74932.897500000021</v>
      </c>
    </row>
    <row r="34" spans="1:4" ht="13.5" thickBot="1" x14ac:dyDescent="0.35">
      <c r="A34" s="325" t="s">
        <v>284</v>
      </c>
      <c r="B34" s="332"/>
      <c r="C34" s="332" t="s">
        <v>577</v>
      </c>
      <c r="D34" s="274">
        <f>SUM(D31:D33)</f>
        <v>168320.49950691906</v>
      </c>
    </row>
    <row r="35" spans="1:4" ht="13" thickBot="1" x14ac:dyDescent="0.3">
      <c r="B35" s="330"/>
      <c r="C35" s="330"/>
    </row>
    <row r="36" spans="1:4" ht="13" x14ac:dyDescent="0.3">
      <c r="A36" s="328" t="s">
        <v>249</v>
      </c>
      <c r="B36" s="326"/>
      <c r="C36" s="326"/>
      <c r="D36" s="263"/>
    </row>
    <row r="37" spans="1:4" ht="13" x14ac:dyDescent="0.3">
      <c r="A37" s="264" t="s">
        <v>285</v>
      </c>
      <c r="B37" s="329"/>
      <c r="C37" s="329"/>
      <c r="D37" s="265"/>
    </row>
    <row r="38" spans="1:4" ht="13" x14ac:dyDescent="0.3">
      <c r="A38" s="264" t="s">
        <v>261</v>
      </c>
      <c r="B38" s="329"/>
      <c r="C38" s="333"/>
      <c r="D38" s="265"/>
    </row>
    <row r="39" spans="1:4" ht="13" x14ac:dyDescent="0.3">
      <c r="A39" s="268" t="s">
        <v>262</v>
      </c>
      <c r="B39" s="329" t="s">
        <v>286</v>
      </c>
      <c r="C39" s="329" t="s">
        <v>264</v>
      </c>
      <c r="D39" s="266">
        <f>+'Energy use'!C257-D40</f>
        <v>55</v>
      </c>
    </row>
    <row r="40" spans="1:4" ht="13" x14ac:dyDescent="0.3">
      <c r="A40" s="268" t="s">
        <v>265</v>
      </c>
      <c r="B40" s="329" t="s">
        <v>287</v>
      </c>
      <c r="C40" s="329" t="s">
        <v>264</v>
      </c>
      <c r="D40" s="266">
        <f>+'Energy use'!C258+'Energy use'!C263</f>
        <v>26</v>
      </c>
    </row>
    <row r="41" spans="1:4" ht="13" x14ac:dyDescent="0.3">
      <c r="A41" s="264" t="s">
        <v>267</v>
      </c>
      <c r="B41" s="329"/>
      <c r="C41" s="329"/>
      <c r="D41" s="265"/>
    </row>
    <row r="42" spans="1:4" ht="13" x14ac:dyDescent="0.3">
      <c r="A42" s="268" t="str">
        <f t="shared" ref="A42:A43" si="4">A39</f>
        <v>Electricity</v>
      </c>
      <c r="B42" s="329" t="s">
        <v>268</v>
      </c>
      <c r="C42" s="329" t="s">
        <v>269</v>
      </c>
      <c r="D42" s="269">
        <f t="shared" ref="D42:D43" si="5">+D22</f>
        <v>0.31962067261904487</v>
      </c>
    </row>
    <row r="43" spans="1:4" ht="13" x14ac:dyDescent="0.3">
      <c r="A43" s="268" t="str">
        <f t="shared" si="4"/>
        <v>Natural gas</v>
      </c>
      <c r="B43" s="329" t="s">
        <v>270</v>
      </c>
      <c r="C43" s="329" t="s">
        <v>269</v>
      </c>
      <c r="D43" s="266">
        <f t="shared" si="5"/>
        <v>0.23100000000000001</v>
      </c>
    </row>
    <row r="44" spans="1:4" ht="13" x14ac:dyDescent="0.3">
      <c r="A44" s="264" t="s">
        <v>271</v>
      </c>
      <c r="B44" s="329"/>
      <c r="C44" s="329"/>
      <c r="D44" s="265"/>
    </row>
    <row r="45" spans="1:4" ht="13" x14ac:dyDescent="0.3">
      <c r="A45" s="268" t="str">
        <f t="shared" ref="A45:A46" si="6">A42</f>
        <v>Electricity</v>
      </c>
      <c r="B45" s="329" t="s">
        <v>288</v>
      </c>
      <c r="C45" s="329" t="s">
        <v>273</v>
      </c>
      <c r="D45" s="267">
        <f t="shared" ref="D45:D46" si="7">+D39*D42</f>
        <v>17.579136994047467</v>
      </c>
    </row>
    <row r="46" spans="1:4" ht="13" x14ac:dyDescent="0.3">
      <c r="A46" s="268" t="str">
        <f t="shared" si="6"/>
        <v>Natural gas</v>
      </c>
      <c r="B46" s="329" t="s">
        <v>289</v>
      </c>
      <c r="C46" s="329" t="s">
        <v>273</v>
      </c>
      <c r="D46" s="270">
        <f t="shared" si="7"/>
        <v>6.0060000000000002</v>
      </c>
    </row>
    <row r="47" spans="1:4" ht="13" x14ac:dyDescent="0.3">
      <c r="A47" s="268" t="s">
        <v>275</v>
      </c>
      <c r="B47" s="329" t="s">
        <v>290</v>
      </c>
      <c r="C47" s="329" t="s">
        <v>273</v>
      </c>
      <c r="D47" s="270">
        <f>D27-'Input_LC Materials'!G21</f>
        <v>304.0562000000001</v>
      </c>
    </row>
    <row r="48" spans="1:4" ht="13" x14ac:dyDescent="0.3">
      <c r="A48" s="264" t="s">
        <v>277</v>
      </c>
      <c r="B48" s="329"/>
      <c r="C48" s="329"/>
      <c r="D48" s="265"/>
    </row>
    <row r="49" spans="1:5" ht="13" x14ac:dyDescent="0.3">
      <c r="A49" s="268" t="str">
        <f t="shared" ref="A49:A50" si="8">A45</f>
        <v>Electricity</v>
      </c>
      <c r="B49" s="329" t="s">
        <v>291</v>
      </c>
      <c r="C49" s="329" t="s">
        <v>279</v>
      </c>
      <c r="D49" s="267">
        <f>+D45*D14/1000</f>
        <v>3362.0099501115783</v>
      </c>
    </row>
    <row r="50" spans="1:5" ht="13" x14ac:dyDescent="0.3">
      <c r="A50" s="268" t="str">
        <f t="shared" si="8"/>
        <v>Natural gas</v>
      </c>
      <c r="B50" s="329" t="s">
        <v>292</v>
      </c>
      <c r="C50" s="329" t="s">
        <v>279</v>
      </c>
      <c r="D50" s="267">
        <f>+D46*D14/1000</f>
        <v>1148.6475</v>
      </c>
    </row>
    <row r="51" spans="1:5" ht="13" x14ac:dyDescent="0.3">
      <c r="A51" s="268" t="str">
        <f>$A$45</f>
        <v>Electricity</v>
      </c>
      <c r="B51" s="329" t="s">
        <v>293</v>
      </c>
      <c r="C51" s="329" t="str">
        <f>$C$31</f>
        <v>tCO2 over lifetime</v>
      </c>
      <c r="D51" s="267">
        <f t="shared" ref="D51:D52" si="9">D49*$D$15</f>
        <v>50430.149251673676</v>
      </c>
    </row>
    <row r="52" spans="1:5" ht="13" x14ac:dyDescent="0.3">
      <c r="A52" s="268" t="str">
        <f>$A$46</f>
        <v>Natural gas</v>
      </c>
      <c r="B52" s="329" t="s">
        <v>294</v>
      </c>
      <c r="C52" s="329" t="str">
        <f>$C$31</f>
        <v>tCO2 over lifetime</v>
      </c>
      <c r="D52" s="267">
        <f t="shared" si="9"/>
        <v>17229.712500000001</v>
      </c>
    </row>
    <row r="53" spans="1:5" ht="13" x14ac:dyDescent="0.3">
      <c r="A53" s="268" t="s">
        <v>275</v>
      </c>
      <c r="B53" s="329" t="s">
        <v>295</v>
      </c>
      <c r="C53" s="329" t="str">
        <f>C$33</f>
        <v>tCO2 over lifetime</v>
      </c>
      <c r="D53" s="267">
        <f>+D47*D14/1000</f>
        <v>58150.748250000019</v>
      </c>
    </row>
    <row r="54" spans="1:5" ht="13.5" thickBot="1" x14ac:dyDescent="0.35">
      <c r="A54" s="325" t="s">
        <v>284</v>
      </c>
      <c r="B54" s="332"/>
      <c r="C54" s="332" t="str">
        <f>C$34</f>
        <v>tCO2 over lifetime</v>
      </c>
      <c r="D54" s="274">
        <f>SUM(D51:D53)</f>
        <v>125810.6100016737</v>
      </c>
      <c r="E54" s="255"/>
    </row>
    <row r="55" spans="1:5" ht="13" thickBot="1" x14ac:dyDescent="0.3">
      <c r="A55" s="255"/>
      <c r="B55" s="330"/>
      <c r="C55" s="330"/>
      <c r="D55" s="255"/>
      <c r="E55" s="255"/>
    </row>
    <row r="56" spans="1:5" ht="13" x14ac:dyDescent="0.3">
      <c r="A56" s="328" t="s">
        <v>250</v>
      </c>
      <c r="B56" s="326"/>
      <c r="C56" s="326"/>
      <c r="D56" s="263"/>
      <c r="E56" s="255"/>
    </row>
    <row r="57" spans="1:5" ht="13" x14ac:dyDescent="0.3">
      <c r="A57" s="264" t="s">
        <v>285</v>
      </c>
      <c r="B57" s="329"/>
      <c r="C57" s="329"/>
      <c r="D57" s="265"/>
      <c r="E57" s="255"/>
    </row>
    <row r="58" spans="1:5" ht="13" x14ac:dyDescent="0.3">
      <c r="A58" s="264" t="s">
        <v>261</v>
      </c>
      <c r="B58" s="329"/>
      <c r="C58" s="329"/>
      <c r="D58" s="265"/>
    </row>
    <row r="59" spans="1:5" ht="13" x14ac:dyDescent="0.3">
      <c r="A59" s="268" t="s">
        <v>262</v>
      </c>
      <c r="B59" s="329" t="s">
        <v>296</v>
      </c>
      <c r="C59" s="329" t="s">
        <v>264</v>
      </c>
      <c r="D59" s="266">
        <f>+'Energy use'!D257-D60</f>
        <v>55</v>
      </c>
    </row>
    <row r="60" spans="1:5" ht="13" x14ac:dyDescent="0.3">
      <c r="A60" s="268" t="s">
        <v>265</v>
      </c>
      <c r="B60" s="329" t="s">
        <v>297</v>
      </c>
      <c r="C60" s="329" t="s">
        <v>264</v>
      </c>
      <c r="D60" s="266">
        <f>+'Energy use'!D258+'Energy use'!D263</f>
        <v>13</v>
      </c>
    </row>
    <row r="61" spans="1:5" ht="13" x14ac:dyDescent="0.3">
      <c r="A61" s="264" t="s">
        <v>267</v>
      </c>
      <c r="B61" s="329"/>
      <c r="C61" s="329"/>
      <c r="D61" s="265"/>
    </row>
    <row r="62" spans="1:5" ht="13" x14ac:dyDescent="0.3">
      <c r="A62" s="268" t="str">
        <f t="shared" ref="A62:A63" si="10">A59</f>
        <v>Electricity</v>
      </c>
      <c r="B62" s="329" t="s">
        <v>268</v>
      </c>
      <c r="C62" s="329" t="s">
        <v>269</v>
      </c>
      <c r="D62" s="269">
        <f t="shared" ref="D62:D63" si="11">+D42</f>
        <v>0.31962067261904487</v>
      </c>
    </row>
    <row r="63" spans="1:5" ht="13" x14ac:dyDescent="0.3">
      <c r="A63" s="268" t="str">
        <f t="shared" si="10"/>
        <v>Natural gas</v>
      </c>
      <c r="B63" s="329" t="s">
        <v>270</v>
      </c>
      <c r="C63" s="329" t="s">
        <v>269</v>
      </c>
      <c r="D63" s="266">
        <f t="shared" si="11"/>
        <v>0.23100000000000001</v>
      </c>
    </row>
    <row r="64" spans="1:5" ht="13" x14ac:dyDescent="0.3">
      <c r="A64" s="264" t="s">
        <v>271</v>
      </c>
      <c r="B64" s="329"/>
      <c r="C64" s="329"/>
      <c r="D64" s="265"/>
    </row>
    <row r="65" spans="1:4" ht="13" x14ac:dyDescent="0.3">
      <c r="A65" s="268" t="str">
        <f t="shared" ref="A65:A66" si="12">A62</f>
        <v>Electricity</v>
      </c>
      <c r="B65" s="329" t="s">
        <v>299</v>
      </c>
      <c r="C65" s="329" t="s">
        <v>273</v>
      </c>
      <c r="D65" s="267">
        <f t="shared" ref="D65:D66" si="13">+D59*D62</f>
        <v>17.579136994047467</v>
      </c>
    </row>
    <row r="66" spans="1:4" ht="13" x14ac:dyDescent="0.3">
      <c r="A66" s="268" t="str">
        <f t="shared" si="12"/>
        <v>Natural gas</v>
      </c>
      <c r="B66" s="329" t="s">
        <v>300</v>
      </c>
      <c r="C66" s="329" t="s">
        <v>273</v>
      </c>
      <c r="D66" s="270">
        <f t="shared" si="13"/>
        <v>3.0030000000000001</v>
      </c>
    </row>
    <row r="67" spans="1:4" ht="13" x14ac:dyDescent="0.3">
      <c r="A67" s="268" t="s">
        <v>275</v>
      </c>
      <c r="B67" s="329" t="s">
        <v>301</v>
      </c>
      <c r="C67" s="329" t="s">
        <v>273</v>
      </c>
      <c r="D67" s="270">
        <f>D47</f>
        <v>304.0562000000001</v>
      </c>
    </row>
    <row r="68" spans="1:4" ht="13" x14ac:dyDescent="0.3">
      <c r="A68" s="264" t="s">
        <v>277</v>
      </c>
      <c r="B68" s="329"/>
      <c r="C68" s="329"/>
      <c r="D68" s="265"/>
    </row>
    <row r="69" spans="1:4" ht="13" x14ac:dyDescent="0.3">
      <c r="A69" s="268" t="str">
        <f t="shared" ref="A69:A70" si="14">A65</f>
        <v>Electricity</v>
      </c>
      <c r="B69" s="329" t="s">
        <v>303</v>
      </c>
      <c r="C69" s="329" t="s">
        <v>279</v>
      </c>
      <c r="D69" s="267">
        <f t="shared" ref="D69:D70" si="15">+D65*$D$14/1000</f>
        <v>3362.0099501115783</v>
      </c>
    </row>
    <row r="70" spans="1:4" ht="13" x14ac:dyDescent="0.3">
      <c r="A70" s="268" t="str">
        <f t="shared" si="14"/>
        <v>Natural gas</v>
      </c>
      <c r="B70" s="329" t="s">
        <v>304</v>
      </c>
      <c r="C70" s="329" t="s">
        <v>279</v>
      </c>
      <c r="D70" s="267">
        <f t="shared" si="15"/>
        <v>574.32375000000002</v>
      </c>
    </row>
    <row r="71" spans="1:4" ht="13" x14ac:dyDescent="0.3">
      <c r="A71" s="268" t="str">
        <f>$A$45</f>
        <v>Electricity</v>
      </c>
      <c r="B71" s="329" t="s">
        <v>305</v>
      </c>
      <c r="C71" s="329" t="str">
        <f>$C$31</f>
        <v>tCO2 over lifetime</v>
      </c>
      <c r="D71" s="267">
        <f t="shared" ref="D71:D72" si="16">D69*$D$15</f>
        <v>50430.149251673676</v>
      </c>
    </row>
    <row r="72" spans="1:4" ht="13" x14ac:dyDescent="0.3">
      <c r="A72" s="268" t="str">
        <f>$A$46</f>
        <v>Natural gas</v>
      </c>
      <c r="B72" s="329" t="s">
        <v>306</v>
      </c>
      <c r="C72" s="329" t="str">
        <f>$C$31</f>
        <v>tCO2 over lifetime</v>
      </c>
      <c r="D72" s="267">
        <f t="shared" si="16"/>
        <v>8614.8562500000007</v>
      </c>
    </row>
    <row r="73" spans="1:4" ht="13" x14ac:dyDescent="0.3">
      <c r="A73" s="268" t="s">
        <v>275</v>
      </c>
      <c r="B73" s="329" t="s">
        <v>307</v>
      </c>
      <c r="C73" s="329" t="str">
        <f>C$33</f>
        <v>tCO2 over lifetime</v>
      </c>
      <c r="D73" s="267">
        <f>+D67*$D$14/1000</f>
        <v>58150.748250000019</v>
      </c>
    </row>
    <row r="74" spans="1:4" ht="13.5" thickBot="1" x14ac:dyDescent="0.35">
      <c r="A74" s="325" t="s">
        <v>284</v>
      </c>
      <c r="B74" s="332"/>
      <c r="C74" s="332" t="str">
        <f>C$34</f>
        <v>tCO2 over lifetime</v>
      </c>
      <c r="D74" s="274">
        <f>SUM(D71:D73)</f>
        <v>117195.75375167369</v>
      </c>
    </row>
    <row r="75" spans="1:4" ht="13" thickBot="1" x14ac:dyDescent="0.3">
      <c r="B75" s="330"/>
      <c r="C75" s="330"/>
    </row>
    <row r="76" spans="1:4" ht="13" x14ac:dyDescent="0.3">
      <c r="A76" s="272" t="s">
        <v>308</v>
      </c>
      <c r="B76" s="331"/>
      <c r="C76" s="331"/>
      <c r="D76" s="273"/>
    </row>
    <row r="77" spans="1:4" x14ac:dyDescent="0.25">
      <c r="A77" s="258" t="s">
        <v>262</v>
      </c>
      <c r="B77" s="329" t="s">
        <v>309</v>
      </c>
      <c r="C77" s="334" t="s">
        <v>279</v>
      </c>
      <c r="D77" s="267">
        <f t="shared" ref="D77:D78" si="17">+D29-D49</f>
        <v>1405.9314336830239</v>
      </c>
    </row>
    <row r="78" spans="1:4" x14ac:dyDescent="0.25">
      <c r="A78" s="258" t="s">
        <v>265</v>
      </c>
      <c r="B78" s="329" t="s">
        <v>310</v>
      </c>
      <c r="C78" s="329" t="s">
        <v>279</v>
      </c>
      <c r="D78" s="267">
        <f t="shared" si="17"/>
        <v>309.25125000000003</v>
      </c>
    </row>
    <row r="79" spans="1:4" x14ac:dyDescent="0.25">
      <c r="A79" s="258" t="s">
        <v>262</v>
      </c>
      <c r="B79" s="329" t="s">
        <v>311</v>
      </c>
      <c r="C79" s="329" t="str">
        <f>$C$31</f>
        <v>tCO2 over lifetime</v>
      </c>
      <c r="D79" s="267">
        <f t="shared" ref="D79:D80" si="18">D77*$D$15</f>
        <v>21088.971505245358</v>
      </c>
    </row>
    <row r="80" spans="1:4" x14ac:dyDescent="0.25">
      <c r="A80" s="258" t="s">
        <v>265</v>
      </c>
      <c r="B80" s="329" t="s">
        <v>312</v>
      </c>
      <c r="C80" s="329" t="str">
        <f>$C$31</f>
        <v>tCO2 over lifetime</v>
      </c>
      <c r="D80" s="267">
        <f t="shared" si="18"/>
        <v>4638.7687500000002</v>
      </c>
    </row>
    <row r="81" spans="1:4" x14ac:dyDescent="0.25">
      <c r="A81" s="258" t="s">
        <v>275</v>
      </c>
      <c r="B81" s="329" t="s">
        <v>313</v>
      </c>
      <c r="C81" s="329" t="str">
        <f>$C$31</f>
        <v>tCO2 over lifetime</v>
      </c>
      <c r="D81" s="267">
        <f>+D33-D53</f>
        <v>16782.149250000002</v>
      </c>
    </row>
    <row r="82" spans="1:4" ht="13.5" thickBot="1" x14ac:dyDescent="0.35">
      <c r="A82" s="275" t="s">
        <v>284</v>
      </c>
      <c r="B82" s="332" t="s">
        <v>314</v>
      </c>
      <c r="C82" s="332" t="str">
        <f>$C$31</f>
        <v>tCO2 over lifetime</v>
      </c>
      <c r="D82" s="274">
        <f>SUM(D79:D81)</f>
        <v>42509.889505245359</v>
      </c>
    </row>
    <row r="83" spans="1:4" ht="13" thickBot="1" x14ac:dyDescent="0.3">
      <c r="B83" s="330"/>
      <c r="C83" s="330"/>
    </row>
    <row r="84" spans="1:4" ht="13" x14ac:dyDescent="0.3">
      <c r="A84" s="272" t="s">
        <v>315</v>
      </c>
      <c r="B84" s="331"/>
      <c r="C84" s="331"/>
      <c r="D84" s="273"/>
    </row>
    <row r="85" spans="1:4" x14ac:dyDescent="0.25">
      <c r="A85" s="258" t="s">
        <v>262</v>
      </c>
      <c r="B85" s="329" t="s">
        <v>316</v>
      </c>
      <c r="C85" s="329" t="s">
        <v>279</v>
      </c>
      <c r="D85" s="267">
        <f t="shared" ref="D85:D86" si="19">+D29-D69</f>
        <v>1405.9314336830239</v>
      </c>
    </row>
    <row r="86" spans="1:4" x14ac:dyDescent="0.25">
      <c r="A86" s="258" t="s">
        <v>265</v>
      </c>
      <c r="B86" s="329" t="s">
        <v>317</v>
      </c>
      <c r="C86" s="329" t="s">
        <v>279</v>
      </c>
      <c r="D86" s="267">
        <f t="shared" si="19"/>
        <v>883.57500000000005</v>
      </c>
    </row>
    <row r="87" spans="1:4" x14ac:dyDescent="0.25">
      <c r="A87" s="258" t="s">
        <v>262</v>
      </c>
      <c r="B87" s="329" t="s">
        <v>318</v>
      </c>
      <c r="C87" s="329" t="str">
        <f>$C$31</f>
        <v>tCO2 over lifetime</v>
      </c>
      <c r="D87" s="267">
        <f t="shared" ref="D87:D88" si="20">D85*$D$15</f>
        <v>21088.971505245358</v>
      </c>
    </row>
    <row r="88" spans="1:4" x14ac:dyDescent="0.25">
      <c r="A88" s="258" t="s">
        <v>265</v>
      </c>
      <c r="B88" s="329" t="s">
        <v>319</v>
      </c>
      <c r="C88" s="329" t="str">
        <f>$C$31</f>
        <v>tCO2 over lifetime</v>
      </c>
      <c r="D88" s="267">
        <f t="shared" si="20"/>
        <v>13253.625</v>
      </c>
    </row>
    <row r="89" spans="1:4" x14ac:dyDescent="0.25">
      <c r="A89" s="258" t="s">
        <v>275</v>
      </c>
      <c r="B89" s="329" t="s">
        <v>320</v>
      </c>
      <c r="C89" s="329" t="str">
        <f>$C$31</f>
        <v>tCO2 over lifetime</v>
      </c>
      <c r="D89" s="267">
        <f>+D33-D73</f>
        <v>16782.149250000002</v>
      </c>
    </row>
    <row r="90" spans="1:4" ht="13.5" thickBot="1" x14ac:dyDescent="0.35">
      <c r="A90" s="275" t="s">
        <v>284</v>
      </c>
      <c r="B90" s="332" t="s">
        <v>321</v>
      </c>
      <c r="C90" s="332" t="str">
        <f>$C$31</f>
        <v>tCO2 over lifetime</v>
      </c>
      <c r="D90" s="274">
        <f>SUM(D87:D89)</f>
        <v>51124.745755245356</v>
      </c>
    </row>
    <row r="91" spans="1:4" ht="13" thickBot="1" x14ac:dyDescent="0.3">
      <c r="B91" s="330"/>
      <c r="C91" s="330"/>
    </row>
    <row r="92" spans="1:4" ht="13" x14ac:dyDescent="0.3">
      <c r="A92" s="272" t="s">
        <v>322</v>
      </c>
      <c r="B92" s="331"/>
      <c r="C92" s="331"/>
      <c r="D92" s="273"/>
    </row>
    <row r="93" spans="1:4" x14ac:dyDescent="0.25">
      <c r="A93" s="258" t="s">
        <v>262</v>
      </c>
      <c r="B93" s="329" t="s">
        <v>323</v>
      </c>
      <c r="C93" s="329" t="s">
        <v>279</v>
      </c>
      <c r="D93" s="267">
        <f t="shared" ref="D93:D94" si="21">+AVERAGE(D85,D77)</f>
        <v>1405.9314336830239</v>
      </c>
    </row>
    <row r="94" spans="1:4" x14ac:dyDescent="0.25">
      <c r="A94" s="258" t="s">
        <v>265</v>
      </c>
      <c r="B94" s="329" t="s">
        <v>323</v>
      </c>
      <c r="C94" s="329" t="s">
        <v>279</v>
      </c>
      <c r="D94" s="267">
        <f t="shared" si="21"/>
        <v>596.41312500000004</v>
      </c>
    </row>
    <row r="95" spans="1:4" x14ac:dyDescent="0.25">
      <c r="A95" s="258" t="s">
        <v>262</v>
      </c>
      <c r="B95" s="329" t="s">
        <v>323</v>
      </c>
      <c r="C95" s="329" t="str">
        <f>$C$31</f>
        <v>tCO2 over lifetime</v>
      </c>
      <c r="D95" s="267">
        <f t="shared" ref="D95:D96" si="22">D93*$D$15</f>
        <v>21088.971505245358</v>
      </c>
    </row>
    <row r="96" spans="1:4" x14ac:dyDescent="0.25">
      <c r="A96" s="258" t="s">
        <v>265</v>
      </c>
      <c r="B96" s="329" t="s">
        <v>323</v>
      </c>
      <c r="C96" s="329" t="str">
        <f>$C$31</f>
        <v>tCO2 over lifetime</v>
      </c>
      <c r="D96" s="267">
        <f t="shared" si="22"/>
        <v>8946.1968750000015</v>
      </c>
    </row>
    <row r="97" spans="1:4" x14ac:dyDescent="0.25">
      <c r="A97" s="258" t="s">
        <v>275</v>
      </c>
      <c r="B97" s="329" t="s">
        <v>323</v>
      </c>
      <c r="C97" s="329" t="str">
        <f>$C$31</f>
        <v>tCO2 over lifetime</v>
      </c>
      <c r="D97" s="267">
        <f>+AVERAGE(D89,D81)</f>
        <v>16782.149250000002</v>
      </c>
    </row>
    <row r="98" spans="1:4" ht="13.5" thickBot="1" x14ac:dyDescent="0.35">
      <c r="A98" s="275" t="s">
        <v>284</v>
      </c>
      <c r="B98" s="332" t="s">
        <v>324</v>
      </c>
      <c r="C98" s="332" t="str">
        <f>$C$31</f>
        <v>tCO2 over lifetime</v>
      </c>
      <c r="D98" s="274">
        <f>SUM(D95:D97)</f>
        <v>46817.317630245365</v>
      </c>
    </row>
    <row r="99" spans="1:4" ht="15.75" customHeight="1" x14ac:dyDescent="0.25"/>
    <row r="100" spans="1:4" ht="15.75" customHeight="1" x14ac:dyDescent="0.25">
      <c r="A100" s="254" t="s">
        <v>709</v>
      </c>
      <c r="D100" s="375">
        <f>D97/D98</f>
        <v>0.35846028989833112</v>
      </c>
    </row>
    <row r="101" spans="1:4" ht="15.75" customHeight="1" x14ac:dyDescent="0.25"/>
    <row r="102" spans="1:4" ht="15.75" customHeight="1" x14ac:dyDescent="0.3">
      <c r="A102" s="398" t="s">
        <v>730</v>
      </c>
    </row>
    <row r="103" spans="1:4" ht="15.75" customHeight="1" thickBot="1" x14ac:dyDescent="0.3"/>
    <row r="104" spans="1:4" ht="15.75" customHeight="1" x14ac:dyDescent="0.3">
      <c r="A104" s="393" t="s">
        <v>728</v>
      </c>
      <c r="B104" s="394" t="str">
        <f>C19</f>
        <v>kWh/m2/yr</v>
      </c>
    </row>
    <row r="105" spans="1:4" ht="15.75" customHeight="1" x14ac:dyDescent="0.3">
      <c r="A105" s="395" t="s">
        <v>172</v>
      </c>
      <c r="B105" s="265"/>
    </row>
    <row r="106" spans="1:4" ht="15.75" customHeight="1" x14ac:dyDescent="0.25">
      <c r="A106" s="260" t="s">
        <v>726</v>
      </c>
      <c r="B106" s="265">
        <f>D19</f>
        <v>78</v>
      </c>
    </row>
    <row r="107" spans="1:4" ht="15.75" customHeight="1" x14ac:dyDescent="0.25">
      <c r="A107" s="260" t="s">
        <v>727</v>
      </c>
      <c r="B107" s="265">
        <f>D20</f>
        <v>33</v>
      </c>
    </row>
    <row r="108" spans="1:4" ht="15.75" customHeight="1" x14ac:dyDescent="0.3">
      <c r="A108" s="396" t="s">
        <v>249</v>
      </c>
      <c r="B108" s="265"/>
    </row>
    <row r="109" spans="1:4" ht="15.75" customHeight="1" x14ac:dyDescent="0.25">
      <c r="A109" s="260" t="s">
        <v>726</v>
      </c>
      <c r="B109" s="265">
        <f>D39</f>
        <v>55</v>
      </c>
    </row>
    <row r="110" spans="1:4" ht="15.75" customHeight="1" x14ac:dyDescent="0.25">
      <c r="A110" s="260" t="s">
        <v>727</v>
      </c>
      <c r="B110" s="265">
        <f>D40</f>
        <v>26</v>
      </c>
    </row>
    <row r="111" spans="1:4" ht="15.75" customHeight="1" x14ac:dyDescent="0.3">
      <c r="A111" s="396" t="s">
        <v>250</v>
      </c>
      <c r="B111" s="265"/>
    </row>
    <row r="112" spans="1:4" ht="15.75" customHeight="1" x14ac:dyDescent="0.25">
      <c r="A112" s="260" t="s">
        <v>726</v>
      </c>
      <c r="B112" s="265">
        <f>D59</f>
        <v>55</v>
      </c>
    </row>
    <row r="113" spans="1:2" ht="15.75" customHeight="1" x14ac:dyDescent="0.25">
      <c r="A113" s="260" t="s">
        <v>727</v>
      </c>
      <c r="B113" s="265">
        <f>D60</f>
        <v>13</v>
      </c>
    </row>
    <row r="114" spans="1:2" ht="15.75" customHeight="1" x14ac:dyDescent="0.3">
      <c r="A114" s="396" t="s">
        <v>731</v>
      </c>
      <c r="B114" s="265"/>
    </row>
    <row r="115" spans="1:2" ht="15.75" customHeight="1" x14ac:dyDescent="0.25">
      <c r="A115" s="260" t="s">
        <v>726</v>
      </c>
      <c r="B115" s="265">
        <f>AVERAGE(B109,B112)</f>
        <v>55</v>
      </c>
    </row>
    <row r="116" spans="1:2" ht="15.75" customHeight="1" thickBot="1" x14ac:dyDescent="0.3">
      <c r="A116" s="261" t="s">
        <v>727</v>
      </c>
      <c r="B116" s="397">
        <f>AVERAGE(B110,B113)</f>
        <v>19.5</v>
      </c>
    </row>
    <row r="117" spans="1:2" ht="15.75" customHeight="1" thickBot="1" x14ac:dyDescent="0.3"/>
    <row r="118" spans="1:2" ht="15.75" customHeight="1" x14ac:dyDescent="0.3">
      <c r="A118" s="393" t="s">
        <v>729</v>
      </c>
      <c r="B118" s="394" t="s">
        <v>725</v>
      </c>
    </row>
    <row r="119" spans="1:2" ht="15.75" customHeight="1" x14ac:dyDescent="0.3">
      <c r="A119" s="395" t="s">
        <v>172</v>
      </c>
      <c r="B119" s="265"/>
    </row>
    <row r="120" spans="1:2" ht="15.75" customHeight="1" x14ac:dyDescent="0.25">
      <c r="A120" s="260" t="s">
        <v>726</v>
      </c>
      <c r="B120" s="259">
        <f>B106*D14/1000</f>
        <v>14917.5</v>
      </c>
    </row>
    <row r="121" spans="1:2" ht="15.75" customHeight="1" x14ac:dyDescent="0.25">
      <c r="A121" s="260" t="s">
        <v>727</v>
      </c>
      <c r="B121" s="259">
        <f>B107*D14/1000</f>
        <v>6311.25</v>
      </c>
    </row>
    <row r="122" spans="1:2" ht="15.75" customHeight="1" x14ac:dyDescent="0.3">
      <c r="A122" s="396" t="s">
        <v>731</v>
      </c>
      <c r="B122" s="265"/>
    </row>
    <row r="123" spans="1:2" ht="15.75" customHeight="1" x14ac:dyDescent="0.25">
      <c r="A123" s="260" t="s">
        <v>726</v>
      </c>
      <c r="B123" s="259">
        <f>B115*D14/1000</f>
        <v>10518.75</v>
      </c>
    </row>
    <row r="124" spans="1:2" ht="15.75" customHeight="1" thickBot="1" x14ac:dyDescent="0.3">
      <c r="A124" s="261" t="s">
        <v>727</v>
      </c>
      <c r="B124" s="262">
        <f>B116*D14/1000</f>
        <v>3729.375</v>
      </c>
    </row>
    <row r="125" spans="1:2" ht="15.75" customHeight="1" thickBot="1" x14ac:dyDescent="0.3">
      <c r="B125" s="392"/>
    </row>
    <row r="126" spans="1:2" ht="15.75" customHeight="1" x14ac:dyDescent="0.3">
      <c r="A126" s="393" t="s">
        <v>732</v>
      </c>
      <c r="B126" s="394" t="s">
        <v>725</v>
      </c>
    </row>
    <row r="127" spans="1:2" ht="15.75" customHeight="1" x14ac:dyDescent="0.3">
      <c r="A127" s="396" t="s">
        <v>731</v>
      </c>
      <c r="B127" s="399"/>
    </row>
    <row r="128" spans="1:2" ht="15.75" customHeight="1" x14ac:dyDescent="0.25">
      <c r="A128" s="260" t="s">
        <v>726</v>
      </c>
      <c r="B128" s="259">
        <f>B120-B123</f>
        <v>4398.75</v>
      </c>
    </row>
    <row r="129" spans="1:2" ht="15.75" customHeight="1" thickBot="1" x14ac:dyDescent="0.3">
      <c r="A129" s="261" t="s">
        <v>727</v>
      </c>
      <c r="B129" s="262">
        <f>B121-B124</f>
        <v>2581.875</v>
      </c>
    </row>
    <row r="130" spans="1:2" ht="15.75" customHeight="1" x14ac:dyDescent="0.25"/>
    <row r="131" spans="1:2" ht="15.75" customHeight="1" x14ac:dyDescent="0.25"/>
    <row r="132" spans="1:2" ht="15.75" customHeight="1" x14ac:dyDescent="0.25"/>
    <row r="133" spans="1:2" ht="15.75" customHeight="1" x14ac:dyDescent="0.25"/>
    <row r="134" spans="1:2" ht="15.75" customHeight="1" x14ac:dyDescent="0.25"/>
    <row r="135" spans="1:2" ht="15.75" customHeight="1" x14ac:dyDescent="0.25"/>
    <row r="136" spans="1:2" ht="15.75" customHeight="1" x14ac:dyDescent="0.25"/>
    <row r="137" spans="1:2" ht="15.75" customHeight="1" x14ac:dyDescent="0.25"/>
    <row r="138" spans="1:2" ht="15.75" customHeight="1" x14ac:dyDescent="0.25"/>
    <row r="139" spans="1:2" ht="15.75" customHeight="1" x14ac:dyDescent="0.25"/>
    <row r="140" spans="1:2" ht="15.75" customHeight="1" x14ac:dyDescent="0.25"/>
    <row r="141" spans="1:2" ht="15.75" customHeight="1" x14ac:dyDescent="0.25"/>
    <row r="142" spans="1:2" ht="15.75" customHeight="1" x14ac:dyDescent="0.25"/>
    <row r="143" spans="1:2" ht="15.75" customHeight="1" x14ac:dyDescent="0.25"/>
    <row r="144" spans="1:2"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row r="1010" ht="15.75" customHeight="1" x14ac:dyDescent="0.25"/>
  </sheetData>
  <pageMargins left="0.7" right="0.7" top="0.75" bottom="0.75" header="0" footer="0"/>
  <pageSetup orientation="landscape"/>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10"/>
  <sheetViews>
    <sheetView workbookViewId="0">
      <selection activeCell="A102" sqref="A102:B129"/>
    </sheetView>
  </sheetViews>
  <sheetFormatPr baseColWidth="10" defaultColWidth="12.58203125" defaultRowHeight="12.5" x14ac:dyDescent="0.25"/>
  <cols>
    <col min="1" max="1" width="43.58203125" style="254" customWidth="1"/>
    <col min="2" max="2" width="22.58203125" style="254" customWidth="1"/>
    <col min="3" max="3" width="17" style="327" customWidth="1"/>
    <col min="4" max="4" width="16" style="254" customWidth="1"/>
    <col min="5" max="26" width="9.33203125" style="254" customWidth="1"/>
    <col min="27" max="16384" width="12.58203125" style="254"/>
  </cols>
  <sheetData>
    <row r="1" spans="1:4" ht="13" x14ac:dyDescent="0.3">
      <c r="A1" s="253" t="s">
        <v>702</v>
      </c>
    </row>
    <row r="2" spans="1:4" ht="15" customHeight="1" x14ac:dyDescent="0.25"/>
    <row r="3" spans="1:4" ht="13.5" thickBot="1" x14ac:dyDescent="0.35">
      <c r="A3" s="253" t="s">
        <v>601</v>
      </c>
      <c r="B3" s="255"/>
    </row>
    <row r="4" spans="1:4" x14ac:dyDescent="0.25">
      <c r="A4" s="256" t="s">
        <v>603</v>
      </c>
      <c r="B4" s="257">
        <f>D34</f>
        <v>82693.981071428076</v>
      </c>
    </row>
    <row r="5" spans="1:4" x14ac:dyDescent="0.25">
      <c r="A5" s="258" t="s">
        <v>604</v>
      </c>
      <c r="B5" s="259">
        <f>D54</f>
        <v>58227.153669642546</v>
      </c>
    </row>
    <row r="6" spans="1:4" x14ac:dyDescent="0.25">
      <c r="A6" s="260" t="s">
        <v>605</v>
      </c>
      <c r="B6" s="259">
        <f>D74</f>
        <v>50748.029930356897</v>
      </c>
    </row>
    <row r="7" spans="1:4" x14ac:dyDescent="0.25">
      <c r="A7" s="260" t="s">
        <v>308</v>
      </c>
      <c r="B7" s="259">
        <f>D82</f>
        <v>24466.827401785526</v>
      </c>
    </row>
    <row r="8" spans="1:4" x14ac:dyDescent="0.25">
      <c r="A8" s="260" t="s">
        <v>315</v>
      </c>
      <c r="B8" s="259">
        <f>D90</f>
        <v>31945.951141071175</v>
      </c>
    </row>
    <row r="9" spans="1:4" ht="13" thickBot="1" x14ac:dyDescent="0.3">
      <c r="A9" s="261" t="s">
        <v>322</v>
      </c>
      <c r="B9" s="262">
        <f>D98</f>
        <v>28206.38927142835</v>
      </c>
    </row>
    <row r="10" spans="1:4" ht="13" thickBot="1" x14ac:dyDescent="0.3"/>
    <row r="11" spans="1:4" ht="13" x14ac:dyDescent="0.3">
      <c r="A11" s="328" t="s">
        <v>600</v>
      </c>
      <c r="B11" s="326" t="s">
        <v>253</v>
      </c>
      <c r="C11" s="326" t="s">
        <v>254</v>
      </c>
      <c r="D11" s="263" t="s">
        <v>255</v>
      </c>
    </row>
    <row r="12" spans="1:4" ht="13" x14ac:dyDescent="0.3">
      <c r="A12" s="264" t="s">
        <v>52</v>
      </c>
      <c r="B12" s="329"/>
      <c r="C12" s="329"/>
      <c r="D12" s="265"/>
    </row>
    <row r="13" spans="1:4" x14ac:dyDescent="0.25">
      <c r="A13" s="258" t="s">
        <v>256</v>
      </c>
      <c r="B13" s="329"/>
      <c r="C13" s="329"/>
      <c r="D13" s="266" t="str">
        <f>+'Input_Area and Costs'!A8</f>
        <v>Offices</v>
      </c>
    </row>
    <row r="14" spans="1:4" x14ac:dyDescent="0.25">
      <c r="A14" s="258" t="s">
        <v>247</v>
      </c>
      <c r="B14" s="329" t="s">
        <v>257</v>
      </c>
      <c r="C14" s="329" t="s">
        <v>251</v>
      </c>
      <c r="D14" s="267">
        <f>+'Input_Area and Costs'!G8</f>
        <v>60000</v>
      </c>
    </row>
    <row r="15" spans="1:4" x14ac:dyDescent="0.25">
      <c r="A15" s="258" t="s">
        <v>258</v>
      </c>
      <c r="B15" s="329" t="s">
        <v>259</v>
      </c>
      <c r="C15" s="329" t="s">
        <v>260</v>
      </c>
      <c r="D15" s="267">
        <f>'General Inputs&amp;Outputs'!$C$12</f>
        <v>15</v>
      </c>
    </row>
    <row r="16" spans="1:4" x14ac:dyDescent="0.25">
      <c r="A16" s="254" t="s">
        <v>172</v>
      </c>
      <c r="B16" s="329"/>
      <c r="C16" s="329"/>
      <c r="D16" s="265"/>
    </row>
    <row r="17" spans="1:4" ht="13" x14ac:dyDescent="0.3">
      <c r="A17" s="264" t="s">
        <v>285</v>
      </c>
      <c r="B17" s="329"/>
      <c r="C17" s="329"/>
      <c r="D17" s="265"/>
    </row>
    <row r="18" spans="1:4" ht="13" x14ac:dyDescent="0.3">
      <c r="A18" s="264" t="s">
        <v>261</v>
      </c>
      <c r="B18" s="329"/>
      <c r="C18" s="333"/>
      <c r="D18" s="265"/>
    </row>
    <row r="19" spans="1:4" ht="13" x14ac:dyDescent="0.3">
      <c r="A19" s="268" t="s">
        <v>262</v>
      </c>
      <c r="B19" s="329" t="s">
        <v>263</v>
      </c>
      <c r="C19" s="329" t="s">
        <v>264</v>
      </c>
      <c r="D19" s="266">
        <f>+'Energy use'!B601</f>
        <v>200</v>
      </c>
    </row>
    <row r="20" spans="1:4" ht="13" x14ac:dyDescent="0.3">
      <c r="A20" s="268" t="s">
        <v>265</v>
      </c>
      <c r="B20" s="329" t="s">
        <v>266</v>
      </c>
      <c r="C20" s="329" t="s">
        <v>264</v>
      </c>
      <c r="D20" s="266">
        <v>0</v>
      </c>
    </row>
    <row r="21" spans="1:4" ht="13" x14ac:dyDescent="0.3">
      <c r="A21" s="264" t="s">
        <v>267</v>
      </c>
      <c r="B21" s="329"/>
      <c r="C21" s="333"/>
      <c r="D21" s="265"/>
    </row>
    <row r="22" spans="1:4" ht="13" x14ac:dyDescent="0.3">
      <c r="A22" s="268" t="str">
        <f t="shared" ref="A22:A23" si="0">A19</f>
        <v>Electricity</v>
      </c>
      <c r="B22" s="329" t="s">
        <v>268</v>
      </c>
      <c r="C22" s="329" t="s">
        <v>269</v>
      </c>
      <c r="D22" s="269">
        <f>+'Input_Energy Context'!G12</f>
        <v>0.31962067261904487</v>
      </c>
    </row>
    <row r="23" spans="1:4" ht="13" x14ac:dyDescent="0.3">
      <c r="A23" s="268" t="str">
        <f t="shared" si="0"/>
        <v>Natural gas</v>
      </c>
      <c r="B23" s="329" t="s">
        <v>270</v>
      </c>
      <c r="C23" s="329" t="s">
        <v>269</v>
      </c>
      <c r="D23" s="266">
        <f>+'Input_Energy Context'!B13</f>
        <v>0.23100000000000001</v>
      </c>
    </row>
    <row r="24" spans="1:4" ht="13" x14ac:dyDescent="0.3">
      <c r="A24" s="264" t="s">
        <v>271</v>
      </c>
      <c r="B24" s="329"/>
      <c r="C24" s="333"/>
      <c r="D24" s="265"/>
    </row>
    <row r="25" spans="1:4" ht="13" x14ac:dyDescent="0.3">
      <c r="A25" s="268" t="str">
        <f t="shared" ref="A25:A26" si="1">A22</f>
        <v>Electricity</v>
      </c>
      <c r="B25" s="329" t="s">
        <v>272</v>
      </c>
      <c r="C25" s="329" t="s">
        <v>273</v>
      </c>
      <c r="D25" s="270">
        <f t="shared" ref="D25:D26" si="2">+D19*D22</f>
        <v>63.924134523808974</v>
      </c>
    </row>
    <row r="26" spans="1:4" ht="13" x14ac:dyDescent="0.3">
      <c r="A26" s="268" t="str">
        <f t="shared" si="1"/>
        <v>Natural gas</v>
      </c>
      <c r="B26" s="329" t="s">
        <v>274</v>
      </c>
      <c r="C26" s="329" t="s">
        <v>273</v>
      </c>
      <c r="D26" s="270">
        <f t="shared" si="2"/>
        <v>0</v>
      </c>
    </row>
    <row r="27" spans="1:4" ht="13" x14ac:dyDescent="0.3">
      <c r="A27" s="268" t="s">
        <v>275</v>
      </c>
      <c r="B27" s="329" t="s">
        <v>276</v>
      </c>
      <c r="C27" s="329" t="s">
        <v>273</v>
      </c>
      <c r="D27" s="270">
        <f>'Input_LC Materials'!G25/'Input_LC Materials'!E9</f>
        <v>419.37099999999998</v>
      </c>
    </row>
    <row r="28" spans="1:4" ht="13" x14ac:dyDescent="0.3">
      <c r="A28" s="264" t="s">
        <v>277</v>
      </c>
      <c r="B28" s="329"/>
      <c r="C28" s="333"/>
      <c r="D28" s="265"/>
    </row>
    <row r="29" spans="1:4" ht="13" x14ac:dyDescent="0.3">
      <c r="A29" s="268" t="str">
        <f t="shared" ref="A29:A30" si="3">A25</f>
        <v>Electricity</v>
      </c>
      <c r="B29" s="329" t="s">
        <v>278</v>
      </c>
      <c r="C29" s="329" t="s">
        <v>279</v>
      </c>
      <c r="D29" s="267">
        <f>+D25*D14/1000</f>
        <v>3835.4480714285382</v>
      </c>
    </row>
    <row r="30" spans="1:4" ht="13" x14ac:dyDescent="0.3">
      <c r="A30" s="268" t="str">
        <f t="shared" si="3"/>
        <v>Natural gas</v>
      </c>
      <c r="B30" s="329" t="s">
        <v>280</v>
      </c>
      <c r="C30" s="329" t="s">
        <v>279</v>
      </c>
      <c r="D30" s="267">
        <f>+D26*D14/1000</f>
        <v>0</v>
      </c>
    </row>
    <row r="31" spans="1:4" ht="13" x14ac:dyDescent="0.3">
      <c r="A31" s="268" t="str">
        <f>$A$25</f>
        <v>Electricity</v>
      </c>
      <c r="B31" s="329" t="s">
        <v>281</v>
      </c>
      <c r="C31" s="329" t="s">
        <v>577</v>
      </c>
      <c r="D31" s="267">
        <f t="shared" ref="D31:D32" si="4">D29*$D$15</f>
        <v>57531.721071428074</v>
      </c>
    </row>
    <row r="32" spans="1:4" ht="13" x14ac:dyDescent="0.3">
      <c r="A32" s="268" t="str">
        <f>$A$26</f>
        <v>Natural gas</v>
      </c>
      <c r="B32" s="329" t="s">
        <v>282</v>
      </c>
      <c r="C32" s="329" t="s">
        <v>577</v>
      </c>
      <c r="D32" s="267">
        <f t="shared" si="4"/>
        <v>0</v>
      </c>
    </row>
    <row r="33" spans="1:4" ht="13" x14ac:dyDescent="0.3">
      <c r="A33" s="268" t="s">
        <v>275</v>
      </c>
      <c r="B33" s="329" t="s">
        <v>283</v>
      </c>
      <c r="C33" s="329" t="s">
        <v>577</v>
      </c>
      <c r="D33" s="267">
        <f>+D27*D14/1000</f>
        <v>25162.26</v>
      </c>
    </row>
    <row r="34" spans="1:4" ht="13.5" thickBot="1" x14ac:dyDescent="0.35">
      <c r="A34" s="325" t="s">
        <v>284</v>
      </c>
      <c r="B34" s="332"/>
      <c r="C34" s="332" t="s">
        <v>577</v>
      </c>
      <c r="D34" s="274">
        <f>SUM(D31:D33)</f>
        <v>82693.981071428076</v>
      </c>
    </row>
    <row r="35" spans="1:4" ht="13" thickBot="1" x14ac:dyDescent="0.3">
      <c r="B35" s="330"/>
      <c r="C35" s="330"/>
    </row>
    <row r="36" spans="1:4" ht="13" x14ac:dyDescent="0.3">
      <c r="A36" s="328" t="s">
        <v>249</v>
      </c>
      <c r="B36" s="326"/>
      <c r="C36" s="326"/>
      <c r="D36" s="263"/>
    </row>
    <row r="37" spans="1:4" ht="13" x14ac:dyDescent="0.3">
      <c r="A37" s="264" t="s">
        <v>285</v>
      </c>
      <c r="B37" s="329"/>
      <c r="C37" s="329"/>
      <c r="D37" s="265"/>
    </row>
    <row r="38" spans="1:4" ht="13" x14ac:dyDescent="0.3">
      <c r="A38" s="264" t="s">
        <v>261</v>
      </c>
      <c r="B38" s="329"/>
      <c r="C38" s="333"/>
      <c r="D38" s="265"/>
    </row>
    <row r="39" spans="1:4" ht="13" x14ac:dyDescent="0.3">
      <c r="A39" s="268" t="s">
        <v>262</v>
      </c>
      <c r="B39" s="329" t="s">
        <v>286</v>
      </c>
      <c r="C39" s="329" t="s">
        <v>264</v>
      </c>
      <c r="D39" s="266">
        <f>+'Energy use'!C601</f>
        <v>125</v>
      </c>
    </row>
    <row r="40" spans="1:4" ht="13" x14ac:dyDescent="0.3">
      <c r="A40" s="268" t="s">
        <v>265</v>
      </c>
      <c r="B40" s="329" t="s">
        <v>287</v>
      </c>
      <c r="C40" s="329" t="s">
        <v>264</v>
      </c>
      <c r="D40" s="266">
        <v>0</v>
      </c>
    </row>
    <row r="41" spans="1:4" ht="13" x14ac:dyDescent="0.3">
      <c r="A41" s="264" t="s">
        <v>267</v>
      </c>
      <c r="B41" s="329"/>
      <c r="C41" s="329"/>
      <c r="D41" s="265"/>
    </row>
    <row r="42" spans="1:4" ht="13" x14ac:dyDescent="0.3">
      <c r="A42" s="268" t="str">
        <f t="shared" ref="A42:A43" si="5">A39</f>
        <v>Electricity</v>
      </c>
      <c r="B42" s="329" t="s">
        <v>268</v>
      </c>
      <c r="C42" s="329" t="s">
        <v>269</v>
      </c>
      <c r="D42" s="269">
        <f t="shared" ref="D42:D43" si="6">+D22</f>
        <v>0.31962067261904487</v>
      </c>
    </row>
    <row r="43" spans="1:4" ht="13" x14ac:dyDescent="0.3">
      <c r="A43" s="268" t="str">
        <f t="shared" si="5"/>
        <v>Natural gas</v>
      </c>
      <c r="B43" s="329" t="s">
        <v>270</v>
      </c>
      <c r="C43" s="329" t="s">
        <v>269</v>
      </c>
      <c r="D43" s="266">
        <f t="shared" si="6"/>
        <v>0.23100000000000001</v>
      </c>
    </row>
    <row r="44" spans="1:4" ht="13" x14ac:dyDescent="0.3">
      <c r="A44" s="264" t="s">
        <v>271</v>
      </c>
      <c r="B44" s="329"/>
      <c r="C44" s="329"/>
      <c r="D44" s="265"/>
    </row>
    <row r="45" spans="1:4" ht="13" x14ac:dyDescent="0.3">
      <c r="A45" s="268" t="str">
        <f t="shared" ref="A45:A46" si="7">A42</f>
        <v>Electricity</v>
      </c>
      <c r="B45" s="329" t="s">
        <v>288</v>
      </c>
      <c r="C45" s="329" t="s">
        <v>273</v>
      </c>
      <c r="D45" s="267">
        <f t="shared" ref="D45:D46" si="8">+D39*D42</f>
        <v>39.952584077380607</v>
      </c>
    </row>
    <row r="46" spans="1:4" ht="13" x14ac:dyDescent="0.3">
      <c r="A46" s="268" t="str">
        <f t="shared" si="7"/>
        <v>Natural gas</v>
      </c>
      <c r="B46" s="329" t="s">
        <v>289</v>
      </c>
      <c r="C46" s="329" t="s">
        <v>273</v>
      </c>
      <c r="D46" s="270">
        <f t="shared" si="8"/>
        <v>0</v>
      </c>
    </row>
    <row r="47" spans="1:4" ht="13" x14ac:dyDescent="0.3">
      <c r="A47" s="268" t="s">
        <v>275</v>
      </c>
      <c r="B47" s="329" t="s">
        <v>290</v>
      </c>
      <c r="C47" s="329" t="s">
        <v>273</v>
      </c>
      <c r="D47" s="270">
        <f>D27-'Input_LC Materials'!G25</f>
        <v>371.16379999999998</v>
      </c>
    </row>
    <row r="48" spans="1:4" ht="13" x14ac:dyDescent="0.3">
      <c r="A48" s="264" t="s">
        <v>277</v>
      </c>
      <c r="B48" s="329"/>
      <c r="C48" s="329"/>
      <c r="D48" s="265"/>
    </row>
    <row r="49" spans="1:5" ht="13" x14ac:dyDescent="0.3">
      <c r="A49" s="268" t="str">
        <f t="shared" ref="A49:A50" si="9">A45</f>
        <v>Electricity</v>
      </c>
      <c r="B49" s="329" t="s">
        <v>291</v>
      </c>
      <c r="C49" s="329" t="s">
        <v>279</v>
      </c>
      <c r="D49" s="267">
        <f>+D45*D14/1000</f>
        <v>2397.1550446428364</v>
      </c>
    </row>
    <row r="50" spans="1:5" ht="13" x14ac:dyDescent="0.3">
      <c r="A50" s="268" t="str">
        <f t="shared" si="9"/>
        <v>Natural gas</v>
      </c>
      <c r="B50" s="329" t="s">
        <v>292</v>
      </c>
      <c r="C50" s="329" t="s">
        <v>279</v>
      </c>
      <c r="D50" s="267">
        <f>+D46*D14/1000</f>
        <v>0</v>
      </c>
    </row>
    <row r="51" spans="1:5" ht="13" x14ac:dyDescent="0.3">
      <c r="A51" s="268" t="str">
        <f>$A$45</f>
        <v>Electricity</v>
      </c>
      <c r="B51" s="329" t="s">
        <v>293</v>
      </c>
      <c r="C51" s="329" t="str">
        <f>$C$31</f>
        <v>tCO2 over lifetime</v>
      </c>
      <c r="D51" s="267">
        <f t="shared" ref="D51:D52" si="10">D49*$D$15</f>
        <v>35957.325669642545</v>
      </c>
    </row>
    <row r="52" spans="1:5" ht="13" x14ac:dyDescent="0.3">
      <c r="A52" s="268" t="str">
        <f>$A$46</f>
        <v>Natural gas</v>
      </c>
      <c r="B52" s="329" t="s">
        <v>294</v>
      </c>
      <c r="C52" s="329" t="str">
        <f>$C$31</f>
        <v>tCO2 over lifetime</v>
      </c>
      <c r="D52" s="267">
        <f t="shared" si="10"/>
        <v>0</v>
      </c>
    </row>
    <row r="53" spans="1:5" ht="13" x14ac:dyDescent="0.3">
      <c r="A53" s="268" t="s">
        <v>275</v>
      </c>
      <c r="B53" s="329" t="s">
        <v>295</v>
      </c>
      <c r="C53" s="329" t="str">
        <f>C$33</f>
        <v>tCO2 over lifetime</v>
      </c>
      <c r="D53" s="267">
        <f>+D47*D14/1000</f>
        <v>22269.828000000001</v>
      </c>
    </row>
    <row r="54" spans="1:5" ht="13.5" thickBot="1" x14ac:dyDescent="0.35">
      <c r="A54" s="325" t="s">
        <v>284</v>
      </c>
      <c r="B54" s="332"/>
      <c r="C54" s="332" t="str">
        <f>C$34</f>
        <v>tCO2 over lifetime</v>
      </c>
      <c r="D54" s="274">
        <f>SUM(D51:D53)</f>
        <v>58227.153669642546</v>
      </c>
      <c r="E54" s="255"/>
    </row>
    <row r="55" spans="1:5" ht="13" thickBot="1" x14ac:dyDescent="0.3">
      <c r="A55" s="255"/>
      <c r="B55" s="330"/>
      <c r="C55" s="330"/>
      <c r="D55" s="255"/>
      <c r="E55" s="255"/>
    </row>
    <row r="56" spans="1:5" ht="13" x14ac:dyDescent="0.3">
      <c r="A56" s="328" t="s">
        <v>250</v>
      </c>
      <c r="B56" s="326"/>
      <c r="C56" s="326"/>
      <c r="D56" s="263"/>
      <c r="E56" s="255"/>
    </row>
    <row r="57" spans="1:5" ht="13" x14ac:dyDescent="0.3">
      <c r="A57" s="264" t="s">
        <v>285</v>
      </c>
      <c r="B57" s="329"/>
      <c r="C57" s="329"/>
      <c r="D57" s="265"/>
      <c r="E57" s="255"/>
    </row>
    <row r="58" spans="1:5" ht="13" x14ac:dyDescent="0.3">
      <c r="A58" s="264" t="s">
        <v>261</v>
      </c>
      <c r="B58" s="329"/>
      <c r="C58" s="329"/>
      <c r="D58" s="265"/>
    </row>
    <row r="59" spans="1:5" ht="13" x14ac:dyDescent="0.3">
      <c r="A59" s="268" t="s">
        <v>262</v>
      </c>
      <c r="B59" s="329" t="s">
        <v>296</v>
      </c>
      <c r="C59" s="329" t="s">
        <v>264</v>
      </c>
      <c r="D59" s="266">
        <f>+'Energy use'!D601</f>
        <v>99</v>
      </c>
    </row>
    <row r="60" spans="1:5" ht="13" x14ac:dyDescent="0.3">
      <c r="A60" s="268" t="s">
        <v>265</v>
      </c>
      <c r="B60" s="329" t="s">
        <v>297</v>
      </c>
      <c r="C60" s="329" t="s">
        <v>264</v>
      </c>
      <c r="D60" s="266">
        <v>0</v>
      </c>
    </row>
    <row r="61" spans="1:5" ht="13" x14ac:dyDescent="0.3">
      <c r="A61" s="264" t="s">
        <v>267</v>
      </c>
      <c r="B61" s="329"/>
      <c r="C61" s="329"/>
      <c r="D61" s="265"/>
    </row>
    <row r="62" spans="1:5" ht="13" x14ac:dyDescent="0.3">
      <c r="A62" s="268" t="str">
        <f t="shared" ref="A62:A63" si="11">A59</f>
        <v>Electricity</v>
      </c>
      <c r="B62" s="329" t="s">
        <v>268</v>
      </c>
      <c r="C62" s="329" t="s">
        <v>269</v>
      </c>
      <c r="D62" s="269">
        <f t="shared" ref="D62:D63" si="12">+D42</f>
        <v>0.31962067261904487</v>
      </c>
    </row>
    <row r="63" spans="1:5" ht="13" x14ac:dyDescent="0.3">
      <c r="A63" s="268" t="str">
        <f t="shared" si="11"/>
        <v>Natural gas</v>
      </c>
      <c r="B63" s="329" t="s">
        <v>270</v>
      </c>
      <c r="C63" s="329" t="s">
        <v>269</v>
      </c>
      <c r="D63" s="266">
        <f t="shared" si="12"/>
        <v>0.23100000000000001</v>
      </c>
    </row>
    <row r="64" spans="1:5" ht="13" x14ac:dyDescent="0.3">
      <c r="A64" s="264" t="s">
        <v>271</v>
      </c>
      <c r="B64" s="329"/>
      <c r="C64" s="329"/>
      <c r="D64" s="265"/>
    </row>
    <row r="65" spans="1:4" ht="13" x14ac:dyDescent="0.3">
      <c r="A65" s="268" t="str">
        <f t="shared" ref="A65:A66" si="13">A62</f>
        <v>Electricity</v>
      </c>
      <c r="B65" s="329" t="s">
        <v>299</v>
      </c>
      <c r="C65" s="329" t="s">
        <v>273</v>
      </c>
      <c r="D65" s="267">
        <f t="shared" ref="D65:D66" si="14">+D59*D62</f>
        <v>31.642446589285441</v>
      </c>
    </row>
    <row r="66" spans="1:4" ht="13" x14ac:dyDescent="0.3">
      <c r="A66" s="268" t="str">
        <f t="shared" si="13"/>
        <v>Natural gas</v>
      </c>
      <c r="B66" s="329" t="s">
        <v>300</v>
      </c>
      <c r="C66" s="329" t="s">
        <v>273</v>
      </c>
      <c r="D66" s="270">
        <f t="shared" si="14"/>
        <v>0</v>
      </c>
    </row>
    <row r="67" spans="1:4" ht="13" x14ac:dyDescent="0.3">
      <c r="A67" s="268" t="s">
        <v>275</v>
      </c>
      <c r="B67" s="329" t="s">
        <v>301</v>
      </c>
      <c r="C67" s="329" t="s">
        <v>273</v>
      </c>
      <c r="D67" s="270">
        <f>D47</f>
        <v>371.16379999999998</v>
      </c>
    </row>
    <row r="68" spans="1:4" ht="13" x14ac:dyDescent="0.3">
      <c r="A68" s="264" t="s">
        <v>277</v>
      </c>
      <c r="B68" s="329"/>
      <c r="C68" s="329"/>
      <c r="D68" s="265"/>
    </row>
    <row r="69" spans="1:4" ht="13" x14ac:dyDescent="0.3">
      <c r="A69" s="268" t="str">
        <f t="shared" ref="A69:A70" si="15">A65</f>
        <v>Electricity</v>
      </c>
      <c r="B69" s="329" t="s">
        <v>303</v>
      </c>
      <c r="C69" s="329" t="s">
        <v>279</v>
      </c>
      <c r="D69" s="267">
        <f t="shared" ref="D69:D70" si="16">+D65*$D$14/1000</f>
        <v>1898.5467953571265</v>
      </c>
    </row>
    <row r="70" spans="1:4" ht="13" x14ac:dyDescent="0.3">
      <c r="A70" s="268" t="str">
        <f t="shared" si="15"/>
        <v>Natural gas</v>
      </c>
      <c r="B70" s="329" t="s">
        <v>304</v>
      </c>
      <c r="C70" s="329" t="s">
        <v>279</v>
      </c>
      <c r="D70" s="267">
        <f t="shared" si="16"/>
        <v>0</v>
      </c>
    </row>
    <row r="71" spans="1:4" ht="13" x14ac:dyDescent="0.3">
      <c r="A71" s="268" t="str">
        <f>$A$45</f>
        <v>Electricity</v>
      </c>
      <c r="B71" s="329" t="s">
        <v>305</v>
      </c>
      <c r="C71" s="329" t="str">
        <f>$C$31</f>
        <v>tCO2 over lifetime</v>
      </c>
      <c r="D71" s="267">
        <f t="shared" ref="D71:D72" si="17">D69*$D$15</f>
        <v>28478.201930356896</v>
      </c>
    </row>
    <row r="72" spans="1:4" ht="13" x14ac:dyDescent="0.3">
      <c r="A72" s="268" t="str">
        <f>$A$46</f>
        <v>Natural gas</v>
      </c>
      <c r="B72" s="329" t="s">
        <v>306</v>
      </c>
      <c r="C72" s="329" t="str">
        <f>$C$31</f>
        <v>tCO2 over lifetime</v>
      </c>
      <c r="D72" s="267">
        <f t="shared" si="17"/>
        <v>0</v>
      </c>
    </row>
    <row r="73" spans="1:4" ht="13" x14ac:dyDescent="0.3">
      <c r="A73" s="268" t="s">
        <v>275</v>
      </c>
      <c r="B73" s="329" t="s">
        <v>307</v>
      </c>
      <c r="C73" s="329" t="str">
        <f>C$33</f>
        <v>tCO2 over lifetime</v>
      </c>
      <c r="D73" s="267">
        <f>+D67*$D$14/1000</f>
        <v>22269.828000000001</v>
      </c>
    </row>
    <row r="74" spans="1:4" ht="13.5" thickBot="1" x14ac:dyDescent="0.35">
      <c r="A74" s="325" t="s">
        <v>284</v>
      </c>
      <c r="B74" s="332"/>
      <c r="C74" s="332" t="str">
        <f>C$34</f>
        <v>tCO2 over lifetime</v>
      </c>
      <c r="D74" s="274">
        <f>SUM(D71:D73)</f>
        <v>50748.029930356897</v>
      </c>
    </row>
    <row r="75" spans="1:4" ht="13" thickBot="1" x14ac:dyDescent="0.3">
      <c r="B75" s="330"/>
      <c r="C75" s="330"/>
    </row>
    <row r="76" spans="1:4" ht="13" x14ac:dyDescent="0.3">
      <c r="A76" s="272" t="s">
        <v>308</v>
      </c>
      <c r="B76" s="331"/>
      <c r="C76" s="331"/>
      <c r="D76" s="273"/>
    </row>
    <row r="77" spans="1:4" x14ac:dyDescent="0.25">
      <c r="A77" s="258" t="s">
        <v>262</v>
      </c>
      <c r="B77" s="329" t="s">
        <v>309</v>
      </c>
      <c r="C77" s="334" t="s">
        <v>279</v>
      </c>
      <c r="D77" s="267">
        <f t="shared" ref="D77:D78" si="18">+D29-D49</f>
        <v>1438.2930267857018</v>
      </c>
    </row>
    <row r="78" spans="1:4" x14ac:dyDescent="0.25">
      <c r="A78" s="258" t="s">
        <v>265</v>
      </c>
      <c r="B78" s="329" t="s">
        <v>310</v>
      </c>
      <c r="C78" s="329" t="s">
        <v>279</v>
      </c>
      <c r="D78" s="267">
        <f t="shared" si="18"/>
        <v>0</v>
      </c>
    </row>
    <row r="79" spans="1:4" x14ac:dyDescent="0.25">
      <c r="A79" s="258" t="s">
        <v>262</v>
      </c>
      <c r="B79" s="329" t="s">
        <v>311</v>
      </c>
      <c r="C79" s="329" t="str">
        <f>$C$31</f>
        <v>tCO2 over lifetime</v>
      </c>
      <c r="D79" s="267">
        <f t="shared" ref="D79:D80" si="19">D77*$D$15</f>
        <v>21574.395401785529</v>
      </c>
    </row>
    <row r="80" spans="1:4" x14ac:dyDescent="0.25">
      <c r="A80" s="258" t="s">
        <v>265</v>
      </c>
      <c r="B80" s="329" t="s">
        <v>312</v>
      </c>
      <c r="C80" s="329" t="str">
        <f>$C$31</f>
        <v>tCO2 over lifetime</v>
      </c>
      <c r="D80" s="267">
        <f t="shared" si="19"/>
        <v>0</v>
      </c>
    </row>
    <row r="81" spans="1:4" x14ac:dyDescent="0.25">
      <c r="A81" s="258" t="s">
        <v>275</v>
      </c>
      <c r="B81" s="329" t="s">
        <v>313</v>
      </c>
      <c r="C81" s="329" t="str">
        <f>$C$31</f>
        <v>tCO2 over lifetime</v>
      </c>
      <c r="D81" s="267">
        <f>+D33-D53</f>
        <v>2892.4319999999971</v>
      </c>
    </row>
    <row r="82" spans="1:4" ht="13.5" thickBot="1" x14ac:dyDescent="0.35">
      <c r="A82" s="275" t="s">
        <v>284</v>
      </c>
      <c r="B82" s="332" t="s">
        <v>314</v>
      </c>
      <c r="C82" s="332" t="str">
        <f>$C$31</f>
        <v>tCO2 over lifetime</v>
      </c>
      <c r="D82" s="274">
        <f>SUM(D79:D81)</f>
        <v>24466.827401785526</v>
      </c>
    </row>
    <row r="83" spans="1:4" ht="13" thickBot="1" x14ac:dyDescent="0.3">
      <c r="B83" s="330"/>
      <c r="C83" s="330"/>
    </row>
    <row r="84" spans="1:4" ht="13" x14ac:dyDescent="0.3">
      <c r="A84" s="272" t="s">
        <v>315</v>
      </c>
      <c r="B84" s="331"/>
      <c r="C84" s="331"/>
      <c r="D84" s="273"/>
    </row>
    <row r="85" spans="1:4" x14ac:dyDescent="0.25">
      <c r="A85" s="258" t="s">
        <v>262</v>
      </c>
      <c r="B85" s="329" t="s">
        <v>316</v>
      </c>
      <c r="C85" s="329" t="s">
        <v>279</v>
      </c>
      <c r="D85" s="267">
        <f>+D29-D69</f>
        <v>1936.9012760714118</v>
      </c>
    </row>
    <row r="86" spans="1:4" x14ac:dyDescent="0.25">
      <c r="A86" s="258" t="s">
        <v>265</v>
      </c>
      <c r="B86" s="329" t="s">
        <v>317</v>
      </c>
      <c r="C86" s="329" t="s">
        <v>279</v>
      </c>
      <c r="D86" s="267">
        <f>+D30-D70</f>
        <v>0</v>
      </c>
    </row>
    <row r="87" spans="1:4" x14ac:dyDescent="0.25">
      <c r="A87" s="258" t="s">
        <v>262</v>
      </c>
      <c r="B87" s="329" t="s">
        <v>318</v>
      </c>
      <c r="C87" s="329" t="str">
        <f>$C$31</f>
        <v>tCO2 over lifetime</v>
      </c>
      <c r="D87" s="267">
        <f t="shared" ref="D87:D88" si="20">D85*$D$15</f>
        <v>29053.519141071178</v>
      </c>
    </row>
    <row r="88" spans="1:4" x14ac:dyDescent="0.25">
      <c r="A88" s="258" t="s">
        <v>265</v>
      </c>
      <c r="B88" s="329" t="s">
        <v>319</v>
      </c>
      <c r="C88" s="329" t="str">
        <f>$C$31</f>
        <v>tCO2 over lifetime</v>
      </c>
      <c r="D88" s="267">
        <f t="shared" si="20"/>
        <v>0</v>
      </c>
    </row>
    <row r="89" spans="1:4" x14ac:dyDescent="0.25">
      <c r="A89" s="258" t="s">
        <v>275</v>
      </c>
      <c r="B89" s="329" t="s">
        <v>320</v>
      </c>
      <c r="C89" s="329" t="str">
        <f>$C$31</f>
        <v>tCO2 over lifetime</v>
      </c>
      <c r="D89" s="267">
        <f>+D33-D73</f>
        <v>2892.4319999999971</v>
      </c>
    </row>
    <row r="90" spans="1:4" ht="13.5" thickBot="1" x14ac:dyDescent="0.35">
      <c r="A90" s="275" t="s">
        <v>284</v>
      </c>
      <c r="B90" s="332" t="s">
        <v>321</v>
      </c>
      <c r="C90" s="332" t="str">
        <f>$C$31</f>
        <v>tCO2 over lifetime</v>
      </c>
      <c r="D90" s="274">
        <f>SUM(D87:D89)</f>
        <v>31945.951141071175</v>
      </c>
    </row>
    <row r="91" spans="1:4" ht="13" thickBot="1" x14ac:dyDescent="0.3">
      <c r="B91" s="330"/>
      <c r="C91" s="330"/>
    </row>
    <row r="92" spans="1:4" ht="13" x14ac:dyDescent="0.3">
      <c r="A92" s="272" t="s">
        <v>322</v>
      </c>
      <c r="B92" s="331"/>
      <c r="C92" s="331"/>
      <c r="D92" s="273"/>
    </row>
    <row r="93" spans="1:4" x14ac:dyDescent="0.25">
      <c r="A93" s="258" t="s">
        <v>262</v>
      </c>
      <c r="B93" s="329" t="s">
        <v>323</v>
      </c>
      <c r="C93" s="329" t="s">
        <v>279</v>
      </c>
      <c r="D93" s="267">
        <f>+AVERAGE(D85,D77)</f>
        <v>1687.5971514285568</v>
      </c>
    </row>
    <row r="94" spans="1:4" x14ac:dyDescent="0.25">
      <c r="A94" s="258" t="s">
        <v>265</v>
      </c>
      <c r="B94" s="329" t="s">
        <v>323</v>
      </c>
      <c r="C94" s="329" t="s">
        <v>279</v>
      </c>
      <c r="D94" s="267">
        <f>+AVERAGE(D86,D78)</f>
        <v>0</v>
      </c>
    </row>
    <row r="95" spans="1:4" x14ac:dyDescent="0.25">
      <c r="A95" s="258" t="s">
        <v>262</v>
      </c>
      <c r="B95" s="329" t="s">
        <v>323</v>
      </c>
      <c r="C95" s="329" t="str">
        <f>$C$31</f>
        <v>tCO2 over lifetime</v>
      </c>
      <c r="D95" s="267">
        <f t="shared" ref="D95:D96" si="21">D93*$D$15</f>
        <v>25313.957271428353</v>
      </c>
    </row>
    <row r="96" spans="1:4" x14ac:dyDescent="0.25">
      <c r="A96" s="258" t="s">
        <v>265</v>
      </c>
      <c r="B96" s="329" t="s">
        <v>323</v>
      </c>
      <c r="C96" s="329" t="str">
        <f>$C$31</f>
        <v>tCO2 over lifetime</v>
      </c>
      <c r="D96" s="267">
        <f t="shared" si="21"/>
        <v>0</v>
      </c>
    </row>
    <row r="97" spans="1:4" x14ac:dyDescent="0.25">
      <c r="A97" s="258" t="s">
        <v>275</v>
      </c>
      <c r="B97" s="329" t="s">
        <v>323</v>
      </c>
      <c r="C97" s="329" t="str">
        <f>$C$31</f>
        <v>tCO2 over lifetime</v>
      </c>
      <c r="D97" s="267">
        <f>+AVERAGE(D89,D81)</f>
        <v>2892.4319999999971</v>
      </c>
    </row>
    <row r="98" spans="1:4" ht="13.5" thickBot="1" x14ac:dyDescent="0.35">
      <c r="A98" s="275" t="s">
        <v>284</v>
      </c>
      <c r="B98" s="332" t="s">
        <v>324</v>
      </c>
      <c r="C98" s="332" t="str">
        <f>$C$31</f>
        <v>tCO2 over lifetime</v>
      </c>
      <c r="D98" s="274">
        <f>SUM(D95:D97)</f>
        <v>28206.38927142835</v>
      </c>
    </row>
    <row r="99" spans="1:4" ht="15.75" customHeight="1" x14ac:dyDescent="0.25"/>
    <row r="100" spans="1:4" ht="15.75" customHeight="1" x14ac:dyDescent="0.25">
      <c r="A100" s="254" t="s">
        <v>709</v>
      </c>
      <c r="D100" s="375">
        <f>D97/D98</f>
        <v>0.10254527696424742</v>
      </c>
    </row>
    <row r="101" spans="1:4" ht="15.75" customHeight="1" x14ac:dyDescent="0.25"/>
    <row r="102" spans="1:4" ht="15.75" customHeight="1" x14ac:dyDescent="0.3">
      <c r="A102" s="398" t="s">
        <v>730</v>
      </c>
    </row>
    <row r="103" spans="1:4" ht="15.75" customHeight="1" thickBot="1" x14ac:dyDescent="0.3"/>
    <row r="104" spans="1:4" ht="15.75" customHeight="1" x14ac:dyDescent="0.3">
      <c r="A104" s="393" t="s">
        <v>728</v>
      </c>
      <c r="B104" s="394" t="str">
        <f>C19</f>
        <v>kWh/m2/yr</v>
      </c>
    </row>
    <row r="105" spans="1:4" ht="15.75" customHeight="1" x14ac:dyDescent="0.3">
      <c r="A105" s="395" t="s">
        <v>172</v>
      </c>
      <c r="B105" s="265"/>
    </row>
    <row r="106" spans="1:4" ht="15.75" customHeight="1" x14ac:dyDescent="0.25">
      <c r="A106" s="260" t="s">
        <v>726</v>
      </c>
      <c r="B106" s="265">
        <f>D19</f>
        <v>200</v>
      </c>
    </row>
    <row r="107" spans="1:4" ht="15.75" customHeight="1" x14ac:dyDescent="0.25">
      <c r="A107" s="260" t="s">
        <v>727</v>
      </c>
      <c r="B107" s="265">
        <f>D20</f>
        <v>0</v>
      </c>
    </row>
    <row r="108" spans="1:4" ht="15.75" customHeight="1" x14ac:dyDescent="0.3">
      <c r="A108" s="396" t="s">
        <v>249</v>
      </c>
      <c r="B108" s="265"/>
    </row>
    <row r="109" spans="1:4" ht="15.75" customHeight="1" x14ac:dyDescent="0.25">
      <c r="A109" s="260" t="s">
        <v>726</v>
      </c>
      <c r="B109" s="265">
        <f>D39</f>
        <v>125</v>
      </c>
    </row>
    <row r="110" spans="1:4" ht="15.75" customHeight="1" x14ac:dyDescent="0.25">
      <c r="A110" s="260" t="s">
        <v>727</v>
      </c>
      <c r="B110" s="265">
        <f>D40</f>
        <v>0</v>
      </c>
    </row>
    <row r="111" spans="1:4" ht="15.75" customHeight="1" x14ac:dyDescent="0.3">
      <c r="A111" s="396" t="s">
        <v>250</v>
      </c>
      <c r="B111" s="265"/>
    </row>
    <row r="112" spans="1:4" ht="15.75" customHeight="1" x14ac:dyDescent="0.25">
      <c r="A112" s="260" t="s">
        <v>726</v>
      </c>
      <c r="B112" s="265">
        <f>D59</f>
        <v>99</v>
      </c>
    </row>
    <row r="113" spans="1:2" ht="15.75" customHeight="1" x14ac:dyDescent="0.25">
      <c r="A113" s="260" t="s">
        <v>727</v>
      </c>
      <c r="B113" s="265">
        <f>D60</f>
        <v>0</v>
      </c>
    </row>
    <row r="114" spans="1:2" ht="15.75" customHeight="1" x14ac:dyDescent="0.3">
      <c r="A114" s="396" t="s">
        <v>731</v>
      </c>
      <c r="B114" s="265"/>
    </row>
    <row r="115" spans="1:2" ht="15.75" customHeight="1" x14ac:dyDescent="0.25">
      <c r="A115" s="260" t="s">
        <v>726</v>
      </c>
      <c r="B115" s="265">
        <f>AVERAGE(B109,B112)</f>
        <v>112</v>
      </c>
    </row>
    <row r="116" spans="1:2" ht="15.75" customHeight="1" thickBot="1" x14ac:dyDescent="0.3">
      <c r="A116" s="261" t="s">
        <v>727</v>
      </c>
      <c r="B116" s="397">
        <f>AVERAGE(B110,B113)</f>
        <v>0</v>
      </c>
    </row>
    <row r="117" spans="1:2" ht="15.75" customHeight="1" thickBot="1" x14ac:dyDescent="0.3"/>
    <row r="118" spans="1:2" ht="15.75" customHeight="1" x14ac:dyDescent="0.3">
      <c r="A118" s="393" t="s">
        <v>729</v>
      </c>
      <c r="B118" s="394" t="s">
        <v>725</v>
      </c>
    </row>
    <row r="119" spans="1:2" ht="15.75" customHeight="1" x14ac:dyDescent="0.3">
      <c r="A119" s="395" t="s">
        <v>172</v>
      </c>
      <c r="B119" s="265"/>
    </row>
    <row r="120" spans="1:2" ht="15.75" customHeight="1" x14ac:dyDescent="0.25">
      <c r="A120" s="260" t="s">
        <v>726</v>
      </c>
      <c r="B120" s="259">
        <f>B106*D14/1000</f>
        <v>12000</v>
      </c>
    </row>
    <row r="121" spans="1:2" ht="15.75" customHeight="1" x14ac:dyDescent="0.25">
      <c r="A121" s="260" t="s">
        <v>727</v>
      </c>
      <c r="B121" s="259">
        <f>B107*D14/1000</f>
        <v>0</v>
      </c>
    </row>
    <row r="122" spans="1:2" ht="15.75" customHeight="1" x14ac:dyDescent="0.3">
      <c r="A122" s="396" t="s">
        <v>731</v>
      </c>
      <c r="B122" s="265"/>
    </row>
    <row r="123" spans="1:2" ht="15.75" customHeight="1" x14ac:dyDescent="0.25">
      <c r="A123" s="260" t="s">
        <v>726</v>
      </c>
      <c r="B123" s="259">
        <f>B115*D14/1000</f>
        <v>6720</v>
      </c>
    </row>
    <row r="124" spans="1:2" ht="15.75" customHeight="1" thickBot="1" x14ac:dyDescent="0.3">
      <c r="A124" s="261" t="s">
        <v>727</v>
      </c>
      <c r="B124" s="262">
        <f>B116*D14/1000</f>
        <v>0</v>
      </c>
    </row>
    <row r="125" spans="1:2" ht="15.75" customHeight="1" thickBot="1" x14ac:dyDescent="0.3">
      <c r="B125" s="392"/>
    </row>
    <row r="126" spans="1:2" ht="15.75" customHeight="1" x14ac:dyDescent="0.3">
      <c r="A126" s="393" t="s">
        <v>732</v>
      </c>
      <c r="B126" s="394" t="s">
        <v>725</v>
      </c>
    </row>
    <row r="127" spans="1:2" ht="15.75" customHeight="1" x14ac:dyDescent="0.3">
      <c r="A127" s="396" t="s">
        <v>731</v>
      </c>
      <c r="B127" s="399"/>
    </row>
    <row r="128" spans="1:2" ht="15.75" customHeight="1" x14ac:dyDescent="0.25">
      <c r="A128" s="260" t="s">
        <v>726</v>
      </c>
      <c r="B128" s="259">
        <f>B120-B123</f>
        <v>5280</v>
      </c>
    </row>
    <row r="129" spans="1:2" ht="15.75" customHeight="1" thickBot="1" x14ac:dyDescent="0.3">
      <c r="A129" s="261" t="s">
        <v>727</v>
      </c>
      <c r="B129" s="262">
        <f>B121-B124</f>
        <v>0</v>
      </c>
    </row>
    <row r="130" spans="1:2" ht="15.75" customHeight="1" x14ac:dyDescent="0.25"/>
    <row r="131" spans="1:2" ht="15.75" customHeight="1" x14ac:dyDescent="0.25"/>
    <row r="132" spans="1:2" ht="15.75" customHeight="1" x14ac:dyDescent="0.25"/>
    <row r="133" spans="1:2" ht="15.75" customHeight="1" x14ac:dyDescent="0.25"/>
    <row r="134" spans="1:2" ht="15.75" customHeight="1" x14ac:dyDescent="0.25"/>
    <row r="135" spans="1:2" ht="15.75" customHeight="1" x14ac:dyDescent="0.25"/>
    <row r="136" spans="1:2" ht="15.75" customHeight="1" x14ac:dyDescent="0.25"/>
    <row r="137" spans="1:2" ht="15.75" customHeight="1" x14ac:dyDescent="0.25"/>
    <row r="138" spans="1:2" ht="15.75" customHeight="1" x14ac:dyDescent="0.25"/>
    <row r="139" spans="1:2" ht="15.75" customHeight="1" x14ac:dyDescent="0.25"/>
    <row r="140" spans="1:2" ht="15.75" customHeight="1" x14ac:dyDescent="0.25"/>
    <row r="141" spans="1:2" ht="15.75" customHeight="1" x14ac:dyDescent="0.25"/>
    <row r="142" spans="1:2" ht="15.75" customHeight="1" x14ac:dyDescent="0.25"/>
    <row r="143" spans="1:2" ht="15.75" customHeight="1" x14ac:dyDescent="0.25"/>
    <row r="144" spans="1:2"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row r="1010" ht="15.75" customHeight="1" x14ac:dyDescent="0.25"/>
  </sheetData>
  <pageMargins left="0.7" right="0.7" top="0.75" bottom="0.75" header="0" footer="0"/>
  <pageSetup orientation="landscape"/>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10"/>
  <sheetViews>
    <sheetView topLeftCell="A100" workbookViewId="0">
      <selection activeCell="A102" sqref="A102:B129"/>
    </sheetView>
  </sheetViews>
  <sheetFormatPr baseColWidth="10" defaultColWidth="12.58203125" defaultRowHeight="12.5" x14ac:dyDescent="0.25"/>
  <cols>
    <col min="1" max="1" width="43.58203125" style="254" customWidth="1"/>
    <col min="2" max="2" width="22.58203125" style="254" customWidth="1"/>
    <col min="3" max="3" width="17" style="327" customWidth="1"/>
    <col min="4" max="4" width="16" style="254" customWidth="1"/>
    <col min="5" max="26" width="9.33203125" style="254" customWidth="1"/>
    <col min="27" max="16384" width="12.58203125" style="254"/>
  </cols>
  <sheetData>
    <row r="1" spans="1:4" ht="13" x14ac:dyDescent="0.3">
      <c r="A1" s="253" t="s">
        <v>663</v>
      </c>
    </row>
    <row r="2" spans="1:4" ht="15" customHeight="1" x14ac:dyDescent="0.25"/>
    <row r="3" spans="1:4" ht="13.5" thickBot="1" x14ac:dyDescent="0.35">
      <c r="A3" s="253" t="s">
        <v>601</v>
      </c>
      <c r="B3" s="255"/>
    </row>
    <row r="4" spans="1:4" x14ac:dyDescent="0.25">
      <c r="A4" s="256" t="s">
        <v>603</v>
      </c>
      <c r="B4" s="257">
        <f>D34</f>
        <v>253964.71788099315</v>
      </c>
    </row>
    <row r="5" spans="1:4" x14ac:dyDescent="0.25">
      <c r="A5" s="258" t="s">
        <v>604</v>
      </c>
      <c r="B5" s="259">
        <f>D54</f>
        <v>190091.53521504623</v>
      </c>
    </row>
    <row r="6" spans="1:4" x14ac:dyDescent="0.25">
      <c r="A6" s="260" t="s">
        <v>605</v>
      </c>
      <c r="B6" s="259">
        <f>D74</f>
        <v>181452.1352150462</v>
      </c>
    </row>
    <row r="7" spans="1:4" x14ac:dyDescent="0.25">
      <c r="A7" s="260" t="s">
        <v>308</v>
      </c>
      <c r="B7" s="259">
        <f>D82</f>
        <v>63873.18266594693</v>
      </c>
    </row>
    <row r="8" spans="1:4" x14ac:dyDescent="0.25">
      <c r="A8" s="260" t="s">
        <v>315</v>
      </c>
      <c r="B8" s="259">
        <f>D90</f>
        <v>72512.582665946946</v>
      </c>
    </row>
    <row r="9" spans="1:4" ht="13" thickBot="1" x14ac:dyDescent="0.3">
      <c r="A9" s="261" t="s">
        <v>322</v>
      </c>
      <c r="B9" s="262">
        <f>D98</f>
        <v>68192.882665946934</v>
      </c>
    </row>
    <row r="10" spans="1:4" ht="13" thickBot="1" x14ac:dyDescent="0.3"/>
    <row r="11" spans="1:4" ht="13" x14ac:dyDescent="0.3">
      <c r="A11" s="328" t="s">
        <v>600</v>
      </c>
      <c r="B11" s="326" t="s">
        <v>253</v>
      </c>
      <c r="C11" s="326" t="s">
        <v>254</v>
      </c>
      <c r="D11" s="263" t="s">
        <v>255</v>
      </c>
    </row>
    <row r="12" spans="1:4" ht="13" x14ac:dyDescent="0.3">
      <c r="A12" s="264" t="s">
        <v>53</v>
      </c>
      <c r="B12" s="329"/>
      <c r="C12" s="329"/>
      <c r="D12" s="265"/>
    </row>
    <row r="13" spans="1:4" x14ac:dyDescent="0.25">
      <c r="A13" s="258" t="s">
        <v>256</v>
      </c>
      <c r="B13" s="329"/>
      <c r="C13" s="329"/>
      <c r="D13" s="266" t="str">
        <f>+'Input_Area and Costs'!A4</f>
        <v>Residential</v>
      </c>
    </row>
    <row r="14" spans="1:4" x14ac:dyDescent="0.25">
      <c r="A14" s="258" t="s">
        <v>247</v>
      </c>
      <c r="B14" s="329" t="s">
        <v>257</v>
      </c>
      <c r="C14" s="329" t="s">
        <v>251</v>
      </c>
      <c r="D14" s="267">
        <f>+'Input_Area and Costs'!H4</f>
        <v>207777.77777777778</v>
      </c>
    </row>
    <row r="15" spans="1:4" x14ac:dyDescent="0.25">
      <c r="A15" s="258" t="s">
        <v>258</v>
      </c>
      <c r="B15" s="329" t="s">
        <v>259</v>
      </c>
      <c r="C15" s="329" t="s">
        <v>260</v>
      </c>
      <c r="D15" s="267">
        <f>'General Inputs&amp;Outputs'!$C$12</f>
        <v>15</v>
      </c>
    </row>
    <row r="16" spans="1:4" x14ac:dyDescent="0.25">
      <c r="A16" s="254" t="s">
        <v>172</v>
      </c>
      <c r="B16" s="329"/>
      <c r="C16" s="329"/>
      <c r="D16" s="265"/>
    </row>
    <row r="17" spans="1:4" ht="13" x14ac:dyDescent="0.3">
      <c r="A17" s="264" t="s">
        <v>285</v>
      </c>
      <c r="B17" s="329"/>
      <c r="C17" s="329"/>
      <c r="D17" s="265"/>
    </row>
    <row r="18" spans="1:4" ht="13" x14ac:dyDescent="0.3">
      <c r="A18" s="264" t="s">
        <v>261</v>
      </c>
      <c r="B18" s="329"/>
      <c r="C18" s="333"/>
      <c r="D18" s="265"/>
    </row>
    <row r="19" spans="1:4" ht="13" x14ac:dyDescent="0.3">
      <c r="A19" s="268" t="s">
        <v>262</v>
      </c>
      <c r="B19" s="329" t="s">
        <v>263</v>
      </c>
      <c r="C19" s="329" t="s">
        <v>264</v>
      </c>
      <c r="D19" s="266">
        <f>+'Energy use'!B243-D20</f>
        <v>76</v>
      </c>
    </row>
    <row r="20" spans="1:4" ht="13" x14ac:dyDescent="0.3">
      <c r="A20" s="268" t="s">
        <v>265</v>
      </c>
      <c r="B20" s="329" t="s">
        <v>266</v>
      </c>
      <c r="C20" s="329" t="s">
        <v>264</v>
      </c>
      <c r="D20" s="266">
        <f>+'Energy use'!B249+'Energy use'!B244</f>
        <v>30</v>
      </c>
    </row>
    <row r="21" spans="1:4" ht="13" x14ac:dyDescent="0.3">
      <c r="A21" s="264" t="s">
        <v>267</v>
      </c>
      <c r="B21" s="329"/>
      <c r="C21" s="333"/>
      <c r="D21" s="265"/>
    </row>
    <row r="22" spans="1:4" ht="13" x14ac:dyDescent="0.3">
      <c r="A22" s="268" t="str">
        <f t="shared" ref="A22:A23" si="0">A19</f>
        <v>Electricity</v>
      </c>
      <c r="B22" s="329" t="s">
        <v>268</v>
      </c>
      <c r="C22" s="329" t="s">
        <v>269</v>
      </c>
      <c r="D22" s="269">
        <f>+'Input_Energy Context'!H12</f>
        <v>0.6373106018054876</v>
      </c>
    </row>
    <row r="23" spans="1:4" ht="13" x14ac:dyDescent="0.3">
      <c r="A23" s="268" t="str">
        <f t="shared" si="0"/>
        <v>Natural gas</v>
      </c>
      <c r="B23" s="329" t="s">
        <v>270</v>
      </c>
      <c r="C23" s="329" t="s">
        <v>269</v>
      </c>
      <c r="D23" s="266">
        <f>+'Input_Energy Context'!B13</f>
        <v>0.23100000000000001</v>
      </c>
    </row>
    <row r="24" spans="1:4" ht="13" x14ac:dyDescent="0.3">
      <c r="A24" s="264" t="s">
        <v>271</v>
      </c>
      <c r="B24" s="329"/>
      <c r="C24" s="333"/>
      <c r="D24" s="265"/>
    </row>
    <row r="25" spans="1:4" ht="13" x14ac:dyDescent="0.3">
      <c r="A25" s="268" t="str">
        <f t="shared" ref="A25:A26" si="1">A22</f>
        <v>Electricity</v>
      </c>
      <c r="B25" s="329" t="s">
        <v>272</v>
      </c>
      <c r="C25" s="329" t="s">
        <v>273</v>
      </c>
      <c r="D25" s="270">
        <f t="shared" ref="D25:D26" si="2">+D19*D22</f>
        <v>48.43560573721706</v>
      </c>
    </row>
    <row r="26" spans="1:4" ht="13" x14ac:dyDescent="0.3">
      <c r="A26" s="268" t="str">
        <f t="shared" si="1"/>
        <v>Natural gas</v>
      </c>
      <c r="B26" s="329" t="s">
        <v>274</v>
      </c>
      <c r="C26" s="329" t="s">
        <v>273</v>
      </c>
      <c r="D26" s="270">
        <f t="shared" si="2"/>
        <v>6.9300000000000006</v>
      </c>
    </row>
    <row r="27" spans="1:4" ht="13" x14ac:dyDescent="0.3">
      <c r="A27" s="268" t="s">
        <v>275</v>
      </c>
      <c r="B27" s="329" t="s">
        <v>276</v>
      </c>
      <c r="C27" s="329" t="s">
        <v>273</v>
      </c>
      <c r="D27" s="270">
        <f>'Input_LC Materials'!H21/'Input_LC Materials'!C5</f>
        <v>391.80599999999993</v>
      </c>
    </row>
    <row r="28" spans="1:4" ht="13" x14ac:dyDescent="0.3">
      <c r="A28" s="264" t="s">
        <v>277</v>
      </c>
      <c r="B28" s="329"/>
      <c r="C28" s="333"/>
      <c r="D28" s="265"/>
    </row>
    <row r="29" spans="1:4" ht="13" x14ac:dyDescent="0.3">
      <c r="A29" s="268" t="str">
        <f t="shared" ref="A29:A30" si="3">A25</f>
        <v>Electricity</v>
      </c>
      <c r="B29" s="329" t="s">
        <v>278</v>
      </c>
      <c r="C29" s="329" t="s">
        <v>279</v>
      </c>
      <c r="D29" s="267">
        <f>+D25*D14/1000</f>
        <v>10063.842525399545</v>
      </c>
    </row>
    <row r="30" spans="1:4" ht="13" x14ac:dyDescent="0.3">
      <c r="A30" s="268" t="str">
        <f t="shared" si="3"/>
        <v>Natural gas</v>
      </c>
      <c r="B30" s="329" t="s">
        <v>280</v>
      </c>
      <c r="C30" s="329" t="s">
        <v>279</v>
      </c>
      <c r="D30" s="267">
        <f>+D26*D14/1000</f>
        <v>1439.9000000000003</v>
      </c>
    </row>
    <row r="31" spans="1:4" ht="13" x14ac:dyDescent="0.3">
      <c r="A31" s="268" t="str">
        <f>$A$25</f>
        <v>Electricity</v>
      </c>
      <c r="B31" s="329" t="s">
        <v>281</v>
      </c>
      <c r="C31" s="329" t="s">
        <v>577</v>
      </c>
      <c r="D31" s="267">
        <f t="shared" ref="D31:D32" si="4">D29*$D$15</f>
        <v>150957.63788099316</v>
      </c>
    </row>
    <row r="32" spans="1:4" ht="13" x14ac:dyDescent="0.3">
      <c r="A32" s="268" t="str">
        <f>$A$26</f>
        <v>Natural gas</v>
      </c>
      <c r="B32" s="329" t="s">
        <v>282</v>
      </c>
      <c r="C32" s="329" t="s">
        <v>577</v>
      </c>
      <c r="D32" s="267">
        <f t="shared" si="4"/>
        <v>21598.500000000004</v>
      </c>
    </row>
    <row r="33" spans="1:4" ht="13" x14ac:dyDescent="0.3">
      <c r="A33" s="268" t="s">
        <v>275</v>
      </c>
      <c r="B33" s="329" t="s">
        <v>283</v>
      </c>
      <c r="C33" s="329" t="s">
        <v>577</v>
      </c>
      <c r="D33" s="267">
        <f>+D27*D14/1000</f>
        <v>81408.579999999987</v>
      </c>
    </row>
    <row r="34" spans="1:4" ht="13.5" thickBot="1" x14ac:dyDescent="0.35">
      <c r="A34" s="325" t="s">
        <v>284</v>
      </c>
      <c r="B34" s="332"/>
      <c r="C34" s="332" t="s">
        <v>577</v>
      </c>
      <c r="D34" s="274">
        <f>SUM(D31:D33)</f>
        <v>253964.71788099315</v>
      </c>
    </row>
    <row r="35" spans="1:4" ht="13" thickBot="1" x14ac:dyDescent="0.3">
      <c r="B35" s="330"/>
      <c r="C35" s="330"/>
    </row>
    <row r="36" spans="1:4" ht="13" x14ac:dyDescent="0.3">
      <c r="A36" s="328" t="s">
        <v>249</v>
      </c>
      <c r="B36" s="326"/>
      <c r="C36" s="326"/>
      <c r="D36" s="263"/>
    </row>
    <row r="37" spans="1:4" ht="13" x14ac:dyDescent="0.3">
      <c r="A37" s="264" t="s">
        <v>285</v>
      </c>
      <c r="B37" s="329"/>
      <c r="C37" s="329"/>
      <c r="D37" s="265"/>
    </row>
    <row r="38" spans="1:4" ht="13" x14ac:dyDescent="0.3">
      <c r="A38" s="264" t="s">
        <v>261</v>
      </c>
      <c r="B38" s="329"/>
      <c r="C38" s="333"/>
      <c r="D38" s="265"/>
    </row>
    <row r="39" spans="1:4" ht="13" x14ac:dyDescent="0.3">
      <c r="A39" s="268" t="s">
        <v>262</v>
      </c>
      <c r="B39" s="329" t="s">
        <v>286</v>
      </c>
      <c r="C39" s="329" t="s">
        <v>264</v>
      </c>
      <c r="D39" s="266">
        <f>+'Energy use'!C243-D40</f>
        <v>55</v>
      </c>
    </row>
    <row r="40" spans="1:4" ht="13" x14ac:dyDescent="0.3">
      <c r="A40" s="268" t="s">
        <v>265</v>
      </c>
      <c r="B40" s="329" t="s">
        <v>287</v>
      </c>
      <c r="C40" s="329" t="s">
        <v>264</v>
      </c>
      <c r="D40" s="266">
        <f>+'Energy use'!C244++'Energy use'!C249</f>
        <v>24</v>
      </c>
    </row>
    <row r="41" spans="1:4" ht="13" x14ac:dyDescent="0.3">
      <c r="A41" s="264" t="s">
        <v>267</v>
      </c>
      <c r="B41" s="329"/>
      <c r="C41" s="329"/>
      <c r="D41" s="265"/>
    </row>
    <row r="42" spans="1:4" ht="13" x14ac:dyDescent="0.3">
      <c r="A42" s="268" t="str">
        <f t="shared" ref="A42:A43" si="5">A39</f>
        <v>Electricity</v>
      </c>
      <c r="B42" s="329" t="s">
        <v>268</v>
      </c>
      <c r="C42" s="329" t="s">
        <v>269</v>
      </c>
      <c r="D42" s="269">
        <f t="shared" ref="D42:D43" si="6">+D22</f>
        <v>0.6373106018054876</v>
      </c>
    </row>
    <row r="43" spans="1:4" ht="13" x14ac:dyDescent="0.3">
      <c r="A43" s="268" t="str">
        <f t="shared" si="5"/>
        <v>Natural gas</v>
      </c>
      <c r="B43" s="329" t="s">
        <v>270</v>
      </c>
      <c r="C43" s="329" t="s">
        <v>269</v>
      </c>
      <c r="D43" s="266">
        <f t="shared" si="6"/>
        <v>0.23100000000000001</v>
      </c>
    </row>
    <row r="44" spans="1:4" ht="13" x14ac:dyDescent="0.3">
      <c r="A44" s="264" t="s">
        <v>271</v>
      </c>
      <c r="B44" s="329"/>
      <c r="C44" s="329"/>
      <c r="D44" s="265"/>
    </row>
    <row r="45" spans="1:4" ht="13" x14ac:dyDescent="0.3">
      <c r="A45" s="268" t="str">
        <f t="shared" ref="A45:A46" si="7">A42</f>
        <v>Electricity</v>
      </c>
      <c r="B45" s="329" t="s">
        <v>288</v>
      </c>
      <c r="C45" s="329" t="s">
        <v>273</v>
      </c>
      <c r="D45" s="267">
        <f t="shared" ref="D45:D46" si="8">+D39*D42</f>
        <v>35.052083099301818</v>
      </c>
    </row>
    <row r="46" spans="1:4" ht="13" x14ac:dyDescent="0.3">
      <c r="A46" s="268" t="str">
        <f t="shared" si="7"/>
        <v>Natural gas</v>
      </c>
      <c r="B46" s="329" t="s">
        <v>289</v>
      </c>
      <c r="C46" s="329" t="s">
        <v>273</v>
      </c>
      <c r="D46" s="270">
        <f t="shared" si="8"/>
        <v>5.5440000000000005</v>
      </c>
    </row>
    <row r="47" spans="1:4" ht="13" x14ac:dyDescent="0.3">
      <c r="A47" s="268" t="s">
        <v>275</v>
      </c>
      <c r="B47" s="329" t="s">
        <v>290</v>
      </c>
      <c r="C47" s="329" t="s">
        <v>273</v>
      </c>
      <c r="D47" s="270">
        <f>D27-'Input_LC Materials'!H21</f>
        <v>305.93779999999998</v>
      </c>
    </row>
    <row r="48" spans="1:4" ht="13" x14ac:dyDescent="0.3">
      <c r="A48" s="264" t="s">
        <v>277</v>
      </c>
      <c r="B48" s="329"/>
      <c r="C48" s="329"/>
      <c r="D48" s="265"/>
    </row>
    <row r="49" spans="1:5" ht="13" x14ac:dyDescent="0.3">
      <c r="A49" s="268" t="str">
        <f t="shared" ref="A49:A50" si="9">A45</f>
        <v>Electricity</v>
      </c>
      <c r="B49" s="329" t="s">
        <v>291</v>
      </c>
      <c r="C49" s="329" t="s">
        <v>279</v>
      </c>
      <c r="D49" s="267">
        <f>+D45*D14/1000</f>
        <v>7283.0439328549337</v>
      </c>
    </row>
    <row r="50" spans="1:5" ht="13" x14ac:dyDescent="0.3">
      <c r="A50" s="268" t="str">
        <f t="shared" si="9"/>
        <v>Natural gas</v>
      </c>
      <c r="B50" s="329" t="s">
        <v>292</v>
      </c>
      <c r="C50" s="329" t="s">
        <v>279</v>
      </c>
      <c r="D50" s="267">
        <f>+D46*D14/1000</f>
        <v>1151.9200000000003</v>
      </c>
    </row>
    <row r="51" spans="1:5" ht="13" x14ac:dyDescent="0.3">
      <c r="A51" s="268" t="str">
        <f>$A$45</f>
        <v>Electricity</v>
      </c>
      <c r="B51" s="329" t="s">
        <v>293</v>
      </c>
      <c r="C51" s="329" t="str">
        <f>$C$31</f>
        <v>tCO2 over lifetime</v>
      </c>
      <c r="D51" s="267">
        <f t="shared" ref="D51:D52" si="10">D49*$D$15</f>
        <v>109245.658992824</v>
      </c>
    </row>
    <row r="52" spans="1:5" ht="13" x14ac:dyDescent="0.3">
      <c r="A52" s="268" t="str">
        <f>$A$46</f>
        <v>Natural gas</v>
      </c>
      <c r="B52" s="329" t="s">
        <v>294</v>
      </c>
      <c r="C52" s="329" t="str">
        <f>$C$31</f>
        <v>tCO2 over lifetime</v>
      </c>
      <c r="D52" s="267">
        <f t="shared" si="10"/>
        <v>17278.800000000003</v>
      </c>
    </row>
    <row r="53" spans="1:5" ht="13" x14ac:dyDescent="0.3">
      <c r="A53" s="268" t="s">
        <v>275</v>
      </c>
      <c r="B53" s="329" t="s">
        <v>295</v>
      </c>
      <c r="C53" s="329" t="str">
        <f>C$33</f>
        <v>tCO2 over lifetime</v>
      </c>
      <c r="D53" s="267">
        <f>+D47*D14/1000</f>
        <v>63567.076222222218</v>
      </c>
    </row>
    <row r="54" spans="1:5" ht="13.5" thickBot="1" x14ac:dyDescent="0.35">
      <c r="A54" s="325" t="s">
        <v>284</v>
      </c>
      <c r="B54" s="332"/>
      <c r="C54" s="332" t="str">
        <f>C$34</f>
        <v>tCO2 over lifetime</v>
      </c>
      <c r="D54" s="274">
        <f>SUM(D51:D53)</f>
        <v>190091.53521504623</v>
      </c>
      <c r="E54" s="255"/>
    </row>
    <row r="55" spans="1:5" ht="13" thickBot="1" x14ac:dyDescent="0.3">
      <c r="A55" s="255"/>
      <c r="B55" s="330"/>
      <c r="C55" s="330"/>
      <c r="D55" s="255"/>
      <c r="E55" s="255"/>
    </row>
    <row r="56" spans="1:5" ht="13" x14ac:dyDescent="0.3">
      <c r="A56" s="328" t="s">
        <v>250</v>
      </c>
      <c r="B56" s="326"/>
      <c r="C56" s="326"/>
      <c r="D56" s="263"/>
      <c r="E56" s="255"/>
    </row>
    <row r="57" spans="1:5" ht="13" x14ac:dyDescent="0.3">
      <c r="A57" s="264" t="s">
        <v>285</v>
      </c>
      <c r="B57" s="329"/>
      <c r="C57" s="329"/>
      <c r="D57" s="265"/>
      <c r="E57" s="255"/>
    </row>
    <row r="58" spans="1:5" ht="13" x14ac:dyDescent="0.3">
      <c r="A58" s="264" t="s">
        <v>261</v>
      </c>
      <c r="B58" s="329"/>
      <c r="C58" s="329"/>
      <c r="D58" s="265"/>
    </row>
    <row r="59" spans="1:5" ht="13" x14ac:dyDescent="0.3">
      <c r="A59" s="268" t="s">
        <v>262</v>
      </c>
      <c r="B59" s="329" t="s">
        <v>296</v>
      </c>
      <c r="C59" s="329" t="s">
        <v>264</v>
      </c>
      <c r="D59" s="266">
        <f>+'Energy use'!D243-D60</f>
        <v>55</v>
      </c>
    </row>
    <row r="60" spans="1:5" ht="13" x14ac:dyDescent="0.3">
      <c r="A60" s="268" t="s">
        <v>265</v>
      </c>
      <c r="B60" s="329" t="s">
        <v>297</v>
      </c>
      <c r="C60" s="329" t="s">
        <v>264</v>
      </c>
      <c r="D60" s="266">
        <f>+'Energy use'!D244++'Energy use'!D249</f>
        <v>12</v>
      </c>
    </row>
    <row r="61" spans="1:5" ht="13" x14ac:dyDescent="0.3">
      <c r="A61" s="264" t="s">
        <v>267</v>
      </c>
      <c r="B61" s="329"/>
      <c r="C61" s="329"/>
      <c r="D61" s="265"/>
    </row>
    <row r="62" spans="1:5" ht="13" x14ac:dyDescent="0.3">
      <c r="A62" s="268" t="str">
        <f t="shared" ref="A62:A63" si="11">A59</f>
        <v>Electricity</v>
      </c>
      <c r="B62" s="329" t="s">
        <v>268</v>
      </c>
      <c r="C62" s="329" t="s">
        <v>269</v>
      </c>
      <c r="D62" s="269">
        <f t="shared" ref="D62:D63" si="12">+D42</f>
        <v>0.6373106018054876</v>
      </c>
    </row>
    <row r="63" spans="1:5" ht="13" x14ac:dyDescent="0.3">
      <c r="A63" s="268" t="str">
        <f t="shared" si="11"/>
        <v>Natural gas</v>
      </c>
      <c r="B63" s="329" t="s">
        <v>270</v>
      </c>
      <c r="C63" s="329" t="s">
        <v>269</v>
      </c>
      <c r="D63" s="266">
        <f t="shared" si="12"/>
        <v>0.23100000000000001</v>
      </c>
    </row>
    <row r="64" spans="1:5" ht="13" x14ac:dyDescent="0.3">
      <c r="A64" s="264" t="s">
        <v>271</v>
      </c>
      <c r="B64" s="329"/>
      <c r="C64" s="329"/>
      <c r="D64" s="265"/>
    </row>
    <row r="65" spans="1:4" ht="13" x14ac:dyDescent="0.3">
      <c r="A65" s="268" t="str">
        <f t="shared" ref="A65:A66" si="13">A62</f>
        <v>Electricity</v>
      </c>
      <c r="B65" s="329" t="s">
        <v>299</v>
      </c>
      <c r="C65" s="329" t="s">
        <v>273</v>
      </c>
      <c r="D65" s="267">
        <f t="shared" ref="D65:D66" si="14">+D59*D62</f>
        <v>35.052083099301818</v>
      </c>
    </row>
    <row r="66" spans="1:4" ht="13" x14ac:dyDescent="0.3">
      <c r="A66" s="268" t="str">
        <f t="shared" si="13"/>
        <v>Natural gas</v>
      </c>
      <c r="B66" s="329" t="s">
        <v>300</v>
      </c>
      <c r="C66" s="329" t="s">
        <v>273</v>
      </c>
      <c r="D66" s="270">
        <f t="shared" si="14"/>
        <v>2.7720000000000002</v>
      </c>
    </row>
    <row r="67" spans="1:4" ht="13" x14ac:dyDescent="0.3">
      <c r="A67" s="268" t="s">
        <v>275</v>
      </c>
      <c r="B67" s="329" t="s">
        <v>301</v>
      </c>
      <c r="C67" s="329" t="s">
        <v>273</v>
      </c>
      <c r="D67" s="270">
        <f>D47</f>
        <v>305.93779999999998</v>
      </c>
    </row>
    <row r="68" spans="1:4" ht="13" x14ac:dyDescent="0.3">
      <c r="A68" s="264" t="s">
        <v>277</v>
      </c>
      <c r="B68" s="329"/>
      <c r="C68" s="329"/>
      <c r="D68" s="265"/>
    </row>
    <row r="69" spans="1:4" ht="13" x14ac:dyDescent="0.3">
      <c r="A69" s="268" t="str">
        <f t="shared" ref="A69:A70" si="15">A65</f>
        <v>Electricity</v>
      </c>
      <c r="B69" s="329" t="s">
        <v>303</v>
      </c>
      <c r="C69" s="329" t="s">
        <v>279</v>
      </c>
      <c r="D69" s="267">
        <f t="shared" ref="D69:D70" si="16">+D65*$D$14/1000</f>
        <v>7283.0439328549337</v>
      </c>
    </row>
    <row r="70" spans="1:4" ht="13" x14ac:dyDescent="0.3">
      <c r="A70" s="268" t="str">
        <f t="shared" si="15"/>
        <v>Natural gas</v>
      </c>
      <c r="B70" s="329" t="s">
        <v>304</v>
      </c>
      <c r="C70" s="329" t="s">
        <v>279</v>
      </c>
      <c r="D70" s="267">
        <f t="shared" si="16"/>
        <v>575.96000000000015</v>
      </c>
    </row>
    <row r="71" spans="1:4" ht="13" x14ac:dyDescent="0.3">
      <c r="A71" s="268" t="str">
        <f>$A$45</f>
        <v>Electricity</v>
      </c>
      <c r="B71" s="329" t="s">
        <v>305</v>
      </c>
      <c r="C71" s="329" t="str">
        <f>$C$31</f>
        <v>tCO2 over lifetime</v>
      </c>
      <c r="D71" s="267">
        <f t="shared" ref="D71:D72" si="17">D69*$D$15</f>
        <v>109245.658992824</v>
      </c>
    </row>
    <row r="72" spans="1:4" ht="13" x14ac:dyDescent="0.3">
      <c r="A72" s="268" t="str">
        <f>$A$46</f>
        <v>Natural gas</v>
      </c>
      <c r="B72" s="329" t="s">
        <v>306</v>
      </c>
      <c r="C72" s="329" t="str">
        <f>$C$31</f>
        <v>tCO2 over lifetime</v>
      </c>
      <c r="D72" s="267">
        <f t="shared" si="17"/>
        <v>8639.4000000000015</v>
      </c>
    </row>
    <row r="73" spans="1:4" ht="13" x14ac:dyDescent="0.3">
      <c r="A73" s="268" t="s">
        <v>275</v>
      </c>
      <c r="B73" s="329" t="s">
        <v>307</v>
      </c>
      <c r="C73" s="329" t="str">
        <f>C$33</f>
        <v>tCO2 over lifetime</v>
      </c>
      <c r="D73" s="267">
        <f>+D67*$D$14/1000</f>
        <v>63567.076222222218</v>
      </c>
    </row>
    <row r="74" spans="1:4" ht="13.5" thickBot="1" x14ac:dyDescent="0.35">
      <c r="A74" s="325" t="s">
        <v>284</v>
      </c>
      <c r="B74" s="332"/>
      <c r="C74" s="332" t="str">
        <f>C$34</f>
        <v>tCO2 over lifetime</v>
      </c>
      <c r="D74" s="274">
        <f>SUM(D71:D73)</f>
        <v>181452.1352150462</v>
      </c>
    </row>
    <row r="75" spans="1:4" ht="13" thickBot="1" x14ac:dyDescent="0.3">
      <c r="B75" s="330"/>
      <c r="C75" s="330"/>
    </row>
    <row r="76" spans="1:4" ht="13" x14ac:dyDescent="0.3">
      <c r="A76" s="272" t="s">
        <v>308</v>
      </c>
      <c r="B76" s="331"/>
      <c r="C76" s="331"/>
      <c r="D76" s="273"/>
    </row>
    <row r="77" spans="1:4" x14ac:dyDescent="0.25">
      <c r="A77" s="258" t="s">
        <v>262</v>
      </c>
      <c r="B77" s="329" t="s">
        <v>309</v>
      </c>
      <c r="C77" s="334" t="s">
        <v>279</v>
      </c>
      <c r="D77" s="267">
        <f t="shared" ref="D77:D78" si="18">+D29-D49</f>
        <v>2780.798592544611</v>
      </c>
    </row>
    <row r="78" spans="1:4" x14ac:dyDescent="0.25">
      <c r="A78" s="258" t="s">
        <v>265</v>
      </c>
      <c r="B78" s="329" t="s">
        <v>310</v>
      </c>
      <c r="C78" s="329" t="s">
        <v>279</v>
      </c>
      <c r="D78" s="267">
        <f t="shared" si="18"/>
        <v>287.98</v>
      </c>
    </row>
    <row r="79" spans="1:4" x14ac:dyDescent="0.25">
      <c r="A79" s="258" t="s">
        <v>262</v>
      </c>
      <c r="B79" s="329" t="s">
        <v>311</v>
      </c>
      <c r="C79" s="329" t="str">
        <f>$C$31</f>
        <v>tCO2 over lifetime</v>
      </c>
      <c r="D79" s="267">
        <f t="shared" ref="D79:D80" si="19">D77*$D$15</f>
        <v>41711.978888169164</v>
      </c>
    </row>
    <row r="80" spans="1:4" x14ac:dyDescent="0.25">
      <c r="A80" s="258" t="s">
        <v>265</v>
      </c>
      <c r="B80" s="329" t="s">
        <v>312</v>
      </c>
      <c r="C80" s="329" t="str">
        <f>$C$31</f>
        <v>tCO2 over lifetime</v>
      </c>
      <c r="D80" s="267">
        <f t="shared" si="19"/>
        <v>4319.7000000000007</v>
      </c>
    </row>
    <row r="81" spans="1:4" x14ac:dyDescent="0.25">
      <c r="A81" s="258" t="s">
        <v>275</v>
      </c>
      <c r="B81" s="329" t="s">
        <v>313</v>
      </c>
      <c r="C81" s="329" t="str">
        <f>$C$31</f>
        <v>tCO2 over lifetime</v>
      </c>
      <c r="D81" s="267">
        <f>+D33-D53</f>
        <v>17841.503777777769</v>
      </c>
    </row>
    <row r="82" spans="1:4" ht="13.5" thickBot="1" x14ac:dyDescent="0.35">
      <c r="A82" s="275" t="s">
        <v>284</v>
      </c>
      <c r="B82" s="332" t="s">
        <v>314</v>
      </c>
      <c r="C82" s="332" t="str">
        <f>$C$31</f>
        <v>tCO2 over lifetime</v>
      </c>
      <c r="D82" s="274">
        <f>SUM(D79:D81)</f>
        <v>63873.18266594693</v>
      </c>
    </row>
    <row r="83" spans="1:4" ht="13" thickBot="1" x14ac:dyDescent="0.3">
      <c r="B83" s="330"/>
      <c r="C83" s="330"/>
    </row>
    <row r="84" spans="1:4" ht="13" x14ac:dyDescent="0.3">
      <c r="A84" s="272" t="s">
        <v>315</v>
      </c>
      <c r="B84" s="331"/>
      <c r="C84" s="331"/>
      <c r="D84" s="273"/>
    </row>
    <row r="85" spans="1:4" x14ac:dyDescent="0.25">
      <c r="A85" s="258" t="s">
        <v>262</v>
      </c>
      <c r="B85" s="329" t="s">
        <v>316</v>
      </c>
      <c r="C85" s="329" t="s">
        <v>279</v>
      </c>
      <c r="D85" s="267">
        <f t="shared" ref="D85:D86" si="20">+D29-D69</f>
        <v>2780.798592544611</v>
      </c>
    </row>
    <row r="86" spans="1:4" x14ac:dyDescent="0.25">
      <c r="A86" s="258" t="s">
        <v>265</v>
      </c>
      <c r="B86" s="329" t="s">
        <v>317</v>
      </c>
      <c r="C86" s="329" t="s">
        <v>279</v>
      </c>
      <c r="D86" s="267">
        <f t="shared" si="20"/>
        <v>863.94000000000017</v>
      </c>
    </row>
    <row r="87" spans="1:4" x14ac:dyDescent="0.25">
      <c r="A87" s="258" t="s">
        <v>262</v>
      </c>
      <c r="B87" s="329" t="s">
        <v>318</v>
      </c>
      <c r="C87" s="329" t="str">
        <f>$C$31</f>
        <v>tCO2 over lifetime</v>
      </c>
      <c r="D87" s="267">
        <f t="shared" ref="D87:D88" si="21">D85*$D$15</f>
        <v>41711.978888169164</v>
      </c>
    </row>
    <row r="88" spans="1:4" x14ac:dyDescent="0.25">
      <c r="A88" s="258" t="s">
        <v>265</v>
      </c>
      <c r="B88" s="329" t="s">
        <v>319</v>
      </c>
      <c r="C88" s="329" t="str">
        <f>$C$31</f>
        <v>tCO2 over lifetime</v>
      </c>
      <c r="D88" s="267">
        <f t="shared" si="21"/>
        <v>12959.100000000002</v>
      </c>
    </row>
    <row r="89" spans="1:4" x14ac:dyDescent="0.25">
      <c r="A89" s="258" t="s">
        <v>275</v>
      </c>
      <c r="B89" s="329" t="s">
        <v>320</v>
      </c>
      <c r="C89" s="329" t="str">
        <f>$C$31</f>
        <v>tCO2 over lifetime</v>
      </c>
      <c r="D89" s="267">
        <f>+D33-D73</f>
        <v>17841.503777777769</v>
      </c>
    </row>
    <row r="90" spans="1:4" ht="13.5" thickBot="1" x14ac:dyDescent="0.35">
      <c r="A90" s="275" t="s">
        <v>284</v>
      </c>
      <c r="B90" s="332" t="s">
        <v>321</v>
      </c>
      <c r="C90" s="332" t="str">
        <f>$C$31</f>
        <v>tCO2 over lifetime</v>
      </c>
      <c r="D90" s="274">
        <f>SUM(D87:D89)</f>
        <v>72512.582665946946</v>
      </c>
    </row>
    <row r="91" spans="1:4" ht="13" thickBot="1" x14ac:dyDescent="0.3">
      <c r="B91" s="330"/>
      <c r="C91" s="330"/>
    </row>
    <row r="92" spans="1:4" ht="13" x14ac:dyDescent="0.3">
      <c r="A92" s="272" t="s">
        <v>322</v>
      </c>
      <c r="B92" s="331"/>
      <c r="C92" s="331"/>
      <c r="D92" s="273"/>
    </row>
    <row r="93" spans="1:4" x14ac:dyDescent="0.25">
      <c r="A93" s="258" t="s">
        <v>262</v>
      </c>
      <c r="B93" s="329" t="s">
        <v>323</v>
      </c>
      <c r="C93" s="329" t="s">
        <v>279</v>
      </c>
      <c r="D93" s="267">
        <f t="shared" ref="D93:D94" si="22">+AVERAGE(D85,D77)</f>
        <v>2780.798592544611</v>
      </c>
    </row>
    <row r="94" spans="1:4" x14ac:dyDescent="0.25">
      <c r="A94" s="258" t="s">
        <v>265</v>
      </c>
      <c r="B94" s="329" t="s">
        <v>323</v>
      </c>
      <c r="C94" s="329" t="s">
        <v>279</v>
      </c>
      <c r="D94" s="267">
        <f t="shared" si="22"/>
        <v>575.96</v>
      </c>
    </row>
    <row r="95" spans="1:4" x14ac:dyDescent="0.25">
      <c r="A95" s="258" t="s">
        <v>262</v>
      </c>
      <c r="B95" s="329" t="s">
        <v>323</v>
      </c>
      <c r="C95" s="329" t="str">
        <f>$C$31</f>
        <v>tCO2 over lifetime</v>
      </c>
      <c r="D95" s="267">
        <f t="shared" ref="D95:D96" si="23">D93*$D$15</f>
        <v>41711.978888169164</v>
      </c>
    </row>
    <row r="96" spans="1:4" x14ac:dyDescent="0.25">
      <c r="A96" s="258" t="s">
        <v>265</v>
      </c>
      <c r="B96" s="329" t="s">
        <v>323</v>
      </c>
      <c r="C96" s="329" t="str">
        <f>$C$31</f>
        <v>tCO2 over lifetime</v>
      </c>
      <c r="D96" s="267">
        <f t="shared" si="23"/>
        <v>8639.4000000000015</v>
      </c>
    </row>
    <row r="97" spans="1:4" x14ac:dyDescent="0.25">
      <c r="A97" s="258" t="s">
        <v>275</v>
      </c>
      <c r="B97" s="329" t="s">
        <v>323</v>
      </c>
      <c r="C97" s="329" t="str">
        <f>$C$31</f>
        <v>tCO2 over lifetime</v>
      </c>
      <c r="D97" s="267">
        <f>+AVERAGE(D89,D81)</f>
        <v>17841.503777777769</v>
      </c>
    </row>
    <row r="98" spans="1:4" ht="13.5" thickBot="1" x14ac:dyDescent="0.35">
      <c r="A98" s="275" t="s">
        <v>284</v>
      </c>
      <c r="B98" s="332" t="s">
        <v>324</v>
      </c>
      <c r="C98" s="332" t="str">
        <f>$C$31</f>
        <v>tCO2 over lifetime</v>
      </c>
      <c r="D98" s="274">
        <f>SUM(D95:D97)</f>
        <v>68192.882665946934</v>
      </c>
    </row>
    <row r="99" spans="1:4" ht="15.75" customHeight="1" x14ac:dyDescent="0.25"/>
    <row r="100" spans="1:4" ht="15.75" customHeight="1" x14ac:dyDescent="0.25">
      <c r="A100" s="254" t="s">
        <v>709</v>
      </c>
      <c r="D100" s="375">
        <f>D97/D98</f>
        <v>0.2616329311839925</v>
      </c>
    </row>
    <row r="101" spans="1:4" ht="15.75" customHeight="1" x14ac:dyDescent="0.25"/>
    <row r="102" spans="1:4" ht="15.75" customHeight="1" x14ac:dyDescent="0.3">
      <c r="A102" s="398" t="s">
        <v>730</v>
      </c>
    </row>
    <row r="103" spans="1:4" ht="15.75" customHeight="1" thickBot="1" x14ac:dyDescent="0.3"/>
    <row r="104" spans="1:4" ht="15.75" customHeight="1" x14ac:dyDescent="0.3">
      <c r="A104" s="393" t="s">
        <v>728</v>
      </c>
      <c r="B104" s="394" t="str">
        <f>C19</f>
        <v>kWh/m2/yr</v>
      </c>
    </row>
    <row r="105" spans="1:4" ht="15.75" customHeight="1" x14ac:dyDescent="0.3">
      <c r="A105" s="395" t="s">
        <v>172</v>
      </c>
      <c r="B105" s="265"/>
    </row>
    <row r="106" spans="1:4" ht="15.75" customHeight="1" x14ac:dyDescent="0.25">
      <c r="A106" s="260" t="s">
        <v>726</v>
      </c>
      <c r="B106" s="265">
        <f>D19</f>
        <v>76</v>
      </c>
    </row>
    <row r="107" spans="1:4" ht="15.75" customHeight="1" x14ac:dyDescent="0.25">
      <c r="A107" s="260" t="s">
        <v>727</v>
      </c>
      <c r="B107" s="265">
        <f>D20</f>
        <v>30</v>
      </c>
    </row>
    <row r="108" spans="1:4" ht="15.75" customHeight="1" x14ac:dyDescent="0.3">
      <c r="A108" s="396" t="s">
        <v>249</v>
      </c>
      <c r="B108" s="265"/>
    </row>
    <row r="109" spans="1:4" ht="15.75" customHeight="1" x14ac:dyDescent="0.25">
      <c r="A109" s="260" t="s">
        <v>726</v>
      </c>
      <c r="B109" s="265">
        <f>D39</f>
        <v>55</v>
      </c>
    </row>
    <row r="110" spans="1:4" ht="15.75" customHeight="1" x14ac:dyDescent="0.25">
      <c r="A110" s="260" t="s">
        <v>727</v>
      </c>
      <c r="B110" s="265">
        <f>D40</f>
        <v>24</v>
      </c>
    </row>
    <row r="111" spans="1:4" ht="15.75" customHeight="1" x14ac:dyDescent="0.3">
      <c r="A111" s="396" t="s">
        <v>250</v>
      </c>
      <c r="B111" s="265"/>
    </row>
    <row r="112" spans="1:4" ht="15.75" customHeight="1" x14ac:dyDescent="0.25">
      <c r="A112" s="260" t="s">
        <v>726</v>
      </c>
      <c r="B112" s="265">
        <f>D59</f>
        <v>55</v>
      </c>
    </row>
    <row r="113" spans="1:2" ht="15.75" customHeight="1" x14ac:dyDescent="0.25">
      <c r="A113" s="260" t="s">
        <v>727</v>
      </c>
      <c r="B113" s="265">
        <f>D60</f>
        <v>12</v>
      </c>
    </row>
    <row r="114" spans="1:2" ht="15.75" customHeight="1" x14ac:dyDescent="0.3">
      <c r="A114" s="396" t="s">
        <v>731</v>
      </c>
      <c r="B114" s="265"/>
    </row>
    <row r="115" spans="1:2" ht="15.75" customHeight="1" x14ac:dyDescent="0.25">
      <c r="A115" s="260" t="s">
        <v>726</v>
      </c>
      <c r="B115" s="265">
        <f>AVERAGE(B109,B112)</f>
        <v>55</v>
      </c>
    </row>
    <row r="116" spans="1:2" ht="15.75" customHeight="1" thickBot="1" x14ac:dyDescent="0.3">
      <c r="A116" s="261" t="s">
        <v>727</v>
      </c>
      <c r="B116" s="397">
        <f>AVERAGE(B110,B113)</f>
        <v>18</v>
      </c>
    </row>
    <row r="117" spans="1:2" ht="15.75" customHeight="1" thickBot="1" x14ac:dyDescent="0.3"/>
    <row r="118" spans="1:2" ht="15.75" customHeight="1" x14ac:dyDescent="0.3">
      <c r="A118" s="393" t="s">
        <v>729</v>
      </c>
      <c r="B118" s="394" t="s">
        <v>725</v>
      </c>
    </row>
    <row r="119" spans="1:2" ht="15.75" customHeight="1" x14ac:dyDescent="0.3">
      <c r="A119" s="395" t="s">
        <v>172</v>
      </c>
      <c r="B119" s="265"/>
    </row>
    <row r="120" spans="1:2" ht="15.75" customHeight="1" x14ac:dyDescent="0.25">
      <c r="A120" s="260" t="s">
        <v>726</v>
      </c>
      <c r="B120" s="259">
        <f>B106*D14/1000</f>
        <v>15791.111111111111</v>
      </c>
    </row>
    <row r="121" spans="1:2" ht="15.75" customHeight="1" x14ac:dyDescent="0.25">
      <c r="A121" s="260" t="s">
        <v>727</v>
      </c>
      <c r="B121" s="259">
        <f>B107*D14/1000</f>
        <v>6233.333333333333</v>
      </c>
    </row>
    <row r="122" spans="1:2" ht="15.75" customHeight="1" x14ac:dyDescent="0.3">
      <c r="A122" s="396" t="s">
        <v>731</v>
      </c>
      <c r="B122" s="265"/>
    </row>
    <row r="123" spans="1:2" ht="15.75" customHeight="1" x14ac:dyDescent="0.25">
      <c r="A123" s="260" t="s">
        <v>726</v>
      </c>
      <c r="B123" s="259">
        <f>B115*D14/1000</f>
        <v>11427.777777777777</v>
      </c>
    </row>
    <row r="124" spans="1:2" ht="15.75" customHeight="1" thickBot="1" x14ac:dyDescent="0.3">
      <c r="A124" s="261" t="s">
        <v>727</v>
      </c>
      <c r="B124" s="262">
        <f>B116*D14/1000</f>
        <v>3740</v>
      </c>
    </row>
    <row r="125" spans="1:2" ht="15.75" customHeight="1" thickBot="1" x14ac:dyDescent="0.3">
      <c r="B125" s="392"/>
    </row>
    <row r="126" spans="1:2" ht="15.75" customHeight="1" x14ac:dyDescent="0.3">
      <c r="A126" s="393" t="s">
        <v>732</v>
      </c>
      <c r="B126" s="394" t="s">
        <v>725</v>
      </c>
    </row>
    <row r="127" spans="1:2" ht="15.75" customHeight="1" x14ac:dyDescent="0.3">
      <c r="A127" s="396" t="s">
        <v>731</v>
      </c>
      <c r="B127" s="399"/>
    </row>
    <row r="128" spans="1:2" ht="15.75" customHeight="1" x14ac:dyDescent="0.25">
      <c r="A128" s="260" t="s">
        <v>726</v>
      </c>
      <c r="B128" s="259">
        <f>B120-B123</f>
        <v>4363.3333333333339</v>
      </c>
    </row>
    <row r="129" spans="1:2" ht="15.75" customHeight="1" thickBot="1" x14ac:dyDescent="0.3">
      <c r="A129" s="261" t="s">
        <v>727</v>
      </c>
      <c r="B129" s="262">
        <f>B121-B124</f>
        <v>2493.333333333333</v>
      </c>
    </row>
    <row r="130" spans="1:2" ht="15.75" customHeight="1" x14ac:dyDescent="0.25"/>
    <row r="131" spans="1:2" ht="15.75" customHeight="1" x14ac:dyDescent="0.25"/>
    <row r="132" spans="1:2" ht="15.75" customHeight="1" x14ac:dyDescent="0.25"/>
    <row r="133" spans="1:2" ht="15.75" customHeight="1" x14ac:dyDescent="0.25"/>
    <row r="134" spans="1:2" ht="15.75" customHeight="1" x14ac:dyDescent="0.25"/>
    <row r="135" spans="1:2" ht="15.75" customHeight="1" x14ac:dyDescent="0.25"/>
    <row r="136" spans="1:2" ht="15.75" customHeight="1" x14ac:dyDescent="0.25"/>
    <row r="137" spans="1:2" ht="15.75" customHeight="1" x14ac:dyDescent="0.25"/>
    <row r="138" spans="1:2" ht="15.75" customHeight="1" x14ac:dyDescent="0.25"/>
    <row r="139" spans="1:2" ht="15.75" customHeight="1" x14ac:dyDescent="0.25"/>
    <row r="140" spans="1:2" ht="15.75" customHeight="1" x14ac:dyDescent="0.25"/>
    <row r="141" spans="1:2" ht="15.75" customHeight="1" x14ac:dyDescent="0.25"/>
    <row r="142" spans="1:2" ht="15.75" customHeight="1" x14ac:dyDescent="0.25"/>
    <row r="143" spans="1:2" ht="15.75" customHeight="1" x14ac:dyDescent="0.25"/>
    <row r="144" spans="1:2"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row r="1010" ht="15.75" customHeight="1" x14ac:dyDescent="0.25"/>
  </sheetData>
  <pageMargins left="0.7" right="0.7" top="0.75" bottom="0.75" header="0" footer="0"/>
  <pageSetup orientation="landscape"/>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10"/>
  <sheetViews>
    <sheetView topLeftCell="A101" workbookViewId="0">
      <selection activeCell="A102" sqref="A102:B129"/>
    </sheetView>
  </sheetViews>
  <sheetFormatPr baseColWidth="10" defaultColWidth="12.58203125" defaultRowHeight="12.5" x14ac:dyDescent="0.25"/>
  <cols>
    <col min="1" max="1" width="43.58203125" style="254" customWidth="1"/>
    <col min="2" max="2" width="22.58203125" style="254" customWidth="1"/>
    <col min="3" max="3" width="17" style="327" customWidth="1"/>
    <col min="4" max="4" width="16" style="254" customWidth="1"/>
    <col min="5" max="26" width="9.33203125" style="254" customWidth="1"/>
    <col min="27" max="16384" width="12.58203125" style="254"/>
  </cols>
  <sheetData>
    <row r="1" spans="1:4" ht="13" x14ac:dyDescent="0.3">
      <c r="A1" s="253" t="s">
        <v>664</v>
      </c>
    </row>
    <row r="2" spans="1:4" ht="15" customHeight="1" x14ac:dyDescent="0.25"/>
    <row r="3" spans="1:4" ht="13.5" thickBot="1" x14ac:dyDescent="0.35">
      <c r="A3" s="253" t="s">
        <v>601</v>
      </c>
      <c r="B3" s="255"/>
    </row>
    <row r="4" spans="1:4" x14ac:dyDescent="0.25">
      <c r="A4" s="256" t="s">
        <v>603</v>
      </c>
      <c r="B4" s="257">
        <f>D34</f>
        <v>27355.346660498359</v>
      </c>
    </row>
    <row r="5" spans="1:4" x14ac:dyDescent="0.25">
      <c r="A5" s="258" t="s">
        <v>604</v>
      </c>
      <c r="B5" s="259">
        <f>D54</f>
        <v>18732.945537811473</v>
      </c>
    </row>
    <row r="6" spans="1:4" x14ac:dyDescent="0.25">
      <c r="A6" s="260" t="s">
        <v>605</v>
      </c>
      <c r="B6" s="259">
        <f>D74</f>
        <v>15994.523921946686</v>
      </c>
    </row>
    <row r="7" spans="1:4" x14ac:dyDescent="0.25">
      <c r="A7" s="260" t="s">
        <v>308</v>
      </c>
      <c r="B7" s="259">
        <f>D82</f>
        <v>8622.4011226868843</v>
      </c>
    </row>
    <row r="8" spans="1:4" x14ac:dyDescent="0.25">
      <c r="A8" s="260" t="s">
        <v>315</v>
      </c>
      <c r="B8" s="259">
        <f>D90</f>
        <v>11360.822738551673</v>
      </c>
    </row>
    <row r="9" spans="1:4" ht="13" thickBot="1" x14ac:dyDescent="0.3">
      <c r="A9" s="261" t="s">
        <v>322</v>
      </c>
      <c r="B9" s="262">
        <f>D98</f>
        <v>9991.6119306192777</v>
      </c>
    </row>
    <row r="10" spans="1:4" ht="13" thickBot="1" x14ac:dyDescent="0.3"/>
    <row r="11" spans="1:4" ht="13" x14ac:dyDescent="0.3">
      <c r="A11" s="328" t="s">
        <v>600</v>
      </c>
      <c r="B11" s="326" t="s">
        <v>253</v>
      </c>
      <c r="C11" s="326" t="s">
        <v>254</v>
      </c>
      <c r="D11" s="263" t="s">
        <v>255</v>
      </c>
    </row>
    <row r="12" spans="1:4" ht="13" x14ac:dyDescent="0.3">
      <c r="A12" s="264" t="s">
        <v>47</v>
      </c>
      <c r="B12" s="329"/>
      <c r="C12" s="329"/>
      <c r="D12" s="265"/>
    </row>
    <row r="13" spans="1:4" x14ac:dyDescent="0.25">
      <c r="A13" s="258" t="s">
        <v>256</v>
      </c>
      <c r="B13" s="329"/>
      <c r="C13" s="329"/>
      <c r="D13" s="266" t="str">
        <f>+'Input_Area and Costs'!A8</f>
        <v>Offices</v>
      </c>
    </row>
    <row r="14" spans="1:4" x14ac:dyDescent="0.25">
      <c r="A14" s="258" t="s">
        <v>247</v>
      </c>
      <c r="B14" s="329" t="s">
        <v>257</v>
      </c>
      <c r="C14" s="329" t="s">
        <v>251</v>
      </c>
      <c r="D14" s="267">
        <f>+'Input_Area and Costs'!I8</f>
        <v>15000</v>
      </c>
    </row>
    <row r="15" spans="1:4" x14ac:dyDescent="0.25">
      <c r="A15" s="258" t="s">
        <v>258</v>
      </c>
      <c r="B15" s="329" t="s">
        <v>259</v>
      </c>
      <c r="C15" s="329" t="s">
        <v>260</v>
      </c>
      <c r="D15" s="267">
        <f>'General Inputs&amp;Outputs'!$C$12</f>
        <v>15</v>
      </c>
    </row>
    <row r="16" spans="1:4" x14ac:dyDescent="0.25">
      <c r="A16" s="254" t="s">
        <v>172</v>
      </c>
      <c r="B16" s="329"/>
      <c r="C16" s="329"/>
      <c r="D16" s="265"/>
    </row>
    <row r="17" spans="1:4" ht="13" x14ac:dyDescent="0.3">
      <c r="A17" s="264" t="s">
        <v>285</v>
      </c>
      <c r="B17" s="329"/>
      <c r="C17" s="329"/>
      <c r="D17" s="265"/>
    </row>
    <row r="18" spans="1:4" ht="13" x14ac:dyDescent="0.3">
      <c r="A18" s="264" t="s">
        <v>261</v>
      </c>
      <c r="B18" s="329"/>
      <c r="C18" s="333"/>
      <c r="D18" s="265"/>
    </row>
    <row r="19" spans="1:4" ht="13" x14ac:dyDescent="0.3">
      <c r="A19" s="268" t="s">
        <v>262</v>
      </c>
      <c r="B19" s="329" t="s">
        <v>263</v>
      </c>
      <c r="C19" s="329" t="s">
        <v>264</v>
      </c>
      <c r="D19" s="266">
        <f>+'Energy use'!B601</f>
        <v>200</v>
      </c>
    </row>
    <row r="20" spans="1:4" ht="13" x14ac:dyDescent="0.3">
      <c r="A20" s="268" t="s">
        <v>265</v>
      </c>
      <c r="B20" s="329" t="s">
        <v>266</v>
      </c>
      <c r="C20" s="329" t="s">
        <v>264</v>
      </c>
      <c r="D20" s="266">
        <v>0</v>
      </c>
    </row>
    <row r="21" spans="1:4" ht="13" x14ac:dyDescent="0.3">
      <c r="A21" s="264" t="s">
        <v>267</v>
      </c>
      <c r="B21" s="329"/>
      <c r="C21" s="333"/>
      <c r="D21" s="265"/>
    </row>
    <row r="22" spans="1:4" ht="13" x14ac:dyDescent="0.3">
      <c r="A22" s="268" t="str">
        <f t="shared" ref="A22:A23" si="0">A19</f>
        <v>Electricity</v>
      </c>
      <c r="B22" s="329" t="s">
        <v>268</v>
      </c>
      <c r="C22" s="329" t="s">
        <v>269</v>
      </c>
      <c r="D22" s="269">
        <f>+'Input_Energy Context'!I12</f>
        <v>0.46810625912218568</v>
      </c>
    </row>
    <row r="23" spans="1:4" ht="13" x14ac:dyDescent="0.3">
      <c r="A23" s="268" t="str">
        <f t="shared" si="0"/>
        <v>Natural gas</v>
      </c>
      <c r="B23" s="329" t="s">
        <v>270</v>
      </c>
      <c r="C23" s="329" t="s">
        <v>269</v>
      </c>
      <c r="D23" s="266">
        <f>+'Input_Energy Context'!B13</f>
        <v>0.23100000000000001</v>
      </c>
    </row>
    <row r="24" spans="1:4" ht="13" x14ac:dyDescent="0.3">
      <c r="A24" s="264" t="s">
        <v>271</v>
      </c>
      <c r="B24" s="329"/>
      <c r="C24" s="333"/>
      <c r="D24" s="265"/>
    </row>
    <row r="25" spans="1:4" ht="13" x14ac:dyDescent="0.3">
      <c r="A25" s="268" t="str">
        <f t="shared" ref="A25:A26" si="1">A22</f>
        <v>Electricity</v>
      </c>
      <c r="B25" s="329" t="s">
        <v>272</v>
      </c>
      <c r="C25" s="329" t="s">
        <v>273</v>
      </c>
      <c r="D25" s="270">
        <f t="shared" ref="D25:D26" si="2">+D19*D22</f>
        <v>93.621251824437138</v>
      </c>
    </row>
    <row r="26" spans="1:4" ht="13" x14ac:dyDescent="0.3">
      <c r="A26" s="268" t="str">
        <f t="shared" si="1"/>
        <v>Natural gas</v>
      </c>
      <c r="B26" s="329" t="s">
        <v>274</v>
      </c>
      <c r="C26" s="329" t="s">
        <v>273</v>
      </c>
      <c r="D26" s="270">
        <f t="shared" si="2"/>
        <v>0</v>
      </c>
    </row>
    <row r="27" spans="1:4" ht="13" x14ac:dyDescent="0.3">
      <c r="A27" s="268" t="s">
        <v>275</v>
      </c>
      <c r="B27" s="329" t="s">
        <v>276</v>
      </c>
      <c r="C27" s="329" t="s">
        <v>273</v>
      </c>
      <c r="D27" s="270">
        <f>'Input_LC Materials'!I25/'Input_LC Materials'!E9</f>
        <v>419.37099999999998</v>
      </c>
    </row>
    <row r="28" spans="1:4" ht="13" x14ac:dyDescent="0.3">
      <c r="A28" s="264" t="s">
        <v>277</v>
      </c>
      <c r="B28" s="329"/>
      <c r="C28" s="333"/>
      <c r="D28" s="265"/>
    </row>
    <row r="29" spans="1:4" ht="13" x14ac:dyDescent="0.3">
      <c r="A29" s="268" t="str">
        <f t="shared" ref="A29:A30" si="3">A25</f>
        <v>Electricity</v>
      </c>
      <c r="B29" s="329" t="s">
        <v>278</v>
      </c>
      <c r="C29" s="329" t="s">
        <v>279</v>
      </c>
      <c r="D29" s="267">
        <f>+D25*D14/1000</f>
        <v>1404.3187773665572</v>
      </c>
    </row>
    <row r="30" spans="1:4" ht="13" x14ac:dyDescent="0.3">
      <c r="A30" s="268" t="str">
        <f t="shared" si="3"/>
        <v>Natural gas</v>
      </c>
      <c r="B30" s="329" t="s">
        <v>280</v>
      </c>
      <c r="C30" s="329" t="s">
        <v>279</v>
      </c>
      <c r="D30" s="267">
        <f>+D26*D14/1000</f>
        <v>0</v>
      </c>
    </row>
    <row r="31" spans="1:4" ht="13" x14ac:dyDescent="0.3">
      <c r="A31" s="268" t="str">
        <f>$A$25</f>
        <v>Electricity</v>
      </c>
      <c r="B31" s="329" t="s">
        <v>281</v>
      </c>
      <c r="C31" s="329" t="s">
        <v>577</v>
      </c>
      <c r="D31" s="267">
        <f t="shared" ref="D31:D32" si="4">D29*$D$15</f>
        <v>21064.78166049836</v>
      </c>
    </row>
    <row r="32" spans="1:4" ht="13" x14ac:dyDescent="0.3">
      <c r="A32" s="268" t="str">
        <f>$A$26</f>
        <v>Natural gas</v>
      </c>
      <c r="B32" s="329" t="s">
        <v>282</v>
      </c>
      <c r="C32" s="329" t="s">
        <v>577</v>
      </c>
      <c r="D32" s="267">
        <f t="shared" si="4"/>
        <v>0</v>
      </c>
    </row>
    <row r="33" spans="1:4" ht="13" x14ac:dyDescent="0.3">
      <c r="A33" s="268" t="s">
        <v>275</v>
      </c>
      <c r="B33" s="329" t="s">
        <v>283</v>
      </c>
      <c r="C33" s="329" t="s">
        <v>577</v>
      </c>
      <c r="D33" s="267">
        <f>+D27*D14/1000</f>
        <v>6290.5649999999996</v>
      </c>
    </row>
    <row r="34" spans="1:4" ht="13.5" thickBot="1" x14ac:dyDescent="0.35">
      <c r="A34" s="325" t="s">
        <v>284</v>
      </c>
      <c r="B34" s="332"/>
      <c r="C34" s="332" t="s">
        <v>577</v>
      </c>
      <c r="D34" s="274">
        <f>SUM(D31:D33)</f>
        <v>27355.346660498359</v>
      </c>
    </row>
    <row r="35" spans="1:4" ht="13" thickBot="1" x14ac:dyDescent="0.3">
      <c r="B35" s="330"/>
      <c r="C35" s="330"/>
    </row>
    <row r="36" spans="1:4" ht="13" x14ac:dyDescent="0.3">
      <c r="A36" s="328" t="s">
        <v>249</v>
      </c>
      <c r="B36" s="326"/>
      <c r="C36" s="326"/>
      <c r="D36" s="263"/>
    </row>
    <row r="37" spans="1:4" ht="13" x14ac:dyDescent="0.3">
      <c r="A37" s="264" t="s">
        <v>285</v>
      </c>
      <c r="B37" s="329"/>
      <c r="C37" s="329"/>
      <c r="D37" s="265"/>
    </row>
    <row r="38" spans="1:4" ht="13" x14ac:dyDescent="0.3">
      <c r="A38" s="264" t="s">
        <v>261</v>
      </c>
      <c r="B38" s="329"/>
      <c r="C38" s="333"/>
      <c r="D38" s="265"/>
    </row>
    <row r="39" spans="1:4" ht="13" x14ac:dyDescent="0.3">
      <c r="A39" s="268" t="s">
        <v>262</v>
      </c>
      <c r="B39" s="329" t="s">
        <v>286</v>
      </c>
      <c r="C39" s="329" t="s">
        <v>264</v>
      </c>
      <c r="D39" s="266">
        <f>+'Energy use'!C601</f>
        <v>125</v>
      </c>
    </row>
    <row r="40" spans="1:4" ht="13" x14ac:dyDescent="0.3">
      <c r="A40" s="268" t="s">
        <v>265</v>
      </c>
      <c r="B40" s="329" t="s">
        <v>287</v>
      </c>
      <c r="C40" s="329" t="s">
        <v>264</v>
      </c>
      <c r="D40" s="266">
        <v>0</v>
      </c>
    </row>
    <row r="41" spans="1:4" ht="13" x14ac:dyDescent="0.3">
      <c r="A41" s="264" t="s">
        <v>267</v>
      </c>
      <c r="B41" s="329"/>
      <c r="C41" s="329"/>
      <c r="D41" s="265"/>
    </row>
    <row r="42" spans="1:4" ht="13" x14ac:dyDescent="0.3">
      <c r="A42" s="268" t="str">
        <f t="shared" ref="A42:A43" si="5">A39</f>
        <v>Electricity</v>
      </c>
      <c r="B42" s="329" t="s">
        <v>268</v>
      </c>
      <c r="C42" s="329" t="s">
        <v>269</v>
      </c>
      <c r="D42" s="269">
        <f t="shared" ref="D42:D43" si="6">+D22</f>
        <v>0.46810625912218568</v>
      </c>
    </row>
    <row r="43" spans="1:4" ht="13" x14ac:dyDescent="0.3">
      <c r="A43" s="268" t="str">
        <f t="shared" si="5"/>
        <v>Natural gas</v>
      </c>
      <c r="B43" s="329" t="s">
        <v>270</v>
      </c>
      <c r="C43" s="329" t="s">
        <v>269</v>
      </c>
      <c r="D43" s="266">
        <f t="shared" si="6"/>
        <v>0.23100000000000001</v>
      </c>
    </row>
    <row r="44" spans="1:4" ht="13" x14ac:dyDescent="0.3">
      <c r="A44" s="264" t="s">
        <v>271</v>
      </c>
      <c r="B44" s="329"/>
      <c r="C44" s="329"/>
      <c r="D44" s="265"/>
    </row>
    <row r="45" spans="1:4" ht="13" x14ac:dyDescent="0.3">
      <c r="A45" s="268" t="str">
        <f t="shared" ref="A45:A46" si="7">A42</f>
        <v>Electricity</v>
      </c>
      <c r="B45" s="329" t="s">
        <v>288</v>
      </c>
      <c r="C45" s="329" t="s">
        <v>273</v>
      </c>
      <c r="D45" s="267">
        <f t="shared" ref="D45:D46" si="8">+D39*D42</f>
        <v>58.513282390273211</v>
      </c>
    </row>
    <row r="46" spans="1:4" ht="13" x14ac:dyDescent="0.3">
      <c r="A46" s="268" t="str">
        <f t="shared" si="7"/>
        <v>Natural gas</v>
      </c>
      <c r="B46" s="329" t="s">
        <v>289</v>
      </c>
      <c r="C46" s="329" t="s">
        <v>273</v>
      </c>
      <c r="D46" s="270">
        <f t="shared" si="8"/>
        <v>0</v>
      </c>
    </row>
    <row r="47" spans="1:4" ht="13" x14ac:dyDescent="0.3">
      <c r="A47" s="268" t="s">
        <v>275</v>
      </c>
      <c r="B47" s="329" t="s">
        <v>290</v>
      </c>
      <c r="C47" s="329" t="s">
        <v>273</v>
      </c>
      <c r="D47" s="270">
        <f>D27-'Input_LC Materials'!I25</f>
        <v>371.16379999999998</v>
      </c>
    </row>
    <row r="48" spans="1:4" ht="13" x14ac:dyDescent="0.3">
      <c r="A48" s="264" t="s">
        <v>277</v>
      </c>
      <c r="B48" s="329"/>
      <c r="C48" s="329"/>
      <c r="D48" s="265"/>
    </row>
    <row r="49" spans="1:5" ht="13" x14ac:dyDescent="0.3">
      <c r="A49" s="268" t="str">
        <f t="shared" ref="A49:A50" si="9">A45</f>
        <v>Electricity</v>
      </c>
      <c r="B49" s="329" t="s">
        <v>291</v>
      </c>
      <c r="C49" s="329" t="s">
        <v>279</v>
      </c>
      <c r="D49" s="267">
        <f>+D45*D14/1000</f>
        <v>877.69923585409822</v>
      </c>
    </row>
    <row r="50" spans="1:5" ht="13" x14ac:dyDescent="0.3">
      <c r="A50" s="268" t="str">
        <f t="shared" si="9"/>
        <v>Natural gas</v>
      </c>
      <c r="B50" s="329" t="s">
        <v>292</v>
      </c>
      <c r="C50" s="329" t="s">
        <v>279</v>
      </c>
      <c r="D50" s="267">
        <f>+D46*D14/1000</f>
        <v>0</v>
      </c>
    </row>
    <row r="51" spans="1:5" ht="13" x14ac:dyDescent="0.3">
      <c r="A51" s="268" t="str">
        <f>$A$45</f>
        <v>Electricity</v>
      </c>
      <c r="B51" s="329" t="s">
        <v>293</v>
      </c>
      <c r="C51" s="329" t="str">
        <f>$C$31</f>
        <v>tCO2 over lifetime</v>
      </c>
      <c r="D51" s="267">
        <f t="shared" ref="D51:D52" si="10">D49*$D$15</f>
        <v>13165.488537811474</v>
      </c>
    </row>
    <row r="52" spans="1:5" ht="13" x14ac:dyDescent="0.3">
      <c r="A52" s="268" t="str">
        <f>$A$46</f>
        <v>Natural gas</v>
      </c>
      <c r="B52" s="329" t="s">
        <v>294</v>
      </c>
      <c r="C52" s="329" t="str">
        <f>$C$31</f>
        <v>tCO2 over lifetime</v>
      </c>
      <c r="D52" s="267">
        <f t="shared" si="10"/>
        <v>0</v>
      </c>
    </row>
    <row r="53" spans="1:5" ht="13" x14ac:dyDescent="0.3">
      <c r="A53" s="268" t="s">
        <v>275</v>
      </c>
      <c r="B53" s="329" t="s">
        <v>295</v>
      </c>
      <c r="C53" s="329" t="str">
        <f>C$33</f>
        <v>tCO2 over lifetime</v>
      </c>
      <c r="D53" s="267">
        <f>+D47*D14/1000</f>
        <v>5567.4570000000003</v>
      </c>
    </row>
    <row r="54" spans="1:5" ht="13.5" thickBot="1" x14ac:dyDescent="0.35">
      <c r="A54" s="325" t="s">
        <v>284</v>
      </c>
      <c r="B54" s="332"/>
      <c r="C54" s="332" t="str">
        <f>C$34</f>
        <v>tCO2 over lifetime</v>
      </c>
      <c r="D54" s="274">
        <f>SUM(D51:D53)</f>
        <v>18732.945537811473</v>
      </c>
      <c r="E54" s="255"/>
    </row>
    <row r="55" spans="1:5" ht="13" thickBot="1" x14ac:dyDescent="0.3">
      <c r="A55" s="255"/>
      <c r="B55" s="330"/>
      <c r="C55" s="330"/>
      <c r="D55" s="255"/>
      <c r="E55" s="255"/>
    </row>
    <row r="56" spans="1:5" ht="13" x14ac:dyDescent="0.3">
      <c r="A56" s="328" t="s">
        <v>250</v>
      </c>
      <c r="B56" s="326"/>
      <c r="C56" s="326"/>
      <c r="D56" s="263"/>
      <c r="E56" s="255"/>
    </row>
    <row r="57" spans="1:5" ht="13" x14ac:dyDescent="0.3">
      <c r="A57" s="264" t="s">
        <v>285</v>
      </c>
      <c r="B57" s="329"/>
      <c r="C57" s="329"/>
      <c r="D57" s="265"/>
      <c r="E57" s="255"/>
    </row>
    <row r="58" spans="1:5" ht="13" x14ac:dyDescent="0.3">
      <c r="A58" s="264" t="s">
        <v>261</v>
      </c>
      <c r="B58" s="329"/>
      <c r="C58" s="329"/>
      <c r="D58" s="265"/>
    </row>
    <row r="59" spans="1:5" ht="13" x14ac:dyDescent="0.3">
      <c r="A59" s="268" t="s">
        <v>262</v>
      </c>
      <c r="B59" s="329" t="s">
        <v>296</v>
      </c>
      <c r="C59" s="329" t="s">
        <v>264</v>
      </c>
      <c r="D59" s="266">
        <f>+'Energy use'!D601</f>
        <v>99</v>
      </c>
    </row>
    <row r="60" spans="1:5" ht="13" x14ac:dyDescent="0.3">
      <c r="A60" s="268" t="s">
        <v>265</v>
      </c>
      <c r="B60" s="329" t="s">
        <v>297</v>
      </c>
      <c r="C60" s="329" t="s">
        <v>264</v>
      </c>
      <c r="D60" s="266">
        <v>0</v>
      </c>
    </row>
    <row r="61" spans="1:5" ht="13" x14ac:dyDescent="0.3">
      <c r="A61" s="264" t="s">
        <v>267</v>
      </c>
      <c r="B61" s="329"/>
      <c r="C61" s="329"/>
      <c r="D61" s="265"/>
    </row>
    <row r="62" spans="1:5" ht="13" x14ac:dyDescent="0.3">
      <c r="A62" s="268" t="str">
        <f t="shared" ref="A62:A63" si="11">A59</f>
        <v>Electricity</v>
      </c>
      <c r="B62" s="329" t="s">
        <v>268</v>
      </c>
      <c r="C62" s="329" t="s">
        <v>269</v>
      </c>
      <c r="D62" s="269">
        <f t="shared" ref="D62:D63" si="12">+D42</f>
        <v>0.46810625912218568</v>
      </c>
    </row>
    <row r="63" spans="1:5" ht="13" x14ac:dyDescent="0.3">
      <c r="A63" s="268" t="str">
        <f t="shared" si="11"/>
        <v>Natural gas</v>
      </c>
      <c r="B63" s="329" t="s">
        <v>270</v>
      </c>
      <c r="C63" s="329" t="s">
        <v>269</v>
      </c>
      <c r="D63" s="266">
        <f t="shared" si="12"/>
        <v>0.23100000000000001</v>
      </c>
    </row>
    <row r="64" spans="1:5" ht="13" x14ac:dyDescent="0.3">
      <c r="A64" s="264" t="s">
        <v>271</v>
      </c>
      <c r="B64" s="329"/>
      <c r="C64" s="329"/>
      <c r="D64" s="265"/>
    </row>
    <row r="65" spans="1:4" ht="13" x14ac:dyDescent="0.3">
      <c r="A65" s="268" t="str">
        <f t="shared" ref="A65:A66" si="13">A62</f>
        <v>Electricity</v>
      </c>
      <c r="B65" s="329" t="s">
        <v>299</v>
      </c>
      <c r="C65" s="329" t="s">
        <v>273</v>
      </c>
      <c r="D65" s="267">
        <f t="shared" ref="D65:D66" si="14">+D59*D62</f>
        <v>46.342519653096382</v>
      </c>
    </row>
    <row r="66" spans="1:4" ht="13" x14ac:dyDescent="0.3">
      <c r="A66" s="268" t="str">
        <f t="shared" si="13"/>
        <v>Natural gas</v>
      </c>
      <c r="B66" s="329" t="s">
        <v>300</v>
      </c>
      <c r="C66" s="329" t="s">
        <v>273</v>
      </c>
      <c r="D66" s="270">
        <f t="shared" si="14"/>
        <v>0</v>
      </c>
    </row>
    <row r="67" spans="1:4" ht="13" x14ac:dyDescent="0.3">
      <c r="A67" s="268" t="s">
        <v>275</v>
      </c>
      <c r="B67" s="329" t="s">
        <v>301</v>
      </c>
      <c r="C67" s="329" t="s">
        <v>273</v>
      </c>
      <c r="D67" s="270">
        <f>D47</f>
        <v>371.16379999999998</v>
      </c>
    </row>
    <row r="68" spans="1:4" ht="13" x14ac:dyDescent="0.3">
      <c r="A68" s="264" t="s">
        <v>277</v>
      </c>
      <c r="B68" s="329"/>
      <c r="C68" s="329"/>
      <c r="D68" s="265"/>
    </row>
    <row r="69" spans="1:4" ht="13" x14ac:dyDescent="0.3">
      <c r="A69" s="268" t="str">
        <f t="shared" ref="A69:A70" si="15">A65</f>
        <v>Electricity</v>
      </c>
      <c r="B69" s="329" t="s">
        <v>303</v>
      </c>
      <c r="C69" s="329" t="s">
        <v>279</v>
      </c>
      <c r="D69" s="267">
        <f t="shared" ref="D69:D70" si="16">+D65*$D$14/1000</f>
        <v>695.13779479644575</v>
      </c>
    </row>
    <row r="70" spans="1:4" ht="13" x14ac:dyDescent="0.3">
      <c r="A70" s="268" t="str">
        <f t="shared" si="15"/>
        <v>Natural gas</v>
      </c>
      <c r="B70" s="329" t="s">
        <v>304</v>
      </c>
      <c r="C70" s="329" t="s">
        <v>279</v>
      </c>
      <c r="D70" s="267">
        <f t="shared" si="16"/>
        <v>0</v>
      </c>
    </row>
    <row r="71" spans="1:4" ht="13" x14ac:dyDescent="0.3">
      <c r="A71" s="268" t="str">
        <f>$A$45</f>
        <v>Electricity</v>
      </c>
      <c r="B71" s="329" t="s">
        <v>305</v>
      </c>
      <c r="C71" s="329" t="str">
        <f>$C$31</f>
        <v>tCO2 over lifetime</v>
      </c>
      <c r="D71" s="267">
        <f t="shared" ref="D71:D72" si="17">D69*$D$15</f>
        <v>10427.066921946685</v>
      </c>
    </row>
    <row r="72" spans="1:4" ht="13" x14ac:dyDescent="0.3">
      <c r="A72" s="268" t="str">
        <f>$A$46</f>
        <v>Natural gas</v>
      </c>
      <c r="B72" s="329" t="s">
        <v>306</v>
      </c>
      <c r="C72" s="329" t="str">
        <f>$C$31</f>
        <v>tCO2 over lifetime</v>
      </c>
      <c r="D72" s="267">
        <f t="shared" si="17"/>
        <v>0</v>
      </c>
    </row>
    <row r="73" spans="1:4" ht="13" x14ac:dyDescent="0.3">
      <c r="A73" s="268" t="s">
        <v>275</v>
      </c>
      <c r="B73" s="329" t="s">
        <v>307</v>
      </c>
      <c r="C73" s="329" t="str">
        <f>C$33</f>
        <v>tCO2 over lifetime</v>
      </c>
      <c r="D73" s="267">
        <f>+D67*$D$14/1000</f>
        <v>5567.4570000000003</v>
      </c>
    </row>
    <row r="74" spans="1:4" ht="13.5" thickBot="1" x14ac:dyDescent="0.35">
      <c r="A74" s="325" t="s">
        <v>284</v>
      </c>
      <c r="B74" s="332"/>
      <c r="C74" s="332" t="str">
        <f>C$34</f>
        <v>tCO2 over lifetime</v>
      </c>
      <c r="D74" s="274">
        <f>SUM(D71:D73)</f>
        <v>15994.523921946686</v>
      </c>
    </row>
    <row r="75" spans="1:4" ht="13" thickBot="1" x14ac:dyDescent="0.3">
      <c r="B75" s="330"/>
      <c r="C75" s="330"/>
    </row>
    <row r="76" spans="1:4" ht="13" x14ac:dyDescent="0.3">
      <c r="A76" s="272" t="s">
        <v>308</v>
      </c>
      <c r="B76" s="331"/>
      <c r="C76" s="331"/>
      <c r="D76" s="273"/>
    </row>
    <row r="77" spans="1:4" x14ac:dyDescent="0.25">
      <c r="A77" s="258" t="s">
        <v>262</v>
      </c>
      <c r="B77" s="329" t="s">
        <v>309</v>
      </c>
      <c r="C77" s="334" t="s">
        <v>279</v>
      </c>
      <c r="D77" s="267">
        <f t="shared" ref="D77:D78" si="18">+D29-D49</f>
        <v>526.61954151245902</v>
      </c>
    </row>
    <row r="78" spans="1:4" x14ac:dyDescent="0.25">
      <c r="A78" s="258" t="s">
        <v>265</v>
      </c>
      <c r="B78" s="329" t="s">
        <v>310</v>
      </c>
      <c r="C78" s="329" t="s">
        <v>279</v>
      </c>
      <c r="D78" s="267">
        <f t="shared" si="18"/>
        <v>0</v>
      </c>
    </row>
    <row r="79" spans="1:4" x14ac:dyDescent="0.25">
      <c r="A79" s="258" t="s">
        <v>262</v>
      </c>
      <c r="B79" s="329" t="s">
        <v>311</v>
      </c>
      <c r="C79" s="329" t="str">
        <f>$C$31</f>
        <v>tCO2 over lifetime</v>
      </c>
      <c r="D79" s="267">
        <f t="shared" ref="D79:D80" si="19">D77*$D$15</f>
        <v>7899.293122686885</v>
      </c>
    </row>
    <row r="80" spans="1:4" x14ac:dyDescent="0.25">
      <c r="A80" s="258" t="s">
        <v>265</v>
      </c>
      <c r="B80" s="329" t="s">
        <v>312</v>
      </c>
      <c r="C80" s="329" t="str">
        <f>$C$31</f>
        <v>tCO2 over lifetime</v>
      </c>
      <c r="D80" s="267">
        <f t="shared" si="19"/>
        <v>0</v>
      </c>
    </row>
    <row r="81" spans="1:4" x14ac:dyDescent="0.25">
      <c r="A81" s="258" t="s">
        <v>275</v>
      </c>
      <c r="B81" s="329" t="s">
        <v>313</v>
      </c>
      <c r="C81" s="329" t="str">
        <f>$C$31</f>
        <v>tCO2 over lifetime</v>
      </c>
      <c r="D81" s="267">
        <f>+D33-D53</f>
        <v>723.10799999999927</v>
      </c>
    </row>
    <row r="82" spans="1:4" ht="13.5" thickBot="1" x14ac:dyDescent="0.35">
      <c r="A82" s="275" t="s">
        <v>284</v>
      </c>
      <c r="B82" s="332" t="s">
        <v>314</v>
      </c>
      <c r="C82" s="332" t="str">
        <f>$C$31</f>
        <v>tCO2 over lifetime</v>
      </c>
      <c r="D82" s="274">
        <f>SUM(D79:D81)</f>
        <v>8622.4011226868843</v>
      </c>
    </row>
    <row r="83" spans="1:4" ht="13" thickBot="1" x14ac:dyDescent="0.3">
      <c r="B83" s="330"/>
      <c r="C83" s="330"/>
    </row>
    <row r="84" spans="1:4" ht="13" x14ac:dyDescent="0.3">
      <c r="A84" s="272" t="s">
        <v>315</v>
      </c>
      <c r="B84" s="331"/>
      <c r="C84" s="331"/>
      <c r="D84" s="273"/>
    </row>
    <row r="85" spans="1:4" x14ac:dyDescent="0.25">
      <c r="A85" s="258" t="s">
        <v>262</v>
      </c>
      <c r="B85" s="329" t="s">
        <v>316</v>
      </c>
      <c r="C85" s="329" t="s">
        <v>279</v>
      </c>
      <c r="D85" s="267">
        <f>+D29-D69</f>
        <v>709.1809825701115</v>
      </c>
    </row>
    <row r="86" spans="1:4" x14ac:dyDescent="0.25">
      <c r="A86" s="258" t="s">
        <v>265</v>
      </c>
      <c r="B86" s="329" t="s">
        <v>317</v>
      </c>
      <c r="C86" s="329" t="s">
        <v>279</v>
      </c>
      <c r="D86" s="267">
        <f>+D30-D70</f>
        <v>0</v>
      </c>
    </row>
    <row r="87" spans="1:4" x14ac:dyDescent="0.25">
      <c r="A87" s="258" t="s">
        <v>262</v>
      </c>
      <c r="B87" s="329" t="s">
        <v>318</v>
      </c>
      <c r="C87" s="329" t="str">
        <f>$C$31</f>
        <v>tCO2 over lifetime</v>
      </c>
      <c r="D87" s="267">
        <f t="shared" ref="D87:D88" si="20">D85*$D$15</f>
        <v>10637.714738551673</v>
      </c>
    </row>
    <row r="88" spans="1:4" x14ac:dyDescent="0.25">
      <c r="A88" s="258" t="s">
        <v>265</v>
      </c>
      <c r="B88" s="329" t="s">
        <v>319</v>
      </c>
      <c r="C88" s="329" t="str">
        <f>$C$31</f>
        <v>tCO2 over lifetime</v>
      </c>
      <c r="D88" s="267">
        <f t="shared" si="20"/>
        <v>0</v>
      </c>
    </row>
    <row r="89" spans="1:4" x14ac:dyDescent="0.25">
      <c r="A89" s="258" t="s">
        <v>275</v>
      </c>
      <c r="B89" s="329" t="s">
        <v>320</v>
      </c>
      <c r="C89" s="329" t="str">
        <f>$C$31</f>
        <v>tCO2 over lifetime</v>
      </c>
      <c r="D89" s="267">
        <f>+D33-D73</f>
        <v>723.10799999999927</v>
      </c>
    </row>
    <row r="90" spans="1:4" ht="13.5" thickBot="1" x14ac:dyDescent="0.35">
      <c r="A90" s="275" t="s">
        <v>284</v>
      </c>
      <c r="B90" s="332" t="s">
        <v>321</v>
      </c>
      <c r="C90" s="332" t="str">
        <f>$C$31</f>
        <v>tCO2 over lifetime</v>
      </c>
      <c r="D90" s="274">
        <f>SUM(D87:D89)</f>
        <v>11360.822738551673</v>
      </c>
    </row>
    <row r="91" spans="1:4" ht="13" thickBot="1" x14ac:dyDescent="0.3">
      <c r="B91" s="330"/>
      <c r="C91" s="330"/>
    </row>
    <row r="92" spans="1:4" ht="13" x14ac:dyDescent="0.3">
      <c r="A92" s="272" t="s">
        <v>322</v>
      </c>
      <c r="B92" s="331"/>
      <c r="C92" s="331"/>
      <c r="D92" s="273"/>
    </row>
    <row r="93" spans="1:4" x14ac:dyDescent="0.25">
      <c r="A93" s="258" t="s">
        <v>262</v>
      </c>
      <c r="B93" s="329" t="s">
        <v>323</v>
      </c>
      <c r="C93" s="329" t="s">
        <v>279</v>
      </c>
      <c r="D93" s="267">
        <f>+AVERAGE(D85,D77)</f>
        <v>617.90026204128526</v>
      </c>
    </row>
    <row r="94" spans="1:4" x14ac:dyDescent="0.25">
      <c r="A94" s="258" t="s">
        <v>265</v>
      </c>
      <c r="B94" s="329" t="s">
        <v>323</v>
      </c>
      <c r="C94" s="329" t="s">
        <v>279</v>
      </c>
      <c r="D94" s="267">
        <f>+AVERAGE(D86,D78)</f>
        <v>0</v>
      </c>
    </row>
    <row r="95" spans="1:4" x14ac:dyDescent="0.25">
      <c r="A95" s="258" t="s">
        <v>262</v>
      </c>
      <c r="B95" s="329" t="s">
        <v>323</v>
      </c>
      <c r="C95" s="329" t="str">
        <f>$C$31</f>
        <v>tCO2 over lifetime</v>
      </c>
      <c r="D95" s="267">
        <f t="shared" ref="D95:D96" si="21">D93*$D$15</f>
        <v>9268.5039306192793</v>
      </c>
    </row>
    <row r="96" spans="1:4" x14ac:dyDescent="0.25">
      <c r="A96" s="258" t="s">
        <v>265</v>
      </c>
      <c r="B96" s="329" t="s">
        <v>323</v>
      </c>
      <c r="C96" s="329" t="str">
        <f>$C$31</f>
        <v>tCO2 over lifetime</v>
      </c>
      <c r="D96" s="267">
        <f t="shared" si="21"/>
        <v>0</v>
      </c>
    </row>
    <row r="97" spans="1:4" x14ac:dyDescent="0.25">
      <c r="A97" s="258" t="s">
        <v>275</v>
      </c>
      <c r="B97" s="329" t="s">
        <v>323</v>
      </c>
      <c r="C97" s="329" t="str">
        <f>$C$31</f>
        <v>tCO2 over lifetime</v>
      </c>
      <c r="D97" s="267">
        <f>+AVERAGE(D89,D81)</f>
        <v>723.10799999999927</v>
      </c>
    </row>
    <row r="98" spans="1:4" ht="13.5" thickBot="1" x14ac:dyDescent="0.35">
      <c r="A98" s="275" t="s">
        <v>284</v>
      </c>
      <c r="B98" s="332" t="s">
        <v>324</v>
      </c>
      <c r="C98" s="332" t="str">
        <f>$C$31</f>
        <v>tCO2 over lifetime</v>
      </c>
      <c r="D98" s="274">
        <f>SUM(D95:D97)</f>
        <v>9991.6119306192777</v>
      </c>
    </row>
    <row r="99" spans="1:4" ht="15.75" customHeight="1" x14ac:dyDescent="0.25"/>
    <row r="100" spans="1:4" ht="15.75" customHeight="1" x14ac:dyDescent="0.25">
      <c r="A100" s="254" t="s">
        <v>709</v>
      </c>
      <c r="D100" s="375">
        <f>D97/D98</f>
        <v>7.2371505721117529E-2</v>
      </c>
    </row>
    <row r="101" spans="1:4" ht="15.75" customHeight="1" x14ac:dyDescent="0.25"/>
    <row r="102" spans="1:4" ht="15.75" customHeight="1" x14ac:dyDescent="0.3">
      <c r="A102" s="398" t="s">
        <v>730</v>
      </c>
    </row>
    <row r="103" spans="1:4" ht="15.75" customHeight="1" thickBot="1" x14ac:dyDescent="0.3"/>
    <row r="104" spans="1:4" ht="15.75" customHeight="1" x14ac:dyDescent="0.3">
      <c r="A104" s="393" t="s">
        <v>728</v>
      </c>
      <c r="B104" s="394" t="str">
        <f>C19</f>
        <v>kWh/m2/yr</v>
      </c>
    </row>
    <row r="105" spans="1:4" ht="15.75" customHeight="1" x14ac:dyDescent="0.3">
      <c r="A105" s="395" t="s">
        <v>172</v>
      </c>
      <c r="B105" s="265"/>
    </row>
    <row r="106" spans="1:4" ht="15.75" customHeight="1" x14ac:dyDescent="0.25">
      <c r="A106" s="260" t="s">
        <v>726</v>
      </c>
      <c r="B106" s="265">
        <f>D19</f>
        <v>200</v>
      </c>
    </row>
    <row r="107" spans="1:4" ht="15.75" customHeight="1" x14ac:dyDescent="0.25">
      <c r="A107" s="260" t="s">
        <v>727</v>
      </c>
      <c r="B107" s="265">
        <f>D20</f>
        <v>0</v>
      </c>
    </row>
    <row r="108" spans="1:4" ht="15.75" customHeight="1" x14ac:dyDescent="0.3">
      <c r="A108" s="396" t="s">
        <v>249</v>
      </c>
      <c r="B108" s="265"/>
    </row>
    <row r="109" spans="1:4" ht="15.75" customHeight="1" x14ac:dyDescent="0.25">
      <c r="A109" s="260" t="s">
        <v>726</v>
      </c>
      <c r="B109" s="265">
        <f>D39</f>
        <v>125</v>
      </c>
    </row>
    <row r="110" spans="1:4" ht="15.75" customHeight="1" x14ac:dyDescent="0.25">
      <c r="A110" s="260" t="s">
        <v>727</v>
      </c>
      <c r="B110" s="265">
        <f>D40</f>
        <v>0</v>
      </c>
    </row>
    <row r="111" spans="1:4" ht="15.75" customHeight="1" x14ac:dyDescent="0.3">
      <c r="A111" s="396" t="s">
        <v>250</v>
      </c>
      <c r="B111" s="265"/>
    </row>
    <row r="112" spans="1:4" ht="15.75" customHeight="1" x14ac:dyDescent="0.25">
      <c r="A112" s="260" t="s">
        <v>726</v>
      </c>
      <c r="B112" s="265">
        <f>D59</f>
        <v>99</v>
      </c>
    </row>
    <row r="113" spans="1:2" ht="15.75" customHeight="1" x14ac:dyDescent="0.25">
      <c r="A113" s="260" t="s">
        <v>727</v>
      </c>
      <c r="B113" s="265">
        <f>D60</f>
        <v>0</v>
      </c>
    </row>
    <row r="114" spans="1:2" ht="15.75" customHeight="1" x14ac:dyDescent="0.3">
      <c r="A114" s="396" t="s">
        <v>731</v>
      </c>
      <c r="B114" s="265"/>
    </row>
    <row r="115" spans="1:2" ht="15.75" customHeight="1" x14ac:dyDescent="0.25">
      <c r="A115" s="260" t="s">
        <v>726</v>
      </c>
      <c r="B115" s="265">
        <f>AVERAGE(B109,B112)</f>
        <v>112</v>
      </c>
    </row>
    <row r="116" spans="1:2" ht="15.75" customHeight="1" thickBot="1" x14ac:dyDescent="0.3">
      <c r="A116" s="261" t="s">
        <v>727</v>
      </c>
      <c r="B116" s="397">
        <f>AVERAGE(B110,B113)</f>
        <v>0</v>
      </c>
    </row>
    <row r="117" spans="1:2" ht="15.75" customHeight="1" thickBot="1" x14ac:dyDescent="0.3"/>
    <row r="118" spans="1:2" ht="15.75" customHeight="1" x14ac:dyDescent="0.3">
      <c r="A118" s="393" t="s">
        <v>729</v>
      </c>
      <c r="B118" s="394" t="s">
        <v>725</v>
      </c>
    </row>
    <row r="119" spans="1:2" ht="15.75" customHeight="1" x14ac:dyDescent="0.3">
      <c r="A119" s="395" t="s">
        <v>172</v>
      </c>
      <c r="B119" s="265"/>
    </row>
    <row r="120" spans="1:2" ht="15.75" customHeight="1" x14ac:dyDescent="0.25">
      <c r="A120" s="260" t="s">
        <v>726</v>
      </c>
      <c r="B120" s="259">
        <f>B106*D14/1000</f>
        <v>3000</v>
      </c>
    </row>
    <row r="121" spans="1:2" ht="15.75" customHeight="1" x14ac:dyDescent="0.25">
      <c r="A121" s="260" t="s">
        <v>727</v>
      </c>
      <c r="B121" s="259">
        <f>B107*D14/1000</f>
        <v>0</v>
      </c>
    </row>
    <row r="122" spans="1:2" ht="15.75" customHeight="1" x14ac:dyDescent="0.3">
      <c r="A122" s="396" t="s">
        <v>731</v>
      </c>
      <c r="B122" s="265"/>
    </row>
    <row r="123" spans="1:2" ht="15.75" customHeight="1" x14ac:dyDescent="0.25">
      <c r="A123" s="260" t="s">
        <v>726</v>
      </c>
      <c r="B123" s="259">
        <f>B115*D14/1000</f>
        <v>1680</v>
      </c>
    </row>
    <row r="124" spans="1:2" ht="15.75" customHeight="1" thickBot="1" x14ac:dyDescent="0.3">
      <c r="A124" s="261" t="s">
        <v>727</v>
      </c>
      <c r="B124" s="262">
        <f>B116*D14/1000</f>
        <v>0</v>
      </c>
    </row>
    <row r="125" spans="1:2" ht="15.75" customHeight="1" thickBot="1" x14ac:dyDescent="0.3">
      <c r="B125" s="392"/>
    </row>
    <row r="126" spans="1:2" ht="15.75" customHeight="1" x14ac:dyDescent="0.3">
      <c r="A126" s="393" t="s">
        <v>732</v>
      </c>
      <c r="B126" s="394" t="s">
        <v>725</v>
      </c>
    </row>
    <row r="127" spans="1:2" ht="15.75" customHeight="1" x14ac:dyDescent="0.3">
      <c r="A127" s="396" t="s">
        <v>731</v>
      </c>
      <c r="B127" s="399"/>
    </row>
    <row r="128" spans="1:2" ht="15.75" customHeight="1" x14ac:dyDescent="0.25">
      <c r="A128" s="260" t="s">
        <v>726</v>
      </c>
      <c r="B128" s="259">
        <f>B120-B123</f>
        <v>1320</v>
      </c>
    </row>
    <row r="129" spans="1:2" ht="15.75" customHeight="1" thickBot="1" x14ac:dyDescent="0.3">
      <c r="A129" s="261" t="s">
        <v>727</v>
      </c>
      <c r="B129" s="262">
        <f>B121-B124</f>
        <v>0</v>
      </c>
    </row>
    <row r="130" spans="1:2" ht="15.75" customHeight="1" x14ac:dyDescent="0.25"/>
    <row r="131" spans="1:2" ht="15.75" customHeight="1" x14ac:dyDescent="0.25"/>
    <row r="132" spans="1:2" ht="15.75" customHeight="1" x14ac:dyDescent="0.25"/>
    <row r="133" spans="1:2" ht="15.75" customHeight="1" x14ac:dyDescent="0.25"/>
    <row r="134" spans="1:2" ht="15.75" customHeight="1" x14ac:dyDescent="0.25"/>
    <row r="135" spans="1:2" ht="15.75" customHeight="1" x14ac:dyDescent="0.25"/>
    <row r="136" spans="1:2" ht="15.75" customHeight="1" x14ac:dyDescent="0.25"/>
    <row r="137" spans="1:2" ht="15.75" customHeight="1" x14ac:dyDescent="0.25"/>
    <row r="138" spans="1:2" ht="15.75" customHeight="1" x14ac:dyDescent="0.25"/>
    <row r="139" spans="1:2" ht="15.75" customHeight="1" x14ac:dyDescent="0.25"/>
    <row r="140" spans="1:2" ht="15.75" customHeight="1" x14ac:dyDescent="0.25"/>
    <row r="141" spans="1:2" ht="15.75" customHeight="1" x14ac:dyDescent="0.25"/>
    <row r="142" spans="1:2" ht="15.75" customHeight="1" x14ac:dyDescent="0.25"/>
    <row r="143" spans="1:2" ht="15.75" customHeight="1" x14ac:dyDescent="0.25"/>
    <row r="144" spans="1:2"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row r="1010" ht="15.75" customHeight="1" x14ac:dyDescent="0.25"/>
  </sheetData>
  <pageMargins left="0.7" right="0.7" top="0.75" bottom="0.75" header="0" footer="0"/>
  <pageSetup orientation="landscape"/>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10"/>
  <sheetViews>
    <sheetView workbookViewId="0">
      <selection activeCell="D27" sqref="D27"/>
    </sheetView>
  </sheetViews>
  <sheetFormatPr baseColWidth="10" defaultColWidth="12.58203125" defaultRowHeight="12.5" x14ac:dyDescent="0.25"/>
  <cols>
    <col min="1" max="1" width="43.58203125" style="254" customWidth="1"/>
    <col min="2" max="2" width="22.58203125" style="254" customWidth="1"/>
    <col min="3" max="3" width="17" style="327" customWidth="1"/>
    <col min="4" max="4" width="16" style="254" customWidth="1"/>
    <col min="5" max="26" width="9.33203125" style="254" customWidth="1"/>
    <col min="27" max="16384" width="12.58203125" style="254"/>
  </cols>
  <sheetData>
    <row r="1" spans="1:4" ht="13" x14ac:dyDescent="0.3">
      <c r="A1" s="253" t="s">
        <v>615</v>
      </c>
    </row>
    <row r="2" spans="1:4" ht="15" customHeight="1" x14ac:dyDescent="0.25"/>
    <row r="3" spans="1:4" ht="13.5" thickBot="1" x14ac:dyDescent="0.35">
      <c r="A3" s="253" t="s">
        <v>601</v>
      </c>
      <c r="B3" s="255"/>
    </row>
    <row r="4" spans="1:4" x14ac:dyDescent="0.25">
      <c r="A4" s="256" t="s">
        <v>603</v>
      </c>
      <c r="B4" s="257">
        <f>D34</f>
        <v>424306.59322657</v>
      </c>
    </row>
    <row r="5" spans="1:4" x14ac:dyDescent="0.25">
      <c r="A5" s="258" t="s">
        <v>604</v>
      </c>
      <c r="B5" s="259">
        <f>D54</f>
        <v>282608.8546544874</v>
      </c>
    </row>
    <row r="6" spans="1:4" x14ac:dyDescent="0.25">
      <c r="A6" s="260" t="s">
        <v>605</v>
      </c>
      <c r="B6" s="259">
        <f>D74</f>
        <v>266907.28114304226</v>
      </c>
    </row>
    <row r="7" spans="1:4" x14ac:dyDescent="0.25">
      <c r="A7" s="260" t="s">
        <v>308</v>
      </c>
      <c r="B7" s="259">
        <f>D82</f>
        <v>141697.7385720826</v>
      </c>
    </row>
    <row r="8" spans="1:4" x14ac:dyDescent="0.25">
      <c r="A8" s="260" t="s">
        <v>315</v>
      </c>
      <c r="B8" s="259">
        <f>D90</f>
        <v>157399.31208352768</v>
      </c>
    </row>
    <row r="9" spans="1:4" ht="13" thickBot="1" x14ac:dyDescent="0.3">
      <c r="A9" s="261" t="s">
        <v>322</v>
      </c>
      <c r="B9" s="262">
        <f>D98</f>
        <v>159018.32302965882</v>
      </c>
    </row>
    <row r="10" spans="1:4" ht="13" thickBot="1" x14ac:dyDescent="0.3"/>
    <row r="11" spans="1:4" ht="13" x14ac:dyDescent="0.3">
      <c r="A11" s="328" t="s">
        <v>600</v>
      </c>
      <c r="B11" s="326" t="s">
        <v>253</v>
      </c>
      <c r="C11" s="326" t="s">
        <v>254</v>
      </c>
      <c r="D11" s="263" t="s">
        <v>255</v>
      </c>
    </row>
    <row r="12" spans="1:4" ht="13" x14ac:dyDescent="0.3">
      <c r="A12" s="264" t="str">
        <f>+'Input_Area and Costs'!J3</f>
        <v>Albania</v>
      </c>
      <c r="B12" s="329"/>
      <c r="C12" s="329"/>
      <c r="D12" s="265"/>
    </row>
    <row r="13" spans="1:4" x14ac:dyDescent="0.25">
      <c r="A13" s="258" t="s">
        <v>256</v>
      </c>
      <c r="B13" s="329"/>
      <c r="C13" s="329"/>
      <c r="D13" s="266" t="str">
        <f>+'Input_Area and Costs'!A6</f>
        <v>Hospital</v>
      </c>
    </row>
    <row r="14" spans="1:4" x14ac:dyDescent="0.25">
      <c r="A14" s="258" t="s">
        <v>247</v>
      </c>
      <c r="B14" s="329" t="s">
        <v>257</v>
      </c>
      <c r="C14" s="329" t="s">
        <v>251</v>
      </c>
      <c r="D14" s="267">
        <f>+'Input_Area and Costs'!J6</f>
        <v>393700</v>
      </c>
    </row>
    <row r="15" spans="1:4" x14ac:dyDescent="0.25">
      <c r="A15" s="258" t="s">
        <v>258</v>
      </c>
      <c r="B15" s="329" t="s">
        <v>259</v>
      </c>
      <c r="C15" s="329" t="s">
        <v>260</v>
      </c>
      <c r="D15" s="267">
        <f>'General Inputs&amp;Outputs'!$C$12</f>
        <v>15</v>
      </c>
    </row>
    <row r="16" spans="1:4" x14ac:dyDescent="0.25">
      <c r="A16" s="254" t="s">
        <v>172</v>
      </c>
      <c r="B16" s="329"/>
      <c r="C16" s="329"/>
      <c r="D16" s="265"/>
    </row>
    <row r="17" spans="1:4" ht="13" x14ac:dyDescent="0.3">
      <c r="A17" s="264" t="s">
        <v>285</v>
      </c>
      <c r="B17" s="329"/>
      <c r="C17" s="329"/>
      <c r="D17" s="265"/>
    </row>
    <row r="18" spans="1:4" ht="13" x14ac:dyDescent="0.3">
      <c r="A18" s="264" t="s">
        <v>261</v>
      </c>
      <c r="B18" s="329"/>
      <c r="C18" s="333"/>
      <c r="D18" s="265"/>
    </row>
    <row r="19" spans="1:4" ht="13" x14ac:dyDescent="0.3">
      <c r="A19" s="268" t="s">
        <v>262</v>
      </c>
      <c r="B19" s="329" t="s">
        <v>263</v>
      </c>
      <c r="C19" s="329" t="s">
        <v>264</v>
      </c>
      <c r="D19" s="266">
        <f>+'Energy use'!B418-D20</f>
        <v>256</v>
      </c>
    </row>
    <row r="20" spans="1:4" ht="13" x14ac:dyDescent="0.3">
      <c r="A20" s="268" t="s">
        <v>265</v>
      </c>
      <c r="B20" s="329" t="s">
        <v>266</v>
      </c>
      <c r="C20" s="329" t="s">
        <v>264</v>
      </c>
      <c r="D20" s="266">
        <f>+'Energy use'!B419+'Energy use'!B422</f>
        <v>137</v>
      </c>
    </row>
    <row r="21" spans="1:4" ht="13" x14ac:dyDescent="0.3">
      <c r="A21" s="264" t="s">
        <v>267</v>
      </c>
      <c r="B21" s="329"/>
      <c r="C21" s="333"/>
      <c r="D21" s="265"/>
    </row>
    <row r="22" spans="1:4" ht="13" x14ac:dyDescent="0.3">
      <c r="A22" s="268" t="str">
        <f t="shared" ref="A22:A23" si="0">A19</f>
        <v>Electricity</v>
      </c>
      <c r="B22" s="329" t="s">
        <v>268</v>
      </c>
      <c r="C22" s="329" t="s">
        <v>269</v>
      </c>
      <c r="D22" s="269">
        <f>+'Input_Energy Context'!J12</f>
        <v>4.2965859968044848E-2</v>
      </c>
    </row>
    <row r="23" spans="1:4" ht="13" x14ac:dyDescent="0.3">
      <c r="A23" s="268" t="str">
        <f t="shared" si="0"/>
        <v>Natural gas</v>
      </c>
      <c r="B23" s="329" t="s">
        <v>270</v>
      </c>
      <c r="C23" s="329" t="s">
        <v>269</v>
      </c>
      <c r="D23" s="266">
        <f>+'Input_Energy Context'!B13</f>
        <v>0.23100000000000001</v>
      </c>
    </row>
    <row r="24" spans="1:4" ht="13" x14ac:dyDescent="0.3">
      <c r="A24" s="264" t="s">
        <v>271</v>
      </c>
      <c r="B24" s="329"/>
      <c r="C24" s="333"/>
      <c r="D24" s="265"/>
    </row>
    <row r="25" spans="1:4" ht="13" x14ac:dyDescent="0.3">
      <c r="A25" s="268" t="str">
        <f t="shared" ref="A25:A26" si="1">A22</f>
        <v>Electricity</v>
      </c>
      <c r="B25" s="329" t="s">
        <v>272</v>
      </c>
      <c r="C25" s="329" t="s">
        <v>273</v>
      </c>
      <c r="D25" s="270">
        <f t="shared" ref="D25:D26" si="2">+D19*D22</f>
        <v>10.999260151819481</v>
      </c>
    </row>
    <row r="26" spans="1:4" ht="13" x14ac:dyDescent="0.3">
      <c r="A26" s="268" t="str">
        <f t="shared" si="1"/>
        <v>Natural gas</v>
      </c>
      <c r="B26" s="329" t="s">
        <v>274</v>
      </c>
      <c r="C26" s="329" t="s">
        <v>273</v>
      </c>
      <c r="D26" s="270">
        <f t="shared" si="2"/>
        <v>31.647000000000002</v>
      </c>
    </row>
    <row r="27" spans="1:4" ht="13" x14ac:dyDescent="0.3">
      <c r="A27" s="268" t="s">
        <v>275</v>
      </c>
      <c r="B27" s="329" t="s">
        <v>276</v>
      </c>
      <c r="C27" s="329" t="s">
        <v>273</v>
      </c>
      <c r="D27" s="270">
        <f>'Input_LC Materials'!J23/'Input_LC Materials'!E7</f>
        <v>438.04700000000008</v>
      </c>
    </row>
    <row r="28" spans="1:4" ht="13" x14ac:dyDescent="0.3">
      <c r="A28" s="264" t="s">
        <v>277</v>
      </c>
      <c r="B28" s="329"/>
      <c r="C28" s="333"/>
      <c r="D28" s="265"/>
    </row>
    <row r="29" spans="1:4" ht="13" x14ac:dyDescent="0.3">
      <c r="A29" s="268" t="str">
        <f t="shared" ref="A29:A30" si="3">A25</f>
        <v>Electricity</v>
      </c>
      <c r="B29" s="329" t="s">
        <v>278</v>
      </c>
      <c r="C29" s="329" t="s">
        <v>279</v>
      </c>
      <c r="D29" s="267">
        <f>+D25*D14/1000</f>
        <v>4330.4087217713295</v>
      </c>
    </row>
    <row r="30" spans="1:4" ht="13" x14ac:dyDescent="0.3">
      <c r="A30" s="268" t="str">
        <f t="shared" si="3"/>
        <v>Natural gas</v>
      </c>
      <c r="B30" s="329" t="s">
        <v>280</v>
      </c>
      <c r="C30" s="329" t="s">
        <v>279</v>
      </c>
      <c r="D30" s="267">
        <f>+D26*D14/1000</f>
        <v>12459.4239</v>
      </c>
    </row>
    <row r="31" spans="1:4" ht="13" x14ac:dyDescent="0.3">
      <c r="A31" s="268" t="str">
        <f>$A$25</f>
        <v>Electricity</v>
      </c>
      <c r="B31" s="329" t="s">
        <v>281</v>
      </c>
      <c r="C31" s="329" t="s">
        <v>577</v>
      </c>
      <c r="D31" s="267">
        <f t="shared" ref="D31:D32" si="4">D29*$D$15</f>
        <v>64956.130826569941</v>
      </c>
    </row>
    <row r="32" spans="1:4" ht="13" x14ac:dyDescent="0.3">
      <c r="A32" s="268" t="str">
        <f>$A$26</f>
        <v>Natural gas</v>
      </c>
      <c r="B32" s="329" t="s">
        <v>282</v>
      </c>
      <c r="C32" s="329" t="s">
        <v>577</v>
      </c>
      <c r="D32" s="267">
        <f t="shared" si="4"/>
        <v>186891.3585</v>
      </c>
    </row>
    <row r="33" spans="1:4" ht="13" x14ac:dyDescent="0.3">
      <c r="A33" s="268" t="s">
        <v>275</v>
      </c>
      <c r="B33" s="329" t="s">
        <v>283</v>
      </c>
      <c r="C33" s="329" t="s">
        <v>577</v>
      </c>
      <c r="D33" s="267">
        <f>+D27*D14/1000</f>
        <v>172459.10390000005</v>
      </c>
    </row>
    <row r="34" spans="1:4" ht="13.5" thickBot="1" x14ac:dyDescent="0.35">
      <c r="A34" s="325" t="s">
        <v>284</v>
      </c>
      <c r="B34" s="332"/>
      <c r="C34" s="332" t="s">
        <v>577</v>
      </c>
      <c r="D34" s="274">
        <f>SUM(D31:D33)</f>
        <v>424306.59322657</v>
      </c>
    </row>
    <row r="35" spans="1:4" ht="13" thickBot="1" x14ac:dyDescent="0.3">
      <c r="B35" s="330"/>
      <c r="C35" s="330"/>
    </row>
    <row r="36" spans="1:4" ht="13" x14ac:dyDescent="0.3">
      <c r="A36" s="328" t="s">
        <v>249</v>
      </c>
      <c r="B36" s="326"/>
      <c r="C36" s="326"/>
      <c r="D36" s="263"/>
    </row>
    <row r="37" spans="1:4" ht="13" x14ac:dyDescent="0.3">
      <c r="A37" s="264" t="s">
        <v>285</v>
      </c>
      <c r="B37" s="329"/>
      <c r="C37" s="329"/>
      <c r="D37" s="265"/>
    </row>
    <row r="38" spans="1:4" ht="13" x14ac:dyDescent="0.3">
      <c r="A38" s="264" t="s">
        <v>261</v>
      </c>
      <c r="B38" s="329"/>
      <c r="C38" s="333"/>
      <c r="D38" s="265"/>
    </row>
    <row r="39" spans="1:4" ht="13" x14ac:dyDescent="0.3">
      <c r="A39" s="268" t="s">
        <v>262</v>
      </c>
      <c r="B39" s="329" t="s">
        <v>286</v>
      </c>
      <c r="C39" s="329" t="s">
        <v>264</v>
      </c>
      <c r="D39" s="266">
        <f>+'Energy use'!C418-D40</f>
        <v>254</v>
      </c>
    </row>
    <row r="40" spans="1:4" ht="13" x14ac:dyDescent="0.3">
      <c r="A40" s="268" t="s">
        <v>265</v>
      </c>
      <c r="B40" s="329" t="s">
        <v>287</v>
      </c>
      <c r="C40" s="329" t="s">
        <v>264</v>
      </c>
      <c r="D40" s="266">
        <f>+'Energy use'!C419+'Energy use'!C422</f>
        <v>39</v>
      </c>
    </row>
    <row r="41" spans="1:4" ht="13" x14ac:dyDescent="0.3">
      <c r="A41" s="264" t="s">
        <v>267</v>
      </c>
      <c r="B41" s="329"/>
      <c r="C41" s="329"/>
      <c r="D41" s="265"/>
    </row>
    <row r="42" spans="1:4" ht="13" x14ac:dyDescent="0.3">
      <c r="A42" s="268" t="str">
        <f t="shared" ref="A42:A43" si="5">A39</f>
        <v>Electricity</v>
      </c>
      <c r="B42" s="329" t="s">
        <v>268</v>
      </c>
      <c r="C42" s="329" t="s">
        <v>269</v>
      </c>
      <c r="D42" s="269">
        <f t="shared" ref="D42:D43" si="6">+D22</f>
        <v>4.2965859968044848E-2</v>
      </c>
    </row>
    <row r="43" spans="1:4" ht="13" x14ac:dyDescent="0.3">
      <c r="A43" s="268" t="str">
        <f t="shared" si="5"/>
        <v>Natural gas</v>
      </c>
      <c r="B43" s="329" t="s">
        <v>270</v>
      </c>
      <c r="C43" s="329" t="s">
        <v>269</v>
      </c>
      <c r="D43" s="266">
        <f t="shared" si="6"/>
        <v>0.23100000000000001</v>
      </c>
    </row>
    <row r="44" spans="1:4" ht="13" x14ac:dyDescent="0.3">
      <c r="A44" s="264" t="s">
        <v>271</v>
      </c>
      <c r="B44" s="329"/>
      <c r="C44" s="329"/>
      <c r="D44" s="265"/>
    </row>
    <row r="45" spans="1:4" ht="13" x14ac:dyDescent="0.3">
      <c r="A45" s="268" t="str">
        <f t="shared" ref="A45:A46" si="7">A42</f>
        <v>Electricity</v>
      </c>
      <c r="B45" s="329" t="s">
        <v>288</v>
      </c>
      <c r="C45" s="329" t="s">
        <v>273</v>
      </c>
      <c r="D45" s="267">
        <f t="shared" ref="D45:D46" si="8">+D39*D42</f>
        <v>10.913328431883391</v>
      </c>
    </row>
    <row r="46" spans="1:4" ht="13" x14ac:dyDescent="0.3">
      <c r="A46" s="268" t="str">
        <f t="shared" si="7"/>
        <v>Natural gas</v>
      </c>
      <c r="B46" s="329" t="s">
        <v>289</v>
      </c>
      <c r="C46" s="329" t="s">
        <v>273</v>
      </c>
      <c r="D46" s="270">
        <f t="shared" si="8"/>
        <v>9.0090000000000003</v>
      </c>
    </row>
    <row r="47" spans="1:4" ht="13" x14ac:dyDescent="0.3">
      <c r="A47" s="268" t="s">
        <v>275</v>
      </c>
      <c r="B47" s="329" t="s">
        <v>290</v>
      </c>
      <c r="C47" s="329" t="s">
        <v>273</v>
      </c>
      <c r="D47" s="270">
        <f>D27-'Input_LC Materials'!J23</f>
        <v>418.99300000000005</v>
      </c>
    </row>
    <row r="48" spans="1:4" ht="13" x14ac:dyDescent="0.3">
      <c r="A48" s="264" t="s">
        <v>277</v>
      </c>
      <c r="B48" s="329"/>
      <c r="C48" s="329"/>
      <c r="D48" s="265"/>
    </row>
    <row r="49" spans="1:5" ht="13" x14ac:dyDescent="0.3">
      <c r="A49" s="268" t="str">
        <f t="shared" ref="A49:A50" si="9">A45</f>
        <v>Electricity</v>
      </c>
      <c r="B49" s="329" t="s">
        <v>291</v>
      </c>
      <c r="C49" s="329" t="s">
        <v>279</v>
      </c>
      <c r="D49" s="267">
        <f>+D45*D14/1000</f>
        <v>4296.577403632491</v>
      </c>
    </row>
    <row r="50" spans="1:5" ht="13" x14ac:dyDescent="0.3">
      <c r="A50" s="268" t="str">
        <f t="shared" si="9"/>
        <v>Natural gas</v>
      </c>
      <c r="B50" s="329" t="s">
        <v>292</v>
      </c>
      <c r="C50" s="329" t="s">
        <v>279</v>
      </c>
      <c r="D50" s="267">
        <f>+D46*D14/1000</f>
        <v>3546.8433000000005</v>
      </c>
    </row>
    <row r="51" spans="1:5" ht="13" x14ac:dyDescent="0.3">
      <c r="A51" s="268" t="str">
        <f>$A$44</f>
        <v>Total GHG emissions per unit</v>
      </c>
      <c r="B51" s="329" t="s">
        <v>293</v>
      </c>
      <c r="C51" s="329" t="str">
        <f>$C$31</f>
        <v>tCO2 over lifetime</v>
      </c>
      <c r="D51" s="267">
        <f t="shared" ref="D51:D52" si="10">D49*$D$15</f>
        <v>64448.661054487369</v>
      </c>
    </row>
    <row r="52" spans="1:5" ht="13" x14ac:dyDescent="0.3">
      <c r="A52" s="268" t="str">
        <f>$A$45</f>
        <v>Electricity</v>
      </c>
      <c r="B52" s="329" t="s">
        <v>294</v>
      </c>
      <c r="C52" s="329" t="str">
        <f>$C$31</f>
        <v>tCO2 over lifetime</v>
      </c>
      <c r="D52" s="267">
        <f t="shared" si="10"/>
        <v>53202.649500000007</v>
      </c>
    </row>
    <row r="53" spans="1:5" ht="13" x14ac:dyDescent="0.3">
      <c r="A53" s="268" t="s">
        <v>275</v>
      </c>
      <c r="B53" s="329" t="s">
        <v>295</v>
      </c>
      <c r="C53" s="329" t="str">
        <f>C$33</f>
        <v>tCO2 over lifetime</v>
      </c>
      <c r="D53" s="267">
        <f>+D47*D14/1000</f>
        <v>164957.54410000003</v>
      </c>
    </row>
    <row r="54" spans="1:5" ht="13.5" thickBot="1" x14ac:dyDescent="0.35">
      <c r="A54" s="325" t="s">
        <v>284</v>
      </c>
      <c r="B54" s="332"/>
      <c r="C54" s="332" t="str">
        <f>C$34</f>
        <v>tCO2 over lifetime</v>
      </c>
      <c r="D54" s="274">
        <f>SUM(D51:D53)</f>
        <v>282608.8546544874</v>
      </c>
      <c r="E54" s="255"/>
    </row>
    <row r="55" spans="1:5" ht="13" thickBot="1" x14ac:dyDescent="0.3">
      <c r="A55" s="255"/>
      <c r="B55" s="330"/>
      <c r="C55" s="330"/>
      <c r="D55" s="255"/>
      <c r="E55" s="255"/>
    </row>
    <row r="56" spans="1:5" ht="13" x14ac:dyDescent="0.3">
      <c r="A56" s="328" t="s">
        <v>250</v>
      </c>
      <c r="B56" s="326"/>
      <c r="C56" s="326"/>
      <c r="D56" s="263"/>
      <c r="E56" s="255"/>
    </row>
    <row r="57" spans="1:5" ht="13" x14ac:dyDescent="0.3">
      <c r="A57" s="264" t="s">
        <v>285</v>
      </c>
      <c r="B57" s="329"/>
      <c r="C57" s="329"/>
      <c r="D57" s="265"/>
      <c r="E57" s="255"/>
    </row>
    <row r="58" spans="1:5" ht="13" x14ac:dyDescent="0.3">
      <c r="A58" s="264" t="s">
        <v>261</v>
      </c>
      <c r="B58" s="329"/>
      <c r="C58" s="329"/>
      <c r="D58" s="265"/>
    </row>
    <row r="59" spans="1:5" ht="13" x14ac:dyDescent="0.3">
      <c r="A59" s="268" t="s">
        <v>262</v>
      </c>
      <c r="B59" s="329" t="s">
        <v>296</v>
      </c>
      <c r="C59" s="329" t="s">
        <v>264</v>
      </c>
      <c r="D59" s="266">
        <f>+'Energy use'!D418-D60</f>
        <v>219</v>
      </c>
    </row>
    <row r="60" spans="1:5" ht="13" x14ac:dyDescent="0.3">
      <c r="A60" s="268" t="s">
        <v>265</v>
      </c>
      <c r="B60" s="329" t="s">
        <v>297</v>
      </c>
      <c r="C60" s="329" t="s">
        <v>264</v>
      </c>
      <c r="D60" s="266">
        <f>+'Energy use'!D419+'Energy use'!D422</f>
        <v>34</v>
      </c>
    </row>
    <row r="61" spans="1:5" ht="13" x14ac:dyDescent="0.3">
      <c r="A61" s="264" t="s">
        <v>267</v>
      </c>
      <c r="B61" s="329"/>
      <c r="C61" s="329"/>
      <c r="D61" s="265"/>
    </row>
    <row r="62" spans="1:5" ht="13" x14ac:dyDescent="0.3">
      <c r="A62" s="268" t="str">
        <f t="shared" ref="A62:A63" si="11">A59</f>
        <v>Electricity</v>
      </c>
      <c r="B62" s="329" t="s">
        <v>268</v>
      </c>
      <c r="C62" s="329" t="s">
        <v>269</v>
      </c>
      <c r="D62" s="269">
        <f t="shared" ref="D62:D63" si="12">+D42</f>
        <v>4.2965859968044848E-2</v>
      </c>
    </row>
    <row r="63" spans="1:5" ht="13" x14ac:dyDescent="0.3">
      <c r="A63" s="268" t="str">
        <f t="shared" si="11"/>
        <v>Natural gas</v>
      </c>
      <c r="B63" s="329" t="s">
        <v>270</v>
      </c>
      <c r="C63" s="329" t="s">
        <v>269</v>
      </c>
      <c r="D63" s="266">
        <f t="shared" si="12"/>
        <v>0.23100000000000001</v>
      </c>
    </row>
    <row r="64" spans="1:5" ht="13" x14ac:dyDescent="0.3">
      <c r="A64" s="264" t="s">
        <v>271</v>
      </c>
      <c r="B64" s="329"/>
      <c r="C64" s="329"/>
      <c r="D64" s="265"/>
    </row>
    <row r="65" spans="1:4" ht="13" x14ac:dyDescent="0.3">
      <c r="A65" s="268" t="str">
        <f t="shared" ref="A65:A66" si="13">A62</f>
        <v>Electricity</v>
      </c>
      <c r="B65" s="329" t="s">
        <v>299</v>
      </c>
      <c r="C65" s="329" t="s">
        <v>273</v>
      </c>
      <c r="D65" s="267">
        <f t="shared" ref="D65:D66" si="14">+D59*D62</f>
        <v>9.4095233330018218</v>
      </c>
    </row>
    <row r="66" spans="1:4" ht="13" x14ac:dyDescent="0.3">
      <c r="A66" s="268" t="str">
        <f t="shared" si="13"/>
        <v>Natural gas</v>
      </c>
      <c r="B66" s="329" t="s">
        <v>300</v>
      </c>
      <c r="C66" s="329" t="s">
        <v>273</v>
      </c>
      <c r="D66" s="270">
        <f t="shared" si="14"/>
        <v>7.8540000000000001</v>
      </c>
    </row>
    <row r="67" spans="1:4" ht="13" x14ac:dyDescent="0.3">
      <c r="A67" s="268" t="s">
        <v>275</v>
      </c>
      <c r="B67" s="329" t="s">
        <v>301</v>
      </c>
      <c r="C67" s="329" t="s">
        <v>273</v>
      </c>
      <c r="D67" s="270">
        <f>D47</f>
        <v>418.99300000000005</v>
      </c>
    </row>
    <row r="68" spans="1:4" ht="13" x14ac:dyDescent="0.3">
      <c r="A68" s="264" t="s">
        <v>277</v>
      </c>
      <c r="B68" s="329"/>
      <c r="C68" s="329"/>
      <c r="D68" s="265"/>
    </row>
    <row r="69" spans="1:4" ht="13" x14ac:dyDescent="0.3">
      <c r="A69" s="268" t="str">
        <f t="shared" ref="A69:A70" si="15">A65</f>
        <v>Electricity</v>
      </c>
      <c r="B69" s="329" t="s">
        <v>303</v>
      </c>
      <c r="C69" s="329" t="s">
        <v>279</v>
      </c>
      <c r="D69" s="267">
        <f t="shared" ref="D69:D70" si="16">+D65*$D$14/1000</f>
        <v>3704.5293362028169</v>
      </c>
    </row>
    <row r="70" spans="1:4" ht="13" x14ac:dyDescent="0.3">
      <c r="A70" s="268" t="str">
        <f t="shared" si="15"/>
        <v>Natural gas</v>
      </c>
      <c r="B70" s="329" t="s">
        <v>304</v>
      </c>
      <c r="C70" s="329" t="s">
        <v>279</v>
      </c>
      <c r="D70" s="267">
        <f t="shared" si="16"/>
        <v>3092.1197999999999</v>
      </c>
    </row>
    <row r="71" spans="1:4" ht="13" x14ac:dyDescent="0.3">
      <c r="A71" s="268" t="str">
        <f>$A$44</f>
        <v>Total GHG emissions per unit</v>
      </c>
      <c r="B71" s="329" t="s">
        <v>305</v>
      </c>
      <c r="C71" s="329" t="str">
        <f>$C$31</f>
        <v>tCO2 over lifetime</v>
      </c>
      <c r="D71" s="267">
        <f t="shared" ref="D71:D72" si="17">D69*$D$15</f>
        <v>55567.940043042254</v>
      </c>
    </row>
    <row r="72" spans="1:4" ht="13" x14ac:dyDescent="0.3">
      <c r="A72" s="268" t="str">
        <f>$A$45</f>
        <v>Electricity</v>
      </c>
      <c r="B72" s="329" t="s">
        <v>306</v>
      </c>
      <c r="C72" s="329" t="str">
        <f>$C$31</f>
        <v>tCO2 over lifetime</v>
      </c>
      <c r="D72" s="267">
        <f t="shared" si="17"/>
        <v>46381.796999999999</v>
      </c>
    </row>
    <row r="73" spans="1:4" ht="13" x14ac:dyDescent="0.3">
      <c r="A73" s="268" t="s">
        <v>275</v>
      </c>
      <c r="B73" s="329" t="s">
        <v>307</v>
      </c>
      <c r="C73" s="329" t="str">
        <f>C$33</f>
        <v>tCO2 over lifetime</v>
      </c>
      <c r="D73" s="267">
        <f>+D67*$D$14/1000</f>
        <v>164957.54410000003</v>
      </c>
    </row>
    <row r="74" spans="1:4" ht="13.5" thickBot="1" x14ac:dyDescent="0.35">
      <c r="A74" s="325" t="s">
        <v>284</v>
      </c>
      <c r="B74" s="332"/>
      <c r="C74" s="332" t="str">
        <f>C$34</f>
        <v>tCO2 over lifetime</v>
      </c>
      <c r="D74" s="274">
        <f>SUM(D71:D73)</f>
        <v>266907.28114304226</v>
      </c>
    </row>
    <row r="75" spans="1:4" ht="13" thickBot="1" x14ac:dyDescent="0.3">
      <c r="B75" s="330"/>
      <c r="C75" s="330"/>
    </row>
    <row r="76" spans="1:4" ht="13" x14ac:dyDescent="0.3">
      <c r="A76" s="272" t="s">
        <v>308</v>
      </c>
      <c r="B76" s="331"/>
      <c r="C76" s="331"/>
      <c r="D76" s="273"/>
    </row>
    <row r="77" spans="1:4" x14ac:dyDescent="0.25">
      <c r="A77" s="258" t="s">
        <v>262</v>
      </c>
      <c r="B77" s="329" t="s">
        <v>309</v>
      </c>
      <c r="C77" s="334" t="s">
        <v>279</v>
      </c>
      <c r="D77" s="267">
        <f t="shared" ref="D77:D78" si="18">+D29-D49</f>
        <v>33.831318138838469</v>
      </c>
    </row>
    <row r="78" spans="1:4" x14ac:dyDescent="0.25">
      <c r="A78" s="258" t="s">
        <v>265</v>
      </c>
      <c r="B78" s="329" t="s">
        <v>310</v>
      </c>
      <c r="C78" s="329" t="s">
        <v>279</v>
      </c>
      <c r="D78" s="267">
        <f t="shared" si="18"/>
        <v>8912.5805999999993</v>
      </c>
    </row>
    <row r="79" spans="1:4" x14ac:dyDescent="0.25">
      <c r="A79" s="258" t="s">
        <v>262</v>
      </c>
      <c r="B79" s="329" t="s">
        <v>311</v>
      </c>
      <c r="C79" s="329" t="str">
        <f>$C$31</f>
        <v>tCO2 over lifetime</v>
      </c>
      <c r="D79" s="267">
        <f t="shared" ref="D79:D80" si="19">D77*$D$15</f>
        <v>507.46977208257704</v>
      </c>
    </row>
    <row r="80" spans="1:4" x14ac:dyDescent="0.25">
      <c r="A80" s="258" t="s">
        <v>265</v>
      </c>
      <c r="B80" s="329" t="s">
        <v>312</v>
      </c>
      <c r="C80" s="329" t="str">
        <f>$C$31</f>
        <v>tCO2 over lifetime</v>
      </c>
      <c r="D80" s="267">
        <f t="shared" si="19"/>
        <v>133688.709</v>
      </c>
    </row>
    <row r="81" spans="1:4" x14ac:dyDescent="0.25">
      <c r="A81" s="258" t="s">
        <v>275</v>
      </c>
      <c r="B81" s="329" t="s">
        <v>313</v>
      </c>
      <c r="C81" s="329" t="str">
        <f>$C$31</f>
        <v>tCO2 over lifetime</v>
      </c>
      <c r="D81" s="267">
        <f>+D33-D53</f>
        <v>7501.5598000000173</v>
      </c>
    </row>
    <row r="82" spans="1:4" ht="13.5" thickBot="1" x14ac:dyDescent="0.35">
      <c r="A82" s="275" t="s">
        <v>284</v>
      </c>
      <c r="B82" s="332" t="s">
        <v>314</v>
      </c>
      <c r="C82" s="332" t="str">
        <f>$C$31</f>
        <v>tCO2 over lifetime</v>
      </c>
      <c r="D82" s="274">
        <f>SUM(D79:D81)</f>
        <v>141697.7385720826</v>
      </c>
    </row>
    <row r="83" spans="1:4" ht="13" thickBot="1" x14ac:dyDescent="0.3">
      <c r="B83" s="330"/>
      <c r="C83" s="330"/>
    </row>
    <row r="84" spans="1:4" ht="13" x14ac:dyDescent="0.3">
      <c r="A84" s="272" t="s">
        <v>315</v>
      </c>
      <c r="B84" s="331"/>
      <c r="C84" s="331"/>
      <c r="D84" s="273"/>
    </row>
    <row r="85" spans="1:4" x14ac:dyDescent="0.25">
      <c r="A85" s="258" t="s">
        <v>262</v>
      </c>
      <c r="B85" s="329" t="s">
        <v>316</v>
      </c>
      <c r="C85" s="329" t="s">
        <v>279</v>
      </c>
      <c r="D85" s="267">
        <f t="shared" ref="D85:D86" si="20">+D29-D69</f>
        <v>625.87938556851259</v>
      </c>
    </row>
    <row r="86" spans="1:4" x14ac:dyDescent="0.25">
      <c r="A86" s="258" t="s">
        <v>265</v>
      </c>
      <c r="B86" s="329" t="s">
        <v>317</v>
      </c>
      <c r="C86" s="329" t="s">
        <v>279</v>
      </c>
      <c r="D86" s="267">
        <f t="shared" si="20"/>
        <v>9367.3040999999994</v>
      </c>
    </row>
    <row r="87" spans="1:4" x14ac:dyDescent="0.25">
      <c r="A87" s="258" t="s">
        <v>262</v>
      </c>
      <c r="B87" s="329" t="s">
        <v>318</v>
      </c>
      <c r="C87" s="329" t="str">
        <f>$C$31</f>
        <v>tCO2 over lifetime</v>
      </c>
      <c r="D87" s="267">
        <f t="shared" ref="D87:D88" si="21">D85*$D$15</f>
        <v>9388.1907835276888</v>
      </c>
    </row>
    <row r="88" spans="1:4" x14ac:dyDescent="0.25">
      <c r="A88" s="258" t="s">
        <v>265</v>
      </c>
      <c r="B88" s="329" t="s">
        <v>319</v>
      </c>
      <c r="C88" s="329" t="str">
        <f>$C$31</f>
        <v>tCO2 over lifetime</v>
      </c>
      <c r="D88" s="267">
        <f t="shared" si="21"/>
        <v>140509.56149999998</v>
      </c>
    </row>
    <row r="89" spans="1:4" x14ac:dyDescent="0.25">
      <c r="A89" s="258" t="s">
        <v>275</v>
      </c>
      <c r="B89" s="329" t="s">
        <v>320</v>
      </c>
      <c r="C89" s="329" t="str">
        <f>$C$31</f>
        <v>tCO2 over lifetime</v>
      </c>
      <c r="D89" s="267">
        <f>+D33-D73</f>
        <v>7501.5598000000173</v>
      </c>
    </row>
    <row r="90" spans="1:4" ht="13.5" thickBot="1" x14ac:dyDescent="0.35">
      <c r="A90" s="275" t="s">
        <v>284</v>
      </c>
      <c r="B90" s="332" t="s">
        <v>321</v>
      </c>
      <c r="C90" s="332" t="str">
        <f>$C$31</f>
        <v>tCO2 over lifetime</v>
      </c>
      <c r="D90" s="274">
        <f>SUM(D87:D89)</f>
        <v>157399.31208352768</v>
      </c>
    </row>
    <row r="91" spans="1:4" ht="13" thickBot="1" x14ac:dyDescent="0.3">
      <c r="B91" s="330"/>
      <c r="C91" s="330"/>
    </row>
    <row r="92" spans="1:4" ht="13" x14ac:dyDescent="0.3">
      <c r="A92" s="272" t="s">
        <v>322</v>
      </c>
      <c r="B92" s="331"/>
      <c r="C92" s="331"/>
      <c r="D92" s="273"/>
    </row>
    <row r="93" spans="1:4" x14ac:dyDescent="0.25">
      <c r="A93" s="258" t="s">
        <v>262</v>
      </c>
      <c r="B93" s="329" t="s">
        <v>323</v>
      </c>
      <c r="C93" s="329" t="s">
        <v>279</v>
      </c>
      <c r="D93" s="267">
        <f t="shared" ref="D93:D94" si="22">+AVERAGE(D85,D77)</f>
        <v>329.85535185367553</v>
      </c>
    </row>
    <row r="94" spans="1:4" x14ac:dyDescent="0.25">
      <c r="A94" s="258" t="s">
        <v>265</v>
      </c>
      <c r="B94" s="329" t="s">
        <v>323</v>
      </c>
      <c r="C94" s="329" t="s">
        <v>279</v>
      </c>
      <c r="D94" s="267">
        <f t="shared" si="22"/>
        <v>9139.9423499999994</v>
      </c>
    </row>
    <row r="95" spans="1:4" x14ac:dyDescent="0.25">
      <c r="A95" s="258" t="s">
        <v>262</v>
      </c>
      <c r="B95" s="329" t="s">
        <v>323</v>
      </c>
      <c r="C95" s="329" t="str">
        <f>$C$31</f>
        <v>tCO2 over lifetime</v>
      </c>
      <c r="D95" s="267">
        <f t="shared" ref="D95:D96" si="23">D93*$D$15</f>
        <v>4947.8302778051329</v>
      </c>
    </row>
    <row r="96" spans="1:4" x14ac:dyDescent="0.25">
      <c r="A96" s="258" t="s">
        <v>265</v>
      </c>
      <c r="B96" s="329" t="s">
        <v>323</v>
      </c>
      <c r="C96" s="329" t="str">
        <f>$C$31</f>
        <v>tCO2 over lifetime</v>
      </c>
      <c r="D96" s="267">
        <f t="shared" si="23"/>
        <v>137099.13524999999</v>
      </c>
    </row>
    <row r="97" spans="1:4" x14ac:dyDescent="0.25">
      <c r="A97" s="258" t="s">
        <v>275</v>
      </c>
      <c r="B97" s="329" t="s">
        <v>323</v>
      </c>
      <c r="C97" s="329" t="str">
        <f>$C$31</f>
        <v>tCO2 over lifetime</v>
      </c>
      <c r="D97" s="267">
        <f>+AVERAGE(D89,D81)</f>
        <v>7501.5598000000173</v>
      </c>
    </row>
    <row r="98" spans="1:4" ht="13.5" thickBot="1" x14ac:dyDescent="0.35">
      <c r="A98" s="275" t="s">
        <v>284</v>
      </c>
      <c r="B98" s="332" t="s">
        <v>324</v>
      </c>
      <c r="C98" s="332" t="str">
        <f>$C$31</f>
        <v>tCO2 over lifetime</v>
      </c>
      <c r="D98" s="274">
        <f>SUM(D93:D97)</f>
        <v>159018.32302965882</v>
      </c>
    </row>
    <row r="99" spans="1:4" ht="15.75" customHeight="1" x14ac:dyDescent="0.25"/>
    <row r="100" spans="1:4" ht="15.75" customHeight="1" x14ac:dyDescent="0.25">
      <c r="A100" s="254" t="s">
        <v>709</v>
      </c>
      <c r="D100" s="375">
        <f>D97/D98</f>
        <v>4.7174185069231843E-2</v>
      </c>
    </row>
    <row r="101" spans="1:4" ht="15.75" customHeight="1" x14ac:dyDescent="0.25"/>
    <row r="102" spans="1:4" ht="15.75" customHeight="1" x14ac:dyDescent="0.3">
      <c r="A102" s="398" t="s">
        <v>730</v>
      </c>
    </row>
    <row r="103" spans="1:4" ht="15.75" customHeight="1" thickBot="1" x14ac:dyDescent="0.3"/>
    <row r="104" spans="1:4" ht="15.75" customHeight="1" x14ac:dyDescent="0.3">
      <c r="A104" s="393" t="s">
        <v>728</v>
      </c>
      <c r="B104" s="394" t="str">
        <f>C19</f>
        <v>kWh/m2/yr</v>
      </c>
    </row>
    <row r="105" spans="1:4" ht="15.75" customHeight="1" x14ac:dyDescent="0.3">
      <c r="A105" s="395" t="s">
        <v>172</v>
      </c>
      <c r="B105" s="265"/>
    </row>
    <row r="106" spans="1:4" ht="15.75" customHeight="1" x14ac:dyDescent="0.25">
      <c r="A106" s="260" t="s">
        <v>726</v>
      </c>
      <c r="B106" s="265">
        <f>D19</f>
        <v>256</v>
      </c>
    </row>
    <row r="107" spans="1:4" ht="15.75" customHeight="1" x14ac:dyDescent="0.25">
      <c r="A107" s="260" t="s">
        <v>727</v>
      </c>
      <c r="B107" s="265">
        <f>D20</f>
        <v>137</v>
      </c>
    </row>
    <row r="108" spans="1:4" ht="15.75" customHeight="1" x14ac:dyDescent="0.3">
      <c r="A108" s="396" t="s">
        <v>249</v>
      </c>
      <c r="B108" s="265"/>
    </row>
    <row r="109" spans="1:4" ht="15.75" customHeight="1" x14ac:dyDescent="0.25">
      <c r="A109" s="260" t="s">
        <v>726</v>
      </c>
      <c r="B109" s="265">
        <f>D39</f>
        <v>254</v>
      </c>
    </row>
    <row r="110" spans="1:4" ht="15.75" customHeight="1" x14ac:dyDescent="0.25">
      <c r="A110" s="260" t="s">
        <v>727</v>
      </c>
      <c r="B110" s="265">
        <f>D40</f>
        <v>39</v>
      </c>
    </row>
    <row r="111" spans="1:4" ht="15.75" customHeight="1" x14ac:dyDescent="0.3">
      <c r="A111" s="396" t="s">
        <v>250</v>
      </c>
      <c r="B111" s="265"/>
    </row>
    <row r="112" spans="1:4" ht="15.75" customHeight="1" x14ac:dyDescent="0.25">
      <c r="A112" s="260" t="s">
        <v>726</v>
      </c>
      <c r="B112" s="265">
        <f>D59</f>
        <v>219</v>
      </c>
    </row>
    <row r="113" spans="1:2" ht="15.75" customHeight="1" x14ac:dyDescent="0.25">
      <c r="A113" s="260" t="s">
        <v>727</v>
      </c>
      <c r="B113" s="265">
        <f>D60</f>
        <v>34</v>
      </c>
    </row>
    <row r="114" spans="1:2" ht="15.75" customHeight="1" x14ac:dyDescent="0.3">
      <c r="A114" s="396" t="s">
        <v>731</v>
      </c>
      <c r="B114" s="265"/>
    </row>
    <row r="115" spans="1:2" ht="15.75" customHeight="1" x14ac:dyDescent="0.25">
      <c r="A115" s="260" t="s">
        <v>726</v>
      </c>
      <c r="B115" s="265">
        <f>AVERAGE(B109,B112)</f>
        <v>236.5</v>
      </c>
    </row>
    <row r="116" spans="1:2" ht="15.75" customHeight="1" thickBot="1" x14ac:dyDescent="0.3">
      <c r="A116" s="261" t="s">
        <v>727</v>
      </c>
      <c r="B116" s="397">
        <f>AVERAGE(B110,B113)</f>
        <v>36.5</v>
      </c>
    </row>
    <row r="117" spans="1:2" ht="15.75" customHeight="1" thickBot="1" x14ac:dyDescent="0.3"/>
    <row r="118" spans="1:2" ht="15.75" customHeight="1" x14ac:dyDescent="0.3">
      <c r="A118" s="393" t="s">
        <v>729</v>
      </c>
      <c r="B118" s="394" t="s">
        <v>725</v>
      </c>
    </row>
    <row r="119" spans="1:2" ht="15.75" customHeight="1" x14ac:dyDescent="0.3">
      <c r="A119" s="395" t="s">
        <v>172</v>
      </c>
      <c r="B119" s="265"/>
    </row>
    <row r="120" spans="1:2" ht="15.75" customHeight="1" x14ac:dyDescent="0.25">
      <c r="A120" s="260" t="s">
        <v>726</v>
      </c>
      <c r="B120" s="259">
        <f>B106*D14/1000</f>
        <v>100787.2</v>
      </c>
    </row>
    <row r="121" spans="1:2" ht="15.75" customHeight="1" x14ac:dyDescent="0.25">
      <c r="A121" s="260" t="s">
        <v>727</v>
      </c>
      <c r="B121" s="259">
        <f>B107*D14/1000</f>
        <v>53936.9</v>
      </c>
    </row>
    <row r="122" spans="1:2" ht="15.75" customHeight="1" x14ac:dyDescent="0.3">
      <c r="A122" s="396" t="s">
        <v>731</v>
      </c>
      <c r="B122" s="265"/>
    </row>
    <row r="123" spans="1:2" ht="15.75" customHeight="1" x14ac:dyDescent="0.25">
      <c r="A123" s="260" t="s">
        <v>726</v>
      </c>
      <c r="B123" s="259">
        <f>B115*D14/1000</f>
        <v>93110.05</v>
      </c>
    </row>
    <row r="124" spans="1:2" ht="15.75" customHeight="1" thickBot="1" x14ac:dyDescent="0.3">
      <c r="A124" s="261" t="s">
        <v>727</v>
      </c>
      <c r="B124" s="262">
        <f>B116*D14/1000</f>
        <v>14370.05</v>
      </c>
    </row>
    <row r="125" spans="1:2" ht="15.75" customHeight="1" thickBot="1" x14ac:dyDescent="0.3">
      <c r="B125" s="392"/>
    </row>
    <row r="126" spans="1:2" ht="15.75" customHeight="1" x14ac:dyDescent="0.3">
      <c r="A126" s="393" t="s">
        <v>732</v>
      </c>
      <c r="B126" s="394" t="s">
        <v>725</v>
      </c>
    </row>
    <row r="127" spans="1:2" ht="15.75" customHeight="1" x14ac:dyDescent="0.3">
      <c r="A127" s="396" t="s">
        <v>731</v>
      </c>
      <c r="B127" s="399"/>
    </row>
    <row r="128" spans="1:2" ht="15.75" customHeight="1" x14ac:dyDescent="0.25">
      <c r="A128" s="260" t="s">
        <v>726</v>
      </c>
      <c r="B128" s="259">
        <f>B120-B123</f>
        <v>7677.1499999999942</v>
      </c>
    </row>
    <row r="129" spans="1:2" ht="15.75" customHeight="1" thickBot="1" x14ac:dyDescent="0.3">
      <c r="A129" s="261" t="s">
        <v>727</v>
      </c>
      <c r="B129" s="262">
        <f>B121-B124</f>
        <v>39566.850000000006</v>
      </c>
    </row>
    <row r="130" spans="1:2" ht="15.75" customHeight="1" x14ac:dyDescent="0.25"/>
    <row r="131" spans="1:2" ht="15.75" customHeight="1" x14ac:dyDescent="0.25"/>
    <row r="132" spans="1:2" ht="15.75" customHeight="1" x14ac:dyDescent="0.25"/>
    <row r="133" spans="1:2" ht="15.75" customHeight="1" x14ac:dyDescent="0.25"/>
    <row r="134" spans="1:2" ht="15.75" customHeight="1" x14ac:dyDescent="0.25"/>
    <row r="135" spans="1:2" ht="15.75" customHeight="1" x14ac:dyDescent="0.25"/>
    <row r="136" spans="1:2" ht="15.75" customHeight="1" x14ac:dyDescent="0.25"/>
    <row r="137" spans="1:2" ht="15.75" customHeight="1" x14ac:dyDescent="0.25"/>
    <row r="138" spans="1:2" ht="15.75" customHeight="1" x14ac:dyDescent="0.25"/>
    <row r="139" spans="1:2" ht="15.75" customHeight="1" x14ac:dyDescent="0.25"/>
    <row r="140" spans="1:2" ht="15.75" customHeight="1" x14ac:dyDescent="0.25"/>
    <row r="141" spans="1:2" ht="15.75" customHeight="1" x14ac:dyDescent="0.25"/>
    <row r="142" spans="1:2" ht="15.75" customHeight="1" x14ac:dyDescent="0.25"/>
    <row r="143" spans="1:2" ht="15.75" customHeight="1" x14ac:dyDescent="0.25"/>
    <row r="144" spans="1:2"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row r="1010" ht="15.75" customHeight="1" x14ac:dyDescent="0.25"/>
  </sheetData>
  <pageMargins left="0.7" right="0.7" top="0.75" bottom="0.75" header="0" footer="0"/>
  <pageSetup orientation="landscape"/>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10"/>
  <sheetViews>
    <sheetView workbookViewId="0">
      <selection activeCell="D28" sqref="D28"/>
    </sheetView>
  </sheetViews>
  <sheetFormatPr baseColWidth="10" defaultColWidth="12.58203125" defaultRowHeight="12.5" x14ac:dyDescent="0.25"/>
  <cols>
    <col min="1" max="1" width="43.58203125" style="442" customWidth="1"/>
    <col min="2" max="2" width="22.58203125" style="442" customWidth="1"/>
    <col min="3" max="3" width="17" style="443" customWidth="1"/>
    <col min="4" max="4" width="16" style="442" customWidth="1"/>
    <col min="5" max="26" width="9.33203125" style="442" customWidth="1"/>
    <col min="27" max="16384" width="12.58203125" style="442"/>
  </cols>
  <sheetData>
    <row r="1" spans="1:4" ht="13" x14ac:dyDescent="0.3">
      <c r="A1" s="441" t="s">
        <v>764</v>
      </c>
    </row>
    <row r="2" spans="1:4" ht="15" customHeight="1" x14ac:dyDescent="0.25"/>
    <row r="3" spans="1:4" ht="13.5" thickBot="1" x14ac:dyDescent="0.35">
      <c r="A3" s="441" t="s">
        <v>601</v>
      </c>
      <c r="B3" s="444"/>
    </row>
    <row r="4" spans="1:4" x14ac:dyDescent="0.25">
      <c r="A4" s="445" t="s">
        <v>603</v>
      </c>
      <c r="B4" s="446">
        <f>D34</f>
        <v>30750.831468586875</v>
      </c>
    </row>
    <row r="5" spans="1:4" x14ac:dyDescent="0.25">
      <c r="A5" s="447" t="s">
        <v>604</v>
      </c>
      <c r="B5" s="448">
        <f>D54</f>
        <v>26662.982344715427</v>
      </c>
    </row>
    <row r="6" spans="1:4" x14ac:dyDescent="0.25">
      <c r="A6" s="449" t="s">
        <v>605</v>
      </c>
      <c r="B6" s="448">
        <f>D74</f>
        <v>26345.953199504438</v>
      </c>
    </row>
    <row r="7" spans="1:4" x14ac:dyDescent="0.25">
      <c r="A7" s="449" t="s">
        <v>308</v>
      </c>
      <c r="B7" s="448">
        <f>D82</f>
        <v>4087.8491238714469</v>
      </c>
    </row>
    <row r="8" spans="1:4" x14ac:dyDescent="0.25">
      <c r="A8" s="449" t="s">
        <v>315</v>
      </c>
      <c r="B8" s="448">
        <f>D90</f>
        <v>4404.8782690824391</v>
      </c>
    </row>
    <row r="9" spans="1:4" ht="13" thickBot="1" x14ac:dyDescent="0.3">
      <c r="A9" s="450" t="s">
        <v>322</v>
      </c>
      <c r="B9" s="451">
        <f>D98</f>
        <v>4246.363696476943</v>
      </c>
    </row>
    <row r="10" spans="1:4" ht="13" thickBot="1" x14ac:dyDescent="0.3"/>
    <row r="11" spans="1:4" ht="13" x14ac:dyDescent="0.3">
      <c r="A11" s="452" t="s">
        <v>600</v>
      </c>
      <c r="B11" s="326" t="s">
        <v>253</v>
      </c>
      <c r="C11" s="326" t="s">
        <v>254</v>
      </c>
      <c r="D11" s="453" t="s">
        <v>255</v>
      </c>
    </row>
    <row r="12" spans="1:4" ht="13" x14ac:dyDescent="0.3">
      <c r="A12" s="454" t="str">
        <f>+'Input_Area and Costs'!K3</f>
        <v>Costa Rica</v>
      </c>
      <c r="B12" s="329"/>
      <c r="C12" s="329"/>
      <c r="D12" s="455"/>
    </row>
    <row r="13" spans="1:4" x14ac:dyDescent="0.25">
      <c r="A13" s="447" t="s">
        <v>256</v>
      </c>
      <c r="B13" s="329"/>
      <c r="C13" s="329"/>
      <c r="D13" s="456" t="str">
        <f>+'Input_Area and Costs'!A7</f>
        <v>Education</v>
      </c>
    </row>
    <row r="14" spans="1:4" x14ac:dyDescent="0.25">
      <c r="A14" s="447" t="s">
        <v>247</v>
      </c>
      <c r="B14" s="329" t="s">
        <v>257</v>
      </c>
      <c r="C14" s="329" t="s">
        <v>251</v>
      </c>
      <c r="D14" s="457">
        <f>+'Input_Area and Costs'!K7</f>
        <v>72800</v>
      </c>
    </row>
    <row r="15" spans="1:4" x14ac:dyDescent="0.25">
      <c r="A15" s="447" t="s">
        <v>258</v>
      </c>
      <c r="B15" s="329" t="s">
        <v>259</v>
      </c>
      <c r="C15" s="329" t="s">
        <v>260</v>
      </c>
      <c r="D15" s="457">
        <f>'General Inputs&amp;Outputs'!$C$12</f>
        <v>15</v>
      </c>
    </row>
    <row r="16" spans="1:4" x14ac:dyDescent="0.25">
      <c r="A16" s="442" t="s">
        <v>172</v>
      </c>
      <c r="B16" s="329"/>
      <c r="C16" s="329"/>
      <c r="D16" s="455"/>
    </row>
    <row r="17" spans="1:4" ht="13" x14ac:dyDescent="0.3">
      <c r="A17" s="454" t="s">
        <v>285</v>
      </c>
      <c r="B17" s="329"/>
      <c r="C17" s="329"/>
      <c r="D17" s="455"/>
    </row>
    <row r="18" spans="1:4" ht="13" x14ac:dyDescent="0.3">
      <c r="A18" s="454" t="s">
        <v>261</v>
      </c>
      <c r="B18" s="329"/>
      <c r="C18" s="333"/>
      <c r="D18" s="455"/>
    </row>
    <row r="19" spans="1:4" ht="13" x14ac:dyDescent="0.3">
      <c r="A19" s="458" t="s">
        <v>262</v>
      </c>
      <c r="B19" s="329" t="s">
        <v>263</v>
      </c>
      <c r="C19" s="329" t="s">
        <v>264</v>
      </c>
      <c r="D19" s="456">
        <f>+'Energy use'!B491-D20</f>
        <v>34</v>
      </c>
    </row>
    <row r="20" spans="1:4" ht="13" x14ac:dyDescent="0.3">
      <c r="A20" s="458" t="s">
        <v>265</v>
      </c>
      <c r="B20" s="329" t="s">
        <v>266</v>
      </c>
      <c r="C20" s="329" t="s">
        <v>264</v>
      </c>
      <c r="D20" s="456">
        <f>+'Energy use'!B494</f>
        <v>3</v>
      </c>
    </row>
    <row r="21" spans="1:4" ht="13" x14ac:dyDescent="0.3">
      <c r="A21" s="454" t="s">
        <v>267</v>
      </c>
      <c r="B21" s="329"/>
      <c r="C21" s="333"/>
      <c r="D21" s="455"/>
    </row>
    <row r="22" spans="1:4" ht="13" x14ac:dyDescent="0.3">
      <c r="A22" s="458" t="str">
        <f t="shared" ref="A22:A23" si="0">A19</f>
        <v>Electricity</v>
      </c>
      <c r="B22" s="329" t="s">
        <v>268</v>
      </c>
      <c r="C22" s="329" t="s">
        <v>269</v>
      </c>
      <c r="D22" s="459">
        <f>+'Input_Energy Context'!K12</f>
        <v>0.14515986502334785</v>
      </c>
    </row>
    <row r="23" spans="1:4" ht="13" x14ac:dyDescent="0.3">
      <c r="A23" s="458" t="str">
        <f t="shared" si="0"/>
        <v>Natural gas</v>
      </c>
      <c r="B23" s="329" t="s">
        <v>270</v>
      </c>
      <c r="C23" s="329" t="s">
        <v>269</v>
      </c>
      <c r="D23" s="456">
        <f>+'Input_Energy Context'!B13</f>
        <v>0.23100000000000001</v>
      </c>
    </row>
    <row r="24" spans="1:4" ht="13" x14ac:dyDescent="0.3">
      <c r="A24" s="454" t="s">
        <v>271</v>
      </c>
      <c r="B24" s="329"/>
      <c r="C24" s="333"/>
      <c r="D24" s="455"/>
    </row>
    <row r="25" spans="1:4" ht="13" x14ac:dyDescent="0.3">
      <c r="A25" s="458" t="str">
        <f t="shared" ref="A25:A26" si="1">A22</f>
        <v>Electricity</v>
      </c>
      <c r="B25" s="329" t="s">
        <v>272</v>
      </c>
      <c r="C25" s="329" t="s">
        <v>273</v>
      </c>
      <c r="D25" s="460">
        <f t="shared" ref="D25:D26" si="2">+D19*D22</f>
        <v>4.9354354107938265</v>
      </c>
    </row>
    <row r="26" spans="1:4" ht="13" x14ac:dyDescent="0.3">
      <c r="A26" s="458" t="str">
        <f t="shared" si="1"/>
        <v>Natural gas</v>
      </c>
      <c r="B26" s="329" t="s">
        <v>274</v>
      </c>
      <c r="C26" s="329" t="s">
        <v>273</v>
      </c>
      <c r="D26" s="460">
        <f t="shared" si="2"/>
        <v>0.69300000000000006</v>
      </c>
    </row>
    <row r="27" spans="1:4" ht="13" x14ac:dyDescent="0.3">
      <c r="A27" s="458" t="s">
        <v>275</v>
      </c>
      <c r="B27" s="329" t="s">
        <v>276</v>
      </c>
      <c r="C27" s="329" t="s">
        <v>273</v>
      </c>
      <c r="D27" s="460">
        <f>'Input_LC Materials'!K24/'Input_LC Materials'!E8</f>
        <v>337.97500000000019</v>
      </c>
    </row>
    <row r="28" spans="1:4" ht="13" x14ac:dyDescent="0.3">
      <c r="A28" s="454" t="s">
        <v>277</v>
      </c>
      <c r="B28" s="329"/>
      <c r="C28" s="333"/>
      <c r="D28" s="455"/>
    </row>
    <row r="29" spans="1:4" ht="13" x14ac:dyDescent="0.3">
      <c r="A29" s="458" t="str">
        <f t="shared" ref="A29:A30" si="3">A25</f>
        <v>Electricity</v>
      </c>
      <c r="B29" s="329" t="s">
        <v>278</v>
      </c>
      <c r="C29" s="329" t="s">
        <v>279</v>
      </c>
      <c r="D29" s="457">
        <f>+D25*D14/1000</f>
        <v>359.29969790579059</v>
      </c>
    </row>
    <row r="30" spans="1:4" ht="13" x14ac:dyDescent="0.3">
      <c r="A30" s="458" t="str">
        <f t="shared" si="3"/>
        <v>Natural gas</v>
      </c>
      <c r="B30" s="329" t="s">
        <v>280</v>
      </c>
      <c r="C30" s="329" t="s">
        <v>279</v>
      </c>
      <c r="D30" s="457">
        <f>+D26*D14/1000</f>
        <v>50.450400000000002</v>
      </c>
    </row>
    <row r="31" spans="1:4" ht="13" x14ac:dyDescent="0.3">
      <c r="A31" s="458" t="str">
        <f>$A$25</f>
        <v>Electricity</v>
      </c>
      <c r="B31" s="329" t="s">
        <v>281</v>
      </c>
      <c r="C31" s="329" t="s">
        <v>577</v>
      </c>
      <c r="D31" s="457">
        <f t="shared" ref="D31:D32" si="4">D29*$D$15</f>
        <v>5389.4954685868588</v>
      </c>
    </row>
    <row r="32" spans="1:4" ht="13" x14ac:dyDescent="0.3">
      <c r="A32" s="458" t="str">
        <f>$A$26</f>
        <v>Natural gas</v>
      </c>
      <c r="B32" s="329" t="s">
        <v>282</v>
      </c>
      <c r="C32" s="329" t="s">
        <v>577</v>
      </c>
      <c r="D32" s="457">
        <f t="shared" si="4"/>
        <v>756.75600000000009</v>
      </c>
    </row>
    <row r="33" spans="1:4" ht="13" x14ac:dyDescent="0.3">
      <c r="A33" s="458" t="s">
        <v>275</v>
      </c>
      <c r="B33" s="329" t="s">
        <v>283</v>
      </c>
      <c r="C33" s="329" t="s">
        <v>577</v>
      </c>
      <c r="D33" s="457">
        <f>+D27*D14/1000</f>
        <v>24604.580000000016</v>
      </c>
    </row>
    <row r="34" spans="1:4" ht="13.5" thickBot="1" x14ac:dyDescent="0.35">
      <c r="A34" s="461" t="s">
        <v>284</v>
      </c>
      <c r="B34" s="332"/>
      <c r="C34" s="332" t="s">
        <v>577</v>
      </c>
      <c r="D34" s="462">
        <f>SUM(D31:D33)</f>
        <v>30750.831468586875</v>
      </c>
    </row>
    <row r="35" spans="1:4" ht="13" thickBot="1" x14ac:dyDescent="0.3">
      <c r="B35" s="330"/>
      <c r="C35" s="330"/>
    </row>
    <row r="36" spans="1:4" ht="13" x14ac:dyDescent="0.3">
      <c r="A36" s="452" t="s">
        <v>249</v>
      </c>
      <c r="B36" s="326"/>
      <c r="C36" s="326"/>
      <c r="D36" s="453"/>
    </row>
    <row r="37" spans="1:4" ht="13" x14ac:dyDescent="0.3">
      <c r="A37" s="454" t="s">
        <v>285</v>
      </c>
      <c r="B37" s="329"/>
      <c r="C37" s="329"/>
      <c r="D37" s="455"/>
    </row>
    <row r="38" spans="1:4" ht="13" x14ac:dyDescent="0.3">
      <c r="A38" s="454" t="s">
        <v>261</v>
      </c>
      <c r="B38" s="329"/>
      <c r="C38" s="333"/>
      <c r="D38" s="455"/>
    </row>
    <row r="39" spans="1:4" ht="13" x14ac:dyDescent="0.3">
      <c r="A39" s="458" t="s">
        <v>262</v>
      </c>
      <c r="B39" s="329" t="s">
        <v>286</v>
      </c>
      <c r="C39" s="329" t="s">
        <v>264</v>
      </c>
      <c r="D39" s="456">
        <f>+'Energy use'!C491-D40</f>
        <v>21</v>
      </c>
    </row>
    <row r="40" spans="1:4" ht="13" x14ac:dyDescent="0.3">
      <c r="A40" s="458" t="s">
        <v>265</v>
      </c>
      <c r="B40" s="329" t="s">
        <v>287</v>
      </c>
      <c r="C40" s="329" t="s">
        <v>264</v>
      </c>
      <c r="D40" s="456">
        <f>+'Energy use'!C494</f>
        <v>3</v>
      </c>
    </row>
    <row r="41" spans="1:4" ht="13" x14ac:dyDescent="0.3">
      <c r="A41" s="454" t="s">
        <v>267</v>
      </c>
      <c r="B41" s="329"/>
      <c r="C41" s="329"/>
      <c r="D41" s="455"/>
    </row>
    <row r="42" spans="1:4" ht="13" x14ac:dyDescent="0.3">
      <c r="A42" s="458" t="str">
        <f t="shared" ref="A42:A43" si="5">A39</f>
        <v>Electricity</v>
      </c>
      <c r="B42" s="329" t="s">
        <v>268</v>
      </c>
      <c r="C42" s="329" t="s">
        <v>269</v>
      </c>
      <c r="D42" s="459">
        <f t="shared" ref="D42:D43" si="6">+D22</f>
        <v>0.14515986502334785</v>
      </c>
    </row>
    <row r="43" spans="1:4" ht="13" x14ac:dyDescent="0.3">
      <c r="A43" s="458" t="str">
        <f t="shared" si="5"/>
        <v>Natural gas</v>
      </c>
      <c r="B43" s="329" t="s">
        <v>270</v>
      </c>
      <c r="C43" s="329" t="s">
        <v>269</v>
      </c>
      <c r="D43" s="456">
        <f t="shared" si="6"/>
        <v>0.23100000000000001</v>
      </c>
    </row>
    <row r="44" spans="1:4" ht="13" x14ac:dyDescent="0.3">
      <c r="A44" s="454" t="s">
        <v>271</v>
      </c>
      <c r="B44" s="329"/>
      <c r="C44" s="329"/>
      <c r="D44" s="455"/>
    </row>
    <row r="45" spans="1:4" ht="13" x14ac:dyDescent="0.3">
      <c r="A45" s="458" t="str">
        <f>A42</f>
        <v>Electricity</v>
      </c>
      <c r="B45" s="329" t="s">
        <v>288</v>
      </c>
      <c r="C45" s="329" t="s">
        <v>273</v>
      </c>
      <c r="D45" s="457">
        <f>+D39*D42</f>
        <v>3.0483571654903048</v>
      </c>
    </row>
    <row r="46" spans="1:4" ht="13" x14ac:dyDescent="0.3">
      <c r="A46" s="458" t="str">
        <f>A43</f>
        <v>Natural gas</v>
      </c>
      <c r="B46" s="329" t="s">
        <v>289</v>
      </c>
      <c r="C46" s="329" t="s">
        <v>273</v>
      </c>
      <c r="D46" s="460">
        <f>+D40*D43</f>
        <v>0.69300000000000006</v>
      </c>
    </row>
    <row r="47" spans="1:4" ht="13" x14ac:dyDescent="0.3">
      <c r="A47" s="458" t="s">
        <v>275</v>
      </c>
      <c r="B47" s="329" t="s">
        <v>290</v>
      </c>
      <c r="C47" s="329" t="s">
        <v>273</v>
      </c>
      <c r="D47" s="460">
        <f>D27-'Input_LC Materials'!K24</f>
        <v>310.1294000000002</v>
      </c>
    </row>
    <row r="48" spans="1:4" ht="13" x14ac:dyDescent="0.3">
      <c r="A48" s="454" t="s">
        <v>277</v>
      </c>
      <c r="B48" s="329"/>
      <c r="C48" s="329"/>
      <c r="D48" s="455"/>
    </row>
    <row r="49" spans="1:5" ht="13" x14ac:dyDescent="0.3">
      <c r="A49" s="458" t="str">
        <f t="shared" ref="A49:A50" si="7">A45</f>
        <v>Electricity</v>
      </c>
      <c r="B49" s="329" t="s">
        <v>291</v>
      </c>
      <c r="C49" s="329" t="s">
        <v>279</v>
      </c>
      <c r="D49" s="457">
        <f>+D45*D14/1000</f>
        <v>221.92040164769418</v>
      </c>
    </row>
    <row r="50" spans="1:5" ht="13" x14ac:dyDescent="0.3">
      <c r="A50" s="458" t="str">
        <f t="shared" si="7"/>
        <v>Natural gas</v>
      </c>
      <c r="B50" s="329" t="s">
        <v>292</v>
      </c>
      <c r="C50" s="329" t="s">
        <v>279</v>
      </c>
      <c r="D50" s="457">
        <f>+D46*D14/1000</f>
        <v>50.450400000000002</v>
      </c>
    </row>
    <row r="51" spans="1:5" ht="13" x14ac:dyDescent="0.3">
      <c r="A51" s="458" t="str">
        <f>A49</f>
        <v>Electricity</v>
      </c>
      <c r="B51" s="329" t="s">
        <v>293</v>
      </c>
      <c r="C51" s="329" t="str">
        <f>$C$31</f>
        <v>tCO2 over lifetime</v>
      </c>
      <c r="D51" s="457">
        <f>D49*$D$15</f>
        <v>3328.8060247154126</v>
      </c>
    </row>
    <row r="52" spans="1:5" ht="13" x14ac:dyDescent="0.3">
      <c r="A52" s="458" t="str">
        <f>A50</f>
        <v>Natural gas</v>
      </c>
      <c r="B52" s="329" t="s">
        <v>294</v>
      </c>
      <c r="C52" s="329" t="str">
        <f>$C$31</f>
        <v>tCO2 over lifetime</v>
      </c>
      <c r="D52" s="457">
        <f t="shared" ref="D52" si="8">D50*$D$15</f>
        <v>756.75600000000009</v>
      </c>
    </row>
    <row r="53" spans="1:5" ht="13" x14ac:dyDescent="0.3">
      <c r="A53" s="458" t="s">
        <v>275</v>
      </c>
      <c r="B53" s="329" t="s">
        <v>295</v>
      </c>
      <c r="C53" s="329" t="str">
        <f>C$33</f>
        <v>tCO2 over lifetime</v>
      </c>
      <c r="D53" s="457">
        <f>D47*D14/1000</f>
        <v>22577.420320000016</v>
      </c>
    </row>
    <row r="54" spans="1:5" ht="13.5" thickBot="1" x14ac:dyDescent="0.35">
      <c r="A54" s="461" t="s">
        <v>284</v>
      </c>
      <c r="B54" s="332"/>
      <c r="C54" s="332" t="str">
        <f>C$34</f>
        <v>tCO2 over lifetime</v>
      </c>
      <c r="D54" s="462">
        <f>SUM(D51:D53)</f>
        <v>26662.982344715427</v>
      </c>
      <c r="E54" s="444"/>
    </row>
    <row r="55" spans="1:5" ht="13" thickBot="1" x14ac:dyDescent="0.3">
      <c r="A55" s="444"/>
      <c r="B55" s="330"/>
      <c r="C55" s="330"/>
      <c r="D55" s="444"/>
      <c r="E55" s="444"/>
    </row>
    <row r="56" spans="1:5" ht="13" x14ac:dyDescent="0.3">
      <c r="A56" s="452" t="s">
        <v>250</v>
      </c>
      <c r="B56" s="326"/>
      <c r="C56" s="326"/>
      <c r="D56" s="453"/>
      <c r="E56" s="444"/>
    </row>
    <row r="57" spans="1:5" ht="13" x14ac:dyDescent="0.3">
      <c r="A57" s="454" t="s">
        <v>285</v>
      </c>
      <c r="B57" s="329"/>
      <c r="C57" s="329"/>
      <c r="D57" s="455"/>
      <c r="E57" s="444"/>
    </row>
    <row r="58" spans="1:5" ht="13" x14ac:dyDescent="0.3">
      <c r="A58" s="454" t="s">
        <v>261</v>
      </c>
      <c r="B58" s="329"/>
      <c r="C58" s="329"/>
      <c r="D58" s="455"/>
    </row>
    <row r="59" spans="1:5" ht="13" x14ac:dyDescent="0.3">
      <c r="A59" s="458" t="s">
        <v>262</v>
      </c>
      <c r="B59" s="329" t="s">
        <v>296</v>
      </c>
      <c r="C59" s="329" t="s">
        <v>264</v>
      </c>
      <c r="D59" s="456">
        <f>+'Energy use'!D491-D60</f>
        <v>19</v>
      </c>
    </row>
    <row r="60" spans="1:5" ht="13" x14ac:dyDescent="0.3">
      <c r="A60" s="458" t="s">
        <v>265</v>
      </c>
      <c r="B60" s="329" t="s">
        <v>297</v>
      </c>
      <c r="C60" s="329" t="s">
        <v>264</v>
      </c>
      <c r="D60" s="456">
        <f>+'Energy use'!D494</f>
        <v>3</v>
      </c>
    </row>
    <row r="61" spans="1:5" ht="13" x14ac:dyDescent="0.3">
      <c r="A61" s="454" t="s">
        <v>267</v>
      </c>
      <c r="B61" s="329"/>
      <c r="C61" s="329"/>
      <c r="D61" s="455"/>
    </row>
    <row r="62" spans="1:5" ht="13" x14ac:dyDescent="0.3">
      <c r="A62" s="458" t="str">
        <f t="shared" ref="A62:A63" si="9">A59</f>
        <v>Electricity</v>
      </c>
      <c r="B62" s="329" t="s">
        <v>268</v>
      </c>
      <c r="C62" s="329" t="s">
        <v>269</v>
      </c>
      <c r="D62" s="459">
        <f>+D42</f>
        <v>0.14515986502334785</v>
      </c>
    </row>
    <row r="63" spans="1:5" ht="13" x14ac:dyDescent="0.3">
      <c r="A63" s="458" t="str">
        <f t="shared" si="9"/>
        <v>Natural gas</v>
      </c>
      <c r="B63" s="329" t="s">
        <v>270</v>
      </c>
      <c r="C63" s="329" t="s">
        <v>269</v>
      </c>
      <c r="D63" s="456">
        <f>+D43</f>
        <v>0.23100000000000001</v>
      </c>
    </row>
    <row r="64" spans="1:5" ht="13" x14ac:dyDescent="0.3">
      <c r="A64" s="454" t="s">
        <v>271</v>
      </c>
      <c r="B64" s="329"/>
      <c r="C64" s="329"/>
      <c r="D64" s="455"/>
    </row>
    <row r="65" spans="1:4" ht="13" x14ac:dyDescent="0.3">
      <c r="A65" s="458" t="str">
        <f t="shared" ref="A65:A66" si="10">A62</f>
        <v>Electricity</v>
      </c>
      <c r="B65" s="329" t="s">
        <v>299</v>
      </c>
      <c r="C65" s="329" t="s">
        <v>273</v>
      </c>
      <c r="D65" s="457">
        <f t="shared" ref="D65:D66" si="11">+D59*D62</f>
        <v>2.758037435443609</v>
      </c>
    </row>
    <row r="66" spans="1:4" ht="13" x14ac:dyDescent="0.3">
      <c r="A66" s="458" t="str">
        <f t="shared" si="10"/>
        <v>Natural gas</v>
      </c>
      <c r="B66" s="329" t="s">
        <v>300</v>
      </c>
      <c r="C66" s="329" t="s">
        <v>273</v>
      </c>
      <c r="D66" s="460">
        <f t="shared" si="11"/>
        <v>0.69300000000000006</v>
      </c>
    </row>
    <row r="67" spans="1:4" ht="13" x14ac:dyDescent="0.3">
      <c r="A67" s="458" t="s">
        <v>275</v>
      </c>
      <c r="B67" s="329" t="s">
        <v>301</v>
      </c>
      <c r="C67" s="329" t="s">
        <v>273</v>
      </c>
      <c r="D67" s="460">
        <f>D47</f>
        <v>310.1294000000002</v>
      </c>
    </row>
    <row r="68" spans="1:4" ht="13" x14ac:dyDescent="0.3">
      <c r="A68" s="454" t="s">
        <v>277</v>
      </c>
      <c r="B68" s="329"/>
      <c r="C68" s="329"/>
      <c r="D68" s="455"/>
    </row>
    <row r="69" spans="1:4" ht="13" x14ac:dyDescent="0.3">
      <c r="A69" s="458" t="str">
        <f t="shared" ref="A69:A70" si="12">A65</f>
        <v>Electricity</v>
      </c>
      <c r="B69" s="329" t="s">
        <v>303</v>
      </c>
      <c r="C69" s="329" t="s">
        <v>279</v>
      </c>
      <c r="D69" s="457">
        <f t="shared" ref="D69:D70" si="13">+D65*$D$14/1000</f>
        <v>200.78512530029474</v>
      </c>
    </row>
    <row r="70" spans="1:4" ht="13" x14ac:dyDescent="0.3">
      <c r="A70" s="458" t="str">
        <f t="shared" si="12"/>
        <v>Natural gas</v>
      </c>
      <c r="B70" s="329" t="s">
        <v>304</v>
      </c>
      <c r="C70" s="329" t="s">
        <v>279</v>
      </c>
      <c r="D70" s="457">
        <f t="shared" si="13"/>
        <v>50.450400000000002</v>
      </c>
    </row>
    <row r="71" spans="1:4" ht="13" x14ac:dyDescent="0.3">
      <c r="A71" s="458" t="s">
        <v>262</v>
      </c>
      <c r="B71" s="329" t="s">
        <v>305</v>
      </c>
      <c r="C71" s="329" t="str">
        <f>$C$31</f>
        <v>tCO2 over lifetime</v>
      </c>
      <c r="D71" s="457">
        <f t="shared" ref="D71:D72" si="14">D69*$D$15</f>
        <v>3011.7768795044212</v>
      </c>
    </row>
    <row r="72" spans="1:4" ht="13" x14ac:dyDescent="0.3">
      <c r="A72" s="458" t="s">
        <v>265</v>
      </c>
      <c r="B72" s="329" t="s">
        <v>306</v>
      </c>
      <c r="C72" s="329" t="str">
        <f>$C$31</f>
        <v>tCO2 over lifetime</v>
      </c>
      <c r="D72" s="457">
        <f t="shared" si="14"/>
        <v>756.75600000000009</v>
      </c>
    </row>
    <row r="73" spans="1:4" ht="13" x14ac:dyDescent="0.3">
      <c r="A73" s="458" t="s">
        <v>275</v>
      </c>
      <c r="B73" s="329" t="s">
        <v>307</v>
      </c>
      <c r="C73" s="329" t="str">
        <f>C$33</f>
        <v>tCO2 over lifetime</v>
      </c>
      <c r="D73" s="457">
        <f>D67*D14/1000</f>
        <v>22577.420320000016</v>
      </c>
    </row>
    <row r="74" spans="1:4" ht="13.5" thickBot="1" x14ac:dyDescent="0.35">
      <c r="A74" s="461" t="s">
        <v>284</v>
      </c>
      <c r="B74" s="332"/>
      <c r="C74" s="332" t="str">
        <f>C$34</f>
        <v>tCO2 over lifetime</v>
      </c>
      <c r="D74" s="462">
        <f>SUM(D71:D73)</f>
        <v>26345.953199504438</v>
      </c>
    </row>
    <row r="75" spans="1:4" ht="13" thickBot="1" x14ac:dyDescent="0.3">
      <c r="B75" s="330"/>
      <c r="C75" s="330"/>
    </row>
    <row r="76" spans="1:4" ht="13" x14ac:dyDescent="0.3">
      <c r="A76" s="463" t="s">
        <v>308</v>
      </c>
      <c r="B76" s="331"/>
      <c r="C76" s="331"/>
      <c r="D76" s="464"/>
    </row>
    <row r="77" spans="1:4" x14ac:dyDescent="0.25">
      <c r="A77" s="447" t="s">
        <v>262</v>
      </c>
      <c r="B77" s="329" t="s">
        <v>309</v>
      </c>
      <c r="C77" s="334" t="s">
        <v>279</v>
      </c>
      <c r="D77" s="457">
        <f>+D29-D49</f>
        <v>137.37929625809642</v>
      </c>
    </row>
    <row r="78" spans="1:4" x14ac:dyDescent="0.25">
      <c r="A78" s="447" t="s">
        <v>265</v>
      </c>
      <c r="B78" s="329" t="s">
        <v>310</v>
      </c>
      <c r="C78" s="329" t="s">
        <v>279</v>
      </c>
      <c r="D78" s="457">
        <f>+D30-D50</f>
        <v>0</v>
      </c>
    </row>
    <row r="79" spans="1:4" x14ac:dyDescent="0.25">
      <c r="A79" s="447" t="s">
        <v>262</v>
      </c>
      <c r="B79" s="329" t="s">
        <v>311</v>
      </c>
      <c r="C79" s="329" t="str">
        <f>$C$31</f>
        <v>tCO2 over lifetime</v>
      </c>
      <c r="D79" s="457">
        <f>D77*$D$15</f>
        <v>2060.6894438714462</v>
      </c>
    </row>
    <row r="80" spans="1:4" x14ac:dyDescent="0.25">
      <c r="A80" s="447" t="s">
        <v>265</v>
      </c>
      <c r="B80" s="329" t="s">
        <v>312</v>
      </c>
      <c r="C80" s="329" t="str">
        <f>$C$31</f>
        <v>tCO2 over lifetime</v>
      </c>
      <c r="D80" s="457">
        <f t="shared" ref="D80" si="15">D78*$D$15</f>
        <v>0</v>
      </c>
    </row>
    <row r="81" spans="1:4" x14ac:dyDescent="0.25">
      <c r="A81" s="447" t="s">
        <v>275</v>
      </c>
      <c r="B81" s="329" t="s">
        <v>313</v>
      </c>
      <c r="C81" s="329" t="str">
        <f>$C$31</f>
        <v>tCO2 over lifetime</v>
      </c>
      <c r="D81" s="457">
        <f>+D33-D53</f>
        <v>2027.1596800000007</v>
      </c>
    </row>
    <row r="82" spans="1:4" ht="13.5" thickBot="1" x14ac:dyDescent="0.35">
      <c r="A82" s="465" t="s">
        <v>284</v>
      </c>
      <c r="B82" s="332" t="s">
        <v>314</v>
      </c>
      <c r="C82" s="332" t="str">
        <f>$C$31</f>
        <v>tCO2 over lifetime</v>
      </c>
      <c r="D82" s="462">
        <f>SUM(D79:D81)</f>
        <v>4087.8491238714469</v>
      </c>
    </row>
    <row r="83" spans="1:4" ht="13" thickBot="1" x14ac:dyDescent="0.3">
      <c r="B83" s="330"/>
      <c r="C83" s="330"/>
    </row>
    <row r="84" spans="1:4" ht="13" x14ac:dyDescent="0.3">
      <c r="A84" s="463" t="s">
        <v>315</v>
      </c>
      <c r="B84" s="331"/>
      <c r="C84" s="331"/>
      <c r="D84" s="464"/>
    </row>
    <row r="85" spans="1:4" x14ac:dyDescent="0.25">
      <c r="A85" s="447" t="s">
        <v>262</v>
      </c>
      <c r="B85" s="329" t="s">
        <v>316</v>
      </c>
      <c r="C85" s="329" t="s">
        <v>279</v>
      </c>
      <c r="D85" s="457">
        <f>+D29-D69</f>
        <v>158.51457260549586</v>
      </c>
    </row>
    <row r="86" spans="1:4" x14ac:dyDescent="0.25">
      <c r="A86" s="447" t="s">
        <v>265</v>
      </c>
      <c r="B86" s="329" t="s">
        <v>317</v>
      </c>
      <c r="C86" s="329" t="s">
        <v>279</v>
      </c>
      <c r="D86" s="457">
        <f>+D30-D70</f>
        <v>0</v>
      </c>
    </row>
    <row r="87" spans="1:4" x14ac:dyDescent="0.25">
      <c r="A87" s="447" t="s">
        <v>262</v>
      </c>
      <c r="B87" s="329" t="s">
        <v>318</v>
      </c>
      <c r="C87" s="329" t="str">
        <f>$C$31</f>
        <v>tCO2 over lifetime</v>
      </c>
      <c r="D87" s="457">
        <f t="shared" ref="D87:D88" si="16">D85*$D$15</f>
        <v>2377.718589082438</v>
      </c>
    </row>
    <row r="88" spans="1:4" x14ac:dyDescent="0.25">
      <c r="A88" s="447" t="s">
        <v>265</v>
      </c>
      <c r="B88" s="329" t="s">
        <v>319</v>
      </c>
      <c r="C88" s="329" t="str">
        <f>$C$31</f>
        <v>tCO2 over lifetime</v>
      </c>
      <c r="D88" s="457">
        <f t="shared" si="16"/>
        <v>0</v>
      </c>
    </row>
    <row r="89" spans="1:4" x14ac:dyDescent="0.25">
      <c r="A89" s="447" t="s">
        <v>275</v>
      </c>
      <c r="B89" s="329" t="s">
        <v>320</v>
      </c>
      <c r="C89" s="329" t="str">
        <f>$C$31</f>
        <v>tCO2 over lifetime</v>
      </c>
      <c r="D89" s="457">
        <f>+D33-D73</f>
        <v>2027.1596800000007</v>
      </c>
    </row>
    <row r="90" spans="1:4" ht="13.5" thickBot="1" x14ac:dyDescent="0.35">
      <c r="A90" s="465" t="s">
        <v>284</v>
      </c>
      <c r="B90" s="332" t="s">
        <v>321</v>
      </c>
      <c r="C90" s="332" t="str">
        <f>$C$31</f>
        <v>tCO2 over lifetime</v>
      </c>
      <c r="D90" s="462">
        <f>SUM(D87:D89)</f>
        <v>4404.8782690824391</v>
      </c>
    </row>
    <row r="91" spans="1:4" ht="13" thickBot="1" x14ac:dyDescent="0.3">
      <c r="B91" s="330"/>
      <c r="C91" s="330"/>
    </row>
    <row r="92" spans="1:4" ht="13" x14ac:dyDescent="0.3">
      <c r="A92" s="463" t="s">
        <v>322</v>
      </c>
      <c r="B92" s="331"/>
      <c r="C92" s="331"/>
      <c r="D92" s="464"/>
    </row>
    <row r="93" spans="1:4" x14ac:dyDescent="0.25">
      <c r="A93" s="447" t="s">
        <v>262</v>
      </c>
      <c r="B93" s="329" t="s">
        <v>323</v>
      </c>
      <c r="C93" s="329" t="s">
        <v>279</v>
      </c>
      <c r="D93" s="457">
        <f t="shared" ref="D93:D94" si="17">+AVERAGE(D85,D77)</f>
        <v>147.94693443179614</v>
      </c>
    </row>
    <row r="94" spans="1:4" x14ac:dyDescent="0.25">
      <c r="A94" s="447" t="s">
        <v>265</v>
      </c>
      <c r="B94" s="329" t="s">
        <v>323</v>
      </c>
      <c r="C94" s="329" t="s">
        <v>279</v>
      </c>
      <c r="D94" s="457">
        <f t="shared" si="17"/>
        <v>0</v>
      </c>
    </row>
    <row r="95" spans="1:4" x14ac:dyDescent="0.25">
      <c r="A95" s="447" t="s">
        <v>262</v>
      </c>
      <c r="B95" s="329" t="s">
        <v>323</v>
      </c>
      <c r="C95" s="329" t="str">
        <f>$C$31</f>
        <v>tCO2 over lifetime</v>
      </c>
      <c r="D95" s="457">
        <f t="shared" ref="D95:D96" si="18">D93*$D$15</f>
        <v>2219.2040164769419</v>
      </c>
    </row>
    <row r="96" spans="1:4" x14ac:dyDescent="0.25">
      <c r="A96" s="447" t="s">
        <v>265</v>
      </c>
      <c r="B96" s="329" t="s">
        <v>323</v>
      </c>
      <c r="C96" s="329" t="str">
        <f>$C$31</f>
        <v>tCO2 over lifetime</v>
      </c>
      <c r="D96" s="457">
        <f t="shared" si="18"/>
        <v>0</v>
      </c>
    </row>
    <row r="97" spans="1:4" x14ac:dyDescent="0.25">
      <c r="A97" s="447" t="s">
        <v>275</v>
      </c>
      <c r="B97" s="329" t="s">
        <v>323</v>
      </c>
      <c r="C97" s="329" t="str">
        <f>$C$31</f>
        <v>tCO2 over lifetime</v>
      </c>
      <c r="D97" s="457">
        <f>+AVERAGE(D89,D81)</f>
        <v>2027.1596800000007</v>
      </c>
    </row>
    <row r="98" spans="1:4" ht="13.5" thickBot="1" x14ac:dyDescent="0.35">
      <c r="A98" s="465" t="s">
        <v>284</v>
      </c>
      <c r="B98" s="332" t="s">
        <v>324</v>
      </c>
      <c r="C98" s="332" t="str">
        <f>$C$31</f>
        <v>tCO2 over lifetime</v>
      </c>
      <c r="D98" s="462">
        <f>SUM(D95:D97)</f>
        <v>4246.363696476943</v>
      </c>
    </row>
    <row r="99" spans="1:4" ht="15.75" customHeight="1" x14ac:dyDescent="0.25"/>
    <row r="100" spans="1:4" ht="15.75" customHeight="1" x14ac:dyDescent="0.25">
      <c r="A100" s="442" t="s">
        <v>709</v>
      </c>
      <c r="D100" s="466">
        <f>D97/D98</f>
        <v>0.47738720112030514</v>
      </c>
    </row>
    <row r="101" spans="1:4" ht="15.75" customHeight="1" x14ac:dyDescent="0.25"/>
    <row r="102" spans="1:4" ht="15.75" customHeight="1" x14ac:dyDescent="0.3">
      <c r="A102" s="467" t="s">
        <v>730</v>
      </c>
    </row>
    <row r="103" spans="1:4" ht="15.75" customHeight="1" thickBot="1" x14ac:dyDescent="0.3"/>
    <row r="104" spans="1:4" ht="15.75" customHeight="1" x14ac:dyDescent="0.3">
      <c r="A104" s="468" t="s">
        <v>728</v>
      </c>
      <c r="B104" s="469" t="str">
        <f>C19</f>
        <v>kWh/m2/yr</v>
      </c>
    </row>
    <row r="105" spans="1:4" ht="15.75" customHeight="1" x14ac:dyDescent="0.3">
      <c r="A105" s="470" t="s">
        <v>172</v>
      </c>
      <c r="B105" s="455"/>
    </row>
    <row r="106" spans="1:4" ht="15.75" customHeight="1" x14ac:dyDescent="0.25">
      <c r="A106" s="449" t="s">
        <v>726</v>
      </c>
      <c r="B106" s="455">
        <f>D19</f>
        <v>34</v>
      </c>
    </row>
    <row r="107" spans="1:4" ht="15.75" customHeight="1" x14ac:dyDescent="0.25">
      <c r="A107" s="449" t="s">
        <v>727</v>
      </c>
      <c r="B107" s="455">
        <f>D20</f>
        <v>3</v>
      </c>
    </row>
    <row r="108" spans="1:4" ht="15.75" customHeight="1" x14ac:dyDescent="0.3">
      <c r="A108" s="471" t="s">
        <v>249</v>
      </c>
      <c r="B108" s="455"/>
    </row>
    <row r="109" spans="1:4" ht="15.75" customHeight="1" x14ac:dyDescent="0.25">
      <c r="A109" s="449" t="s">
        <v>726</v>
      </c>
      <c r="B109" s="455">
        <f>D39</f>
        <v>21</v>
      </c>
    </row>
    <row r="110" spans="1:4" ht="15.75" customHeight="1" x14ac:dyDescent="0.25">
      <c r="A110" s="449" t="s">
        <v>727</v>
      </c>
      <c r="B110" s="455">
        <f>D40</f>
        <v>3</v>
      </c>
    </row>
    <row r="111" spans="1:4" ht="15.75" customHeight="1" x14ac:dyDescent="0.3">
      <c r="A111" s="471" t="s">
        <v>250</v>
      </c>
      <c r="B111" s="455"/>
    </row>
    <row r="112" spans="1:4" ht="15.75" customHeight="1" x14ac:dyDescent="0.25">
      <c r="A112" s="449" t="s">
        <v>726</v>
      </c>
      <c r="B112" s="455">
        <f>D59</f>
        <v>19</v>
      </c>
    </row>
    <row r="113" spans="1:2" ht="15.75" customHeight="1" x14ac:dyDescent="0.25">
      <c r="A113" s="449" t="s">
        <v>727</v>
      </c>
      <c r="B113" s="455">
        <f>D60</f>
        <v>3</v>
      </c>
    </row>
    <row r="114" spans="1:2" ht="15.75" customHeight="1" x14ac:dyDescent="0.3">
      <c r="A114" s="471" t="s">
        <v>731</v>
      </c>
      <c r="B114" s="455"/>
    </row>
    <row r="115" spans="1:2" ht="15.75" customHeight="1" x14ac:dyDescent="0.25">
      <c r="A115" s="449" t="s">
        <v>726</v>
      </c>
      <c r="B115" s="455">
        <f>AVERAGE(B109,B112)</f>
        <v>20</v>
      </c>
    </row>
    <row r="116" spans="1:2" ht="15.75" customHeight="1" thickBot="1" x14ac:dyDescent="0.3">
      <c r="A116" s="450" t="s">
        <v>727</v>
      </c>
      <c r="B116" s="472">
        <f>AVERAGE(B110,B113)</f>
        <v>3</v>
      </c>
    </row>
    <row r="117" spans="1:2" ht="15.75" customHeight="1" thickBot="1" x14ac:dyDescent="0.3"/>
    <row r="118" spans="1:2" ht="15.75" customHeight="1" x14ac:dyDescent="0.3">
      <c r="A118" s="468" t="s">
        <v>729</v>
      </c>
      <c r="B118" s="469" t="s">
        <v>725</v>
      </c>
    </row>
    <row r="119" spans="1:2" ht="15.75" customHeight="1" x14ac:dyDescent="0.3">
      <c r="A119" s="470" t="s">
        <v>172</v>
      </c>
      <c r="B119" s="455"/>
    </row>
    <row r="120" spans="1:2" ht="15.75" customHeight="1" x14ac:dyDescent="0.25">
      <c r="A120" s="449" t="s">
        <v>726</v>
      </c>
      <c r="B120" s="448">
        <f>B106*D14/1000</f>
        <v>2475.1999999999998</v>
      </c>
    </row>
    <row r="121" spans="1:2" ht="15.75" customHeight="1" x14ac:dyDescent="0.25">
      <c r="A121" s="449" t="s">
        <v>727</v>
      </c>
      <c r="B121" s="448">
        <f>B107*D14/1000</f>
        <v>218.4</v>
      </c>
    </row>
    <row r="122" spans="1:2" ht="15.75" customHeight="1" x14ac:dyDescent="0.3">
      <c r="A122" s="471" t="s">
        <v>731</v>
      </c>
      <c r="B122" s="455"/>
    </row>
    <row r="123" spans="1:2" ht="15.75" customHeight="1" x14ac:dyDescent="0.25">
      <c r="A123" s="449" t="s">
        <v>726</v>
      </c>
      <c r="B123" s="448">
        <f>B115*D14/1000</f>
        <v>1456</v>
      </c>
    </row>
    <row r="124" spans="1:2" ht="15.75" customHeight="1" thickBot="1" x14ac:dyDescent="0.3">
      <c r="A124" s="450" t="s">
        <v>727</v>
      </c>
      <c r="B124" s="451">
        <f>B116*D14/1000</f>
        <v>218.4</v>
      </c>
    </row>
    <row r="125" spans="1:2" ht="15.75" customHeight="1" thickBot="1" x14ac:dyDescent="0.3">
      <c r="B125" s="473"/>
    </row>
    <row r="126" spans="1:2" ht="15.75" customHeight="1" x14ac:dyDescent="0.3">
      <c r="A126" s="468" t="s">
        <v>732</v>
      </c>
      <c r="B126" s="469" t="s">
        <v>725</v>
      </c>
    </row>
    <row r="127" spans="1:2" ht="15.75" customHeight="1" x14ac:dyDescent="0.3">
      <c r="A127" s="471" t="s">
        <v>731</v>
      </c>
      <c r="B127" s="474"/>
    </row>
    <row r="128" spans="1:2" ht="15.75" customHeight="1" x14ac:dyDescent="0.25">
      <c r="A128" s="449" t="s">
        <v>726</v>
      </c>
      <c r="B128" s="448">
        <f>B120-B123</f>
        <v>1019.1999999999998</v>
      </c>
    </row>
    <row r="129" spans="1:2" ht="15.75" customHeight="1" thickBot="1" x14ac:dyDescent="0.3">
      <c r="A129" s="450" t="s">
        <v>727</v>
      </c>
      <c r="B129" s="451">
        <f>B121-B124</f>
        <v>0</v>
      </c>
    </row>
    <row r="130" spans="1:2" ht="15.75" customHeight="1" x14ac:dyDescent="0.25"/>
    <row r="131" spans="1:2" ht="15.75" customHeight="1" x14ac:dyDescent="0.25"/>
    <row r="132" spans="1:2" ht="15.75" customHeight="1" x14ac:dyDescent="0.25"/>
    <row r="133" spans="1:2" ht="15.75" customHeight="1" x14ac:dyDescent="0.25"/>
    <row r="134" spans="1:2" ht="15.75" customHeight="1" x14ac:dyDescent="0.25"/>
    <row r="135" spans="1:2" ht="15.75" customHeight="1" x14ac:dyDescent="0.25"/>
    <row r="136" spans="1:2" ht="15.75" customHeight="1" x14ac:dyDescent="0.25"/>
    <row r="137" spans="1:2" ht="15.75" customHeight="1" x14ac:dyDescent="0.25"/>
    <row r="138" spans="1:2" ht="15.75" customHeight="1" x14ac:dyDescent="0.25"/>
    <row r="139" spans="1:2" ht="15.75" customHeight="1" x14ac:dyDescent="0.25"/>
    <row r="140" spans="1:2" ht="15.75" customHeight="1" x14ac:dyDescent="0.25"/>
    <row r="141" spans="1:2" ht="15.75" customHeight="1" x14ac:dyDescent="0.25"/>
    <row r="142" spans="1:2" ht="15.75" customHeight="1" x14ac:dyDescent="0.25"/>
    <row r="143" spans="1:2" ht="15.75" customHeight="1" x14ac:dyDescent="0.25"/>
    <row r="144" spans="1:2"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row r="1010" ht="15.75" customHeight="1" x14ac:dyDescent="0.25"/>
  </sheetData>
  <pageMargins left="0.7" right="0.7" top="0.75" bottom="0.75" header="0" footer="0"/>
  <pageSetup orientation="landscape"/>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10"/>
  <sheetViews>
    <sheetView topLeftCell="A25" workbookViewId="0">
      <selection activeCell="D15" sqref="D15"/>
    </sheetView>
  </sheetViews>
  <sheetFormatPr baseColWidth="10" defaultColWidth="12.58203125" defaultRowHeight="12.5" x14ac:dyDescent="0.25"/>
  <cols>
    <col min="1" max="1" width="43.58203125" style="254" customWidth="1"/>
    <col min="2" max="2" width="22.58203125" style="254" customWidth="1"/>
    <col min="3" max="3" width="17" style="327" customWidth="1"/>
    <col min="4" max="4" width="16" style="254" customWidth="1"/>
    <col min="5" max="26" width="9.33203125" style="254" customWidth="1"/>
    <col min="27" max="16384" width="12.58203125" style="254"/>
  </cols>
  <sheetData>
    <row r="1" spans="1:4" ht="13" x14ac:dyDescent="0.3">
      <c r="A1" s="253" t="s">
        <v>655</v>
      </c>
    </row>
    <row r="2" spans="1:4" ht="15" customHeight="1" x14ac:dyDescent="0.25"/>
    <row r="3" spans="1:4" ht="13.5" thickBot="1" x14ac:dyDescent="0.35">
      <c r="A3" s="253" t="s">
        <v>601</v>
      </c>
      <c r="B3" s="255"/>
    </row>
    <row r="4" spans="1:4" x14ac:dyDescent="0.25">
      <c r="A4" s="256" t="s">
        <v>603</v>
      </c>
      <c r="B4" s="257">
        <f>D34</f>
        <v>983886.54805287637</v>
      </c>
    </row>
    <row r="5" spans="1:4" x14ac:dyDescent="0.25">
      <c r="A5" s="258" t="s">
        <v>604</v>
      </c>
      <c r="B5" s="259">
        <f>D54</f>
        <v>796344.58566067228</v>
      </c>
    </row>
    <row r="6" spans="1:4" x14ac:dyDescent="0.25">
      <c r="A6" s="260" t="s">
        <v>605</v>
      </c>
      <c r="B6" s="259">
        <f>D74</f>
        <v>648053.9941525287</v>
      </c>
    </row>
    <row r="7" spans="1:4" x14ac:dyDescent="0.25">
      <c r="A7" s="260" t="s">
        <v>308</v>
      </c>
      <c r="B7" s="259">
        <f>D82</f>
        <v>187541.96239220403</v>
      </c>
    </row>
    <row r="8" spans="1:4" x14ac:dyDescent="0.25">
      <c r="A8" s="260" t="s">
        <v>315</v>
      </c>
      <c r="B8" s="259">
        <f>D90</f>
        <v>335832.55390034773</v>
      </c>
    </row>
    <row r="9" spans="1:4" ht="13" thickBot="1" x14ac:dyDescent="0.3">
      <c r="A9" s="261" t="s">
        <v>322</v>
      </c>
      <c r="B9" s="262">
        <f>D98</f>
        <v>261687.25814627591</v>
      </c>
    </row>
    <row r="10" spans="1:4" ht="13" thickBot="1" x14ac:dyDescent="0.3"/>
    <row r="11" spans="1:4" ht="13" x14ac:dyDescent="0.3">
      <c r="A11" s="328"/>
      <c r="B11" s="326" t="s">
        <v>253</v>
      </c>
      <c r="C11" s="326" t="s">
        <v>254</v>
      </c>
      <c r="D11" s="263" t="s">
        <v>255</v>
      </c>
    </row>
    <row r="12" spans="1:4" ht="13" x14ac:dyDescent="0.3">
      <c r="A12" s="264" t="s">
        <v>648</v>
      </c>
      <c r="B12" s="329"/>
      <c r="C12" s="329"/>
      <c r="D12" s="265"/>
    </row>
    <row r="13" spans="1:4" x14ac:dyDescent="0.25">
      <c r="A13" s="258" t="s">
        <v>256</v>
      </c>
      <c r="B13" s="329"/>
      <c r="C13" s="329"/>
      <c r="D13" s="266" t="str">
        <f>+'Input_Area and Costs'!A10</f>
        <v>Retail</v>
      </c>
    </row>
    <row r="14" spans="1:4" x14ac:dyDescent="0.25">
      <c r="A14" s="258" t="s">
        <v>247</v>
      </c>
      <c r="B14" s="329" t="s">
        <v>257</v>
      </c>
      <c r="C14" s="329" t="s">
        <v>251</v>
      </c>
      <c r="D14" s="267">
        <f>+'Input_Area and Costs'!L10</f>
        <v>393700</v>
      </c>
    </row>
    <row r="15" spans="1:4" x14ac:dyDescent="0.25">
      <c r="A15" s="258" t="s">
        <v>258</v>
      </c>
      <c r="B15" s="329" t="s">
        <v>259</v>
      </c>
      <c r="C15" s="329" t="s">
        <v>260</v>
      </c>
      <c r="D15" s="267">
        <f>'General Inputs&amp;Outputs'!$C$12</f>
        <v>15</v>
      </c>
    </row>
    <row r="16" spans="1:4" x14ac:dyDescent="0.25">
      <c r="A16" s="254" t="s">
        <v>172</v>
      </c>
      <c r="B16" s="329"/>
      <c r="C16" s="329"/>
      <c r="D16" s="265"/>
    </row>
    <row r="17" spans="1:4" ht="13" x14ac:dyDescent="0.3">
      <c r="A17" s="264" t="s">
        <v>285</v>
      </c>
      <c r="B17" s="329"/>
      <c r="C17" s="329"/>
      <c r="D17" s="265"/>
    </row>
    <row r="18" spans="1:4" ht="13" x14ac:dyDescent="0.3">
      <c r="A18" s="264" t="s">
        <v>261</v>
      </c>
      <c r="B18" s="329"/>
      <c r="C18" s="333"/>
      <c r="D18" s="265"/>
    </row>
    <row r="19" spans="1:4" ht="13" x14ac:dyDescent="0.3">
      <c r="A19" s="268" t="s">
        <v>262</v>
      </c>
      <c r="B19" s="329" t="s">
        <v>263</v>
      </c>
      <c r="C19" s="329" t="s">
        <v>264</v>
      </c>
      <c r="D19" s="266">
        <f>+'Energy use'!B752-D20</f>
        <v>189</v>
      </c>
    </row>
    <row r="20" spans="1:4" ht="13" x14ac:dyDescent="0.3">
      <c r="A20" s="268" t="s">
        <v>265</v>
      </c>
      <c r="B20" s="329" t="s">
        <v>266</v>
      </c>
      <c r="C20" s="329" t="s">
        <v>264</v>
      </c>
      <c r="D20" s="266">
        <f>+'Energy use'!B753+'Energy use'!B755</f>
        <v>39</v>
      </c>
    </row>
    <row r="21" spans="1:4" ht="13" x14ac:dyDescent="0.3">
      <c r="A21" s="264" t="s">
        <v>267</v>
      </c>
      <c r="B21" s="329"/>
      <c r="C21" s="333"/>
      <c r="D21" s="265"/>
    </row>
    <row r="22" spans="1:4" ht="13" x14ac:dyDescent="0.3">
      <c r="A22" s="268" t="str">
        <f t="shared" ref="A22:A23" si="0">A19</f>
        <v>Electricity</v>
      </c>
      <c r="B22" s="329" t="s">
        <v>268</v>
      </c>
      <c r="C22" s="329" t="s">
        <v>269</v>
      </c>
      <c r="D22" s="269">
        <f>+'Input_Energy Context'!L12</f>
        <v>0.69079323816859484</v>
      </c>
    </row>
    <row r="23" spans="1:4" ht="13" x14ac:dyDescent="0.3">
      <c r="A23" s="268" t="str">
        <f t="shared" si="0"/>
        <v>Natural gas</v>
      </c>
      <c r="B23" s="329" t="s">
        <v>270</v>
      </c>
      <c r="C23" s="329" t="s">
        <v>269</v>
      </c>
      <c r="D23" s="266">
        <f>+'Input_Energy Context'!B13</f>
        <v>0.23100000000000001</v>
      </c>
    </row>
    <row r="24" spans="1:4" ht="13" x14ac:dyDescent="0.3">
      <c r="A24" s="264" t="s">
        <v>271</v>
      </c>
      <c r="B24" s="329"/>
      <c r="C24" s="333"/>
      <c r="D24" s="265"/>
    </row>
    <row r="25" spans="1:4" ht="13" x14ac:dyDescent="0.3">
      <c r="A25" s="268" t="str">
        <f t="shared" ref="A25:A26" si="1">A22</f>
        <v>Electricity</v>
      </c>
      <c r="B25" s="329" t="s">
        <v>272</v>
      </c>
      <c r="C25" s="329" t="s">
        <v>273</v>
      </c>
      <c r="D25" s="270">
        <f t="shared" ref="D25:D26" si="2">+D19*D22</f>
        <v>130.55992201386442</v>
      </c>
    </row>
    <row r="26" spans="1:4" ht="13" x14ac:dyDescent="0.3">
      <c r="A26" s="268" t="str">
        <f t="shared" si="1"/>
        <v>Natural gas</v>
      </c>
      <c r="B26" s="329" t="s">
        <v>274</v>
      </c>
      <c r="C26" s="329" t="s">
        <v>273</v>
      </c>
      <c r="D26" s="270">
        <f t="shared" si="2"/>
        <v>9.0090000000000003</v>
      </c>
    </row>
    <row r="27" spans="1:4" ht="13" x14ac:dyDescent="0.3">
      <c r="A27" s="268" t="s">
        <v>275</v>
      </c>
      <c r="B27" s="329" t="s">
        <v>276</v>
      </c>
      <c r="C27" s="329" t="s">
        <v>273</v>
      </c>
      <c r="D27" s="270">
        <f>'Input_LC Materials'!L27/'Input_LC Materials'!E11</f>
        <v>405.54300000000012</v>
      </c>
    </row>
    <row r="28" spans="1:4" ht="13" x14ac:dyDescent="0.3">
      <c r="A28" s="264" t="s">
        <v>277</v>
      </c>
      <c r="B28" s="329"/>
      <c r="C28" s="333"/>
      <c r="D28" s="265"/>
    </row>
    <row r="29" spans="1:4" ht="13" x14ac:dyDescent="0.3">
      <c r="A29" s="268" t="str">
        <f t="shared" ref="A29:A30" si="3">A25</f>
        <v>Electricity</v>
      </c>
      <c r="B29" s="329" t="s">
        <v>278</v>
      </c>
      <c r="C29" s="329" t="s">
        <v>279</v>
      </c>
      <c r="D29" s="267">
        <f>+D25*D14/1000</f>
        <v>51401.441296858422</v>
      </c>
    </row>
    <row r="30" spans="1:4" ht="13" x14ac:dyDescent="0.3">
      <c r="A30" s="268" t="str">
        <f t="shared" si="3"/>
        <v>Natural gas</v>
      </c>
      <c r="B30" s="329" t="s">
        <v>280</v>
      </c>
      <c r="C30" s="329" t="s">
        <v>279</v>
      </c>
      <c r="D30" s="267">
        <f>+D26*D14/1000</f>
        <v>3546.8433000000005</v>
      </c>
    </row>
    <row r="31" spans="1:4" ht="13" x14ac:dyDescent="0.3">
      <c r="A31" s="268" t="str">
        <f>$A$25</f>
        <v>Electricity</v>
      </c>
      <c r="B31" s="329" t="s">
        <v>281</v>
      </c>
      <c r="C31" s="329" t="s">
        <v>577</v>
      </c>
      <c r="D31" s="267">
        <f t="shared" ref="D31:D32" si="4">D29*$D$15</f>
        <v>771021.61945287627</v>
      </c>
    </row>
    <row r="32" spans="1:4" ht="13" x14ac:dyDescent="0.3">
      <c r="A32" s="268" t="str">
        <f>$A$26</f>
        <v>Natural gas</v>
      </c>
      <c r="B32" s="329" t="s">
        <v>282</v>
      </c>
      <c r="C32" s="329" t="s">
        <v>577</v>
      </c>
      <c r="D32" s="267">
        <f t="shared" si="4"/>
        <v>53202.649500000007</v>
      </c>
    </row>
    <row r="33" spans="1:4" ht="13" x14ac:dyDescent="0.3">
      <c r="A33" s="268" t="s">
        <v>275</v>
      </c>
      <c r="B33" s="329" t="s">
        <v>283</v>
      </c>
      <c r="C33" s="329" t="s">
        <v>577</v>
      </c>
      <c r="D33" s="267">
        <f>+D27*D14/1000</f>
        <v>159662.27910000004</v>
      </c>
    </row>
    <row r="34" spans="1:4" ht="13.5" thickBot="1" x14ac:dyDescent="0.35">
      <c r="A34" s="325" t="s">
        <v>284</v>
      </c>
      <c r="B34" s="332"/>
      <c r="C34" s="332" t="s">
        <v>577</v>
      </c>
      <c r="D34" s="274">
        <f>SUM(D31:D33)</f>
        <v>983886.54805287637</v>
      </c>
    </row>
    <row r="35" spans="1:4" ht="13" thickBot="1" x14ac:dyDescent="0.3">
      <c r="B35" s="330"/>
      <c r="C35" s="330"/>
    </row>
    <row r="36" spans="1:4" ht="13" x14ac:dyDescent="0.3">
      <c r="A36" s="328" t="s">
        <v>249</v>
      </c>
      <c r="B36" s="326"/>
      <c r="C36" s="326"/>
      <c r="D36" s="263"/>
    </row>
    <row r="37" spans="1:4" ht="13" x14ac:dyDescent="0.3">
      <c r="A37" s="264" t="s">
        <v>285</v>
      </c>
      <c r="B37" s="329"/>
      <c r="C37" s="329"/>
      <c r="D37" s="265"/>
    </row>
    <row r="38" spans="1:4" ht="13" x14ac:dyDescent="0.3">
      <c r="A38" s="264" t="s">
        <v>261</v>
      </c>
      <c r="B38" s="329"/>
      <c r="C38" s="333"/>
      <c r="D38" s="265"/>
    </row>
    <row r="39" spans="1:4" ht="13" x14ac:dyDescent="0.3">
      <c r="A39" s="268" t="s">
        <v>262</v>
      </c>
      <c r="B39" s="329" t="s">
        <v>286</v>
      </c>
      <c r="C39" s="329" t="s">
        <v>264</v>
      </c>
      <c r="D39" s="266">
        <f>+'Energy use'!C752-D40</f>
        <v>145</v>
      </c>
    </row>
    <row r="40" spans="1:4" ht="13" x14ac:dyDescent="0.3">
      <c r="A40" s="268" t="s">
        <v>265</v>
      </c>
      <c r="B40" s="329" t="s">
        <v>287</v>
      </c>
      <c r="C40" s="329" t="s">
        <v>264</v>
      </c>
      <c r="D40" s="266">
        <f>+'Energy use'!C753+'Energy use'!C755</f>
        <v>41</v>
      </c>
    </row>
    <row r="41" spans="1:4" ht="13" x14ac:dyDescent="0.3">
      <c r="A41" s="264" t="s">
        <v>267</v>
      </c>
      <c r="B41" s="329"/>
      <c r="C41" s="329"/>
      <c r="D41" s="265"/>
    </row>
    <row r="42" spans="1:4" ht="13" x14ac:dyDescent="0.3">
      <c r="A42" s="268" t="str">
        <f t="shared" ref="A42:A43" si="5">A39</f>
        <v>Electricity</v>
      </c>
      <c r="B42" s="329" t="s">
        <v>268</v>
      </c>
      <c r="C42" s="329" t="s">
        <v>269</v>
      </c>
      <c r="D42" s="269">
        <f t="shared" ref="D42:D43" si="6">+D22</f>
        <v>0.69079323816859484</v>
      </c>
    </row>
    <row r="43" spans="1:4" ht="13" x14ac:dyDescent="0.3">
      <c r="A43" s="268" t="str">
        <f t="shared" si="5"/>
        <v>Natural gas</v>
      </c>
      <c r="B43" s="329" t="s">
        <v>270</v>
      </c>
      <c r="C43" s="329" t="s">
        <v>269</v>
      </c>
      <c r="D43" s="266">
        <f t="shared" si="6"/>
        <v>0.23100000000000001</v>
      </c>
    </row>
    <row r="44" spans="1:4" ht="13" x14ac:dyDescent="0.3">
      <c r="A44" s="264" t="s">
        <v>271</v>
      </c>
      <c r="B44" s="329"/>
      <c r="C44" s="329"/>
      <c r="D44" s="265"/>
    </row>
    <row r="45" spans="1:4" ht="13" x14ac:dyDescent="0.3">
      <c r="A45" s="268" t="str">
        <f t="shared" ref="A45:A46" si="7">A42</f>
        <v>Electricity</v>
      </c>
      <c r="B45" s="329" t="s">
        <v>288</v>
      </c>
      <c r="C45" s="329" t="s">
        <v>273</v>
      </c>
      <c r="D45" s="267">
        <f t="shared" ref="D45:D46" si="8">+D39*D42</f>
        <v>100.16501953444624</v>
      </c>
    </row>
    <row r="46" spans="1:4" ht="13" x14ac:dyDescent="0.3">
      <c r="A46" s="268" t="str">
        <f t="shared" si="7"/>
        <v>Natural gas</v>
      </c>
      <c r="B46" s="329" t="s">
        <v>289</v>
      </c>
      <c r="C46" s="329" t="s">
        <v>273</v>
      </c>
      <c r="D46" s="270">
        <f t="shared" si="8"/>
        <v>9.4710000000000001</v>
      </c>
    </row>
    <row r="47" spans="1:4" ht="13" x14ac:dyDescent="0.3">
      <c r="A47" s="268" t="s">
        <v>275</v>
      </c>
      <c r="B47" s="329" t="s">
        <v>290</v>
      </c>
      <c r="C47" s="329" t="s">
        <v>273</v>
      </c>
      <c r="D47" s="270">
        <f>D27-'Input_LC Materials'!L27</f>
        <v>378.17900000000014</v>
      </c>
    </row>
    <row r="48" spans="1:4" ht="13" x14ac:dyDescent="0.3">
      <c r="A48" s="264" t="s">
        <v>277</v>
      </c>
      <c r="B48" s="329"/>
      <c r="C48" s="329"/>
      <c r="D48" s="265"/>
    </row>
    <row r="49" spans="1:5" ht="13" x14ac:dyDescent="0.3">
      <c r="A49" s="268" t="str">
        <f t="shared" ref="A49:A50" si="9">A45</f>
        <v>Electricity</v>
      </c>
      <c r="B49" s="329" t="s">
        <v>291</v>
      </c>
      <c r="C49" s="329" t="s">
        <v>279</v>
      </c>
      <c r="D49" s="267">
        <f>+D45*D14/1000</f>
        <v>39434.968190711486</v>
      </c>
    </row>
    <row r="50" spans="1:5" ht="13" x14ac:dyDescent="0.3">
      <c r="A50" s="268" t="str">
        <f t="shared" si="9"/>
        <v>Natural gas</v>
      </c>
      <c r="B50" s="329" t="s">
        <v>292</v>
      </c>
      <c r="C50" s="329" t="s">
        <v>279</v>
      </c>
      <c r="D50" s="267">
        <f>+D46*D14/1000</f>
        <v>3728.7327</v>
      </c>
    </row>
    <row r="51" spans="1:5" ht="13" x14ac:dyDescent="0.3">
      <c r="A51" s="268" t="str">
        <f>$A$45</f>
        <v>Electricity</v>
      </c>
      <c r="B51" s="329" t="s">
        <v>293</v>
      </c>
      <c r="C51" s="329" t="str">
        <f>$C$31</f>
        <v>tCO2 over lifetime</v>
      </c>
      <c r="D51" s="267">
        <f t="shared" ref="D51:D52" si="10">D49*$D$15</f>
        <v>591524.52286067232</v>
      </c>
    </row>
    <row r="52" spans="1:5" ht="13" x14ac:dyDescent="0.3">
      <c r="A52" s="268" t="str">
        <f>$A$46</f>
        <v>Natural gas</v>
      </c>
      <c r="B52" s="329" t="s">
        <v>294</v>
      </c>
      <c r="C52" s="329" t="str">
        <f>$C$31</f>
        <v>tCO2 over lifetime</v>
      </c>
      <c r="D52" s="267">
        <f t="shared" si="10"/>
        <v>55930.9905</v>
      </c>
    </row>
    <row r="53" spans="1:5" ht="13" x14ac:dyDescent="0.3">
      <c r="A53" s="268" t="s">
        <v>275</v>
      </c>
      <c r="B53" s="329" t="s">
        <v>295</v>
      </c>
      <c r="C53" s="329" t="str">
        <f>C$33</f>
        <v>tCO2 over lifetime</v>
      </c>
      <c r="D53" s="267">
        <f>+D47*D14/1000</f>
        <v>148889.07230000006</v>
      </c>
    </row>
    <row r="54" spans="1:5" ht="13.5" thickBot="1" x14ac:dyDescent="0.35">
      <c r="A54" s="325" t="s">
        <v>284</v>
      </c>
      <c r="B54" s="332"/>
      <c r="C54" s="332" t="str">
        <f>C$34</f>
        <v>tCO2 over lifetime</v>
      </c>
      <c r="D54" s="274">
        <f>SUM(D51:D53)</f>
        <v>796344.58566067228</v>
      </c>
      <c r="E54" s="255"/>
    </row>
    <row r="55" spans="1:5" ht="13" thickBot="1" x14ac:dyDescent="0.3">
      <c r="A55" s="255"/>
      <c r="B55" s="330"/>
      <c r="C55" s="330"/>
      <c r="D55" s="255"/>
      <c r="E55" s="255"/>
    </row>
    <row r="56" spans="1:5" ht="13" x14ac:dyDescent="0.3">
      <c r="A56" s="328" t="s">
        <v>250</v>
      </c>
      <c r="B56" s="326"/>
      <c r="C56" s="326"/>
      <c r="D56" s="263"/>
      <c r="E56" s="255"/>
    </row>
    <row r="57" spans="1:5" ht="13" x14ac:dyDescent="0.3">
      <c r="A57" s="264" t="s">
        <v>285</v>
      </c>
      <c r="B57" s="329"/>
      <c r="C57" s="329"/>
      <c r="D57" s="265"/>
      <c r="E57" s="255"/>
    </row>
    <row r="58" spans="1:5" ht="13" x14ac:dyDescent="0.3">
      <c r="A58" s="264" t="s">
        <v>261</v>
      </c>
      <c r="B58" s="329"/>
      <c r="C58" s="329"/>
      <c r="D58" s="265"/>
    </row>
    <row r="59" spans="1:5" ht="13" x14ac:dyDescent="0.3">
      <c r="A59" s="268" t="s">
        <v>262</v>
      </c>
      <c r="B59" s="329" t="s">
        <v>296</v>
      </c>
      <c r="C59" s="329" t="s">
        <v>264</v>
      </c>
      <c r="D59" s="266">
        <f>+'Energy use'!D752-D60</f>
        <v>114</v>
      </c>
    </row>
    <row r="60" spans="1:5" ht="13" x14ac:dyDescent="0.3">
      <c r="A60" s="268" t="s">
        <v>265</v>
      </c>
      <c r="B60" s="329" t="s">
        <v>297</v>
      </c>
      <c r="C60" s="329" t="s">
        <v>264</v>
      </c>
      <c r="D60" s="266">
        <f>+'Energy use'!D753+'Energy use'!D755</f>
        <v>25</v>
      </c>
    </row>
    <row r="61" spans="1:5" ht="13" x14ac:dyDescent="0.3">
      <c r="A61" s="264" t="s">
        <v>267</v>
      </c>
      <c r="B61" s="329"/>
      <c r="C61" s="329"/>
      <c r="D61" s="265"/>
    </row>
    <row r="62" spans="1:5" ht="13" x14ac:dyDescent="0.3">
      <c r="A62" s="268" t="str">
        <f t="shared" ref="A62:A63" si="11">A59</f>
        <v>Electricity</v>
      </c>
      <c r="B62" s="329" t="s">
        <v>268</v>
      </c>
      <c r="C62" s="329" t="s">
        <v>269</v>
      </c>
      <c r="D62" s="269">
        <f t="shared" ref="D62:D63" si="12">+D42</f>
        <v>0.69079323816859484</v>
      </c>
    </row>
    <row r="63" spans="1:5" ht="13" x14ac:dyDescent="0.3">
      <c r="A63" s="268" t="str">
        <f t="shared" si="11"/>
        <v>Natural gas</v>
      </c>
      <c r="B63" s="329" t="s">
        <v>270</v>
      </c>
      <c r="C63" s="329" t="s">
        <v>269</v>
      </c>
      <c r="D63" s="266">
        <f t="shared" si="12"/>
        <v>0.23100000000000001</v>
      </c>
    </row>
    <row r="64" spans="1:5" ht="13" x14ac:dyDescent="0.3">
      <c r="A64" s="264" t="s">
        <v>271</v>
      </c>
      <c r="B64" s="329"/>
      <c r="C64" s="329"/>
      <c r="D64" s="265"/>
    </row>
    <row r="65" spans="1:4" ht="13" x14ac:dyDescent="0.3">
      <c r="A65" s="268" t="str">
        <f t="shared" ref="A65:A66" si="13">A62</f>
        <v>Electricity</v>
      </c>
      <c r="B65" s="329" t="s">
        <v>299</v>
      </c>
      <c r="C65" s="329" t="s">
        <v>273</v>
      </c>
      <c r="D65" s="267">
        <f t="shared" ref="D65:D66" si="14">+D59*D62</f>
        <v>78.750429151219805</v>
      </c>
    </row>
    <row r="66" spans="1:4" ht="13" x14ac:dyDescent="0.3">
      <c r="A66" s="268" t="str">
        <f t="shared" si="13"/>
        <v>Natural gas</v>
      </c>
      <c r="B66" s="329" t="s">
        <v>300</v>
      </c>
      <c r="C66" s="329" t="s">
        <v>273</v>
      </c>
      <c r="D66" s="270">
        <f t="shared" si="14"/>
        <v>5.7750000000000004</v>
      </c>
    </row>
    <row r="67" spans="1:4" ht="13" x14ac:dyDescent="0.3">
      <c r="A67" s="268" t="s">
        <v>275</v>
      </c>
      <c r="B67" s="329" t="s">
        <v>301</v>
      </c>
      <c r="C67" s="329" t="s">
        <v>273</v>
      </c>
      <c r="D67" s="270">
        <f>D47</f>
        <v>378.17900000000014</v>
      </c>
    </row>
    <row r="68" spans="1:4" ht="13" x14ac:dyDescent="0.3">
      <c r="A68" s="264" t="s">
        <v>277</v>
      </c>
      <c r="B68" s="329"/>
      <c r="C68" s="329"/>
      <c r="D68" s="265"/>
    </row>
    <row r="69" spans="1:4" ht="13" x14ac:dyDescent="0.3">
      <c r="A69" s="268" t="str">
        <f t="shared" ref="A69:A70" si="15">A65</f>
        <v>Electricity</v>
      </c>
      <c r="B69" s="329" t="s">
        <v>303</v>
      </c>
      <c r="C69" s="329" t="s">
        <v>279</v>
      </c>
      <c r="D69" s="267">
        <f t="shared" ref="D69:D70" si="16">+D65*$D$14/1000</f>
        <v>31004.043956835238</v>
      </c>
    </row>
    <row r="70" spans="1:4" ht="13" x14ac:dyDescent="0.3">
      <c r="A70" s="268" t="str">
        <f t="shared" si="15"/>
        <v>Natural gas</v>
      </c>
      <c r="B70" s="329" t="s">
        <v>304</v>
      </c>
      <c r="C70" s="329" t="s">
        <v>279</v>
      </c>
      <c r="D70" s="267">
        <f t="shared" si="16"/>
        <v>2273.6174999999998</v>
      </c>
    </row>
    <row r="71" spans="1:4" ht="13" x14ac:dyDescent="0.3">
      <c r="A71" s="268" t="str">
        <f>$A$45</f>
        <v>Electricity</v>
      </c>
      <c r="B71" s="329" t="s">
        <v>305</v>
      </c>
      <c r="C71" s="329" t="str">
        <f>$C$31</f>
        <v>tCO2 over lifetime</v>
      </c>
      <c r="D71" s="267">
        <f t="shared" ref="D71:D72" si="17">D69*$D$15</f>
        <v>465060.65935252857</v>
      </c>
    </row>
    <row r="72" spans="1:4" ht="13" x14ac:dyDescent="0.3">
      <c r="A72" s="268" t="str">
        <f>$A$46</f>
        <v>Natural gas</v>
      </c>
      <c r="B72" s="329" t="s">
        <v>306</v>
      </c>
      <c r="C72" s="329" t="str">
        <f>$C$31</f>
        <v>tCO2 over lifetime</v>
      </c>
      <c r="D72" s="267">
        <f t="shared" si="17"/>
        <v>34104.262499999997</v>
      </c>
    </row>
    <row r="73" spans="1:4" ht="13" x14ac:dyDescent="0.3">
      <c r="A73" s="268" t="s">
        <v>275</v>
      </c>
      <c r="B73" s="329" t="s">
        <v>307</v>
      </c>
      <c r="C73" s="329" t="str">
        <f>C$33</f>
        <v>tCO2 over lifetime</v>
      </c>
      <c r="D73" s="267">
        <f>+D67*$D$14/1000</f>
        <v>148889.07230000006</v>
      </c>
    </row>
    <row r="74" spans="1:4" ht="13.5" thickBot="1" x14ac:dyDescent="0.35">
      <c r="A74" s="325" t="s">
        <v>284</v>
      </c>
      <c r="B74" s="332"/>
      <c r="C74" s="332" t="str">
        <f>C$34</f>
        <v>tCO2 over lifetime</v>
      </c>
      <c r="D74" s="274">
        <f>SUM(D71:D73)</f>
        <v>648053.9941525287</v>
      </c>
    </row>
    <row r="75" spans="1:4" ht="13" thickBot="1" x14ac:dyDescent="0.3">
      <c r="B75" s="330"/>
      <c r="C75" s="330"/>
    </row>
    <row r="76" spans="1:4" ht="13" x14ac:dyDescent="0.3">
      <c r="A76" s="272" t="s">
        <v>308</v>
      </c>
      <c r="B76" s="331"/>
      <c r="C76" s="331"/>
      <c r="D76" s="273"/>
    </row>
    <row r="77" spans="1:4" x14ac:dyDescent="0.25">
      <c r="A77" s="258" t="s">
        <v>262</v>
      </c>
      <c r="B77" s="329" t="s">
        <v>309</v>
      </c>
      <c r="C77" s="334" t="s">
        <v>279</v>
      </c>
      <c r="D77" s="267">
        <f t="shared" ref="D77:D78" si="18">+D29-D49</f>
        <v>11966.473106146936</v>
      </c>
    </row>
    <row r="78" spans="1:4" x14ac:dyDescent="0.25">
      <c r="A78" s="258" t="s">
        <v>265</v>
      </c>
      <c r="B78" s="329" t="s">
        <v>310</v>
      </c>
      <c r="C78" s="329" t="s">
        <v>279</v>
      </c>
      <c r="D78" s="267">
        <f t="shared" si="18"/>
        <v>-181.88939999999957</v>
      </c>
    </row>
    <row r="79" spans="1:4" x14ac:dyDescent="0.25">
      <c r="A79" s="258" t="s">
        <v>262</v>
      </c>
      <c r="B79" s="329" t="s">
        <v>311</v>
      </c>
      <c r="C79" s="329" t="str">
        <f>$C$31</f>
        <v>tCO2 over lifetime</v>
      </c>
      <c r="D79" s="267">
        <f t="shared" ref="D79:D80" si="19">D77*$D$15</f>
        <v>179497.09659220403</v>
      </c>
    </row>
    <row r="80" spans="1:4" x14ac:dyDescent="0.25">
      <c r="A80" s="258" t="s">
        <v>265</v>
      </c>
      <c r="B80" s="329" t="s">
        <v>312</v>
      </c>
      <c r="C80" s="329" t="str">
        <f>$C$31</f>
        <v>tCO2 over lifetime</v>
      </c>
      <c r="D80" s="267">
        <f t="shared" si="19"/>
        <v>-2728.3409999999935</v>
      </c>
    </row>
    <row r="81" spans="1:4" x14ac:dyDescent="0.25">
      <c r="A81" s="258" t="s">
        <v>275</v>
      </c>
      <c r="B81" s="329" t="s">
        <v>313</v>
      </c>
      <c r="C81" s="329" t="str">
        <f>$C$31</f>
        <v>tCO2 over lifetime</v>
      </c>
      <c r="D81" s="267">
        <f>+D33-D53</f>
        <v>10773.206799999985</v>
      </c>
    </row>
    <row r="82" spans="1:4" ht="13.5" thickBot="1" x14ac:dyDescent="0.35">
      <c r="A82" s="275" t="s">
        <v>284</v>
      </c>
      <c r="B82" s="332" t="s">
        <v>314</v>
      </c>
      <c r="C82" s="332" t="str">
        <f>$C$31</f>
        <v>tCO2 over lifetime</v>
      </c>
      <c r="D82" s="274">
        <f>SUM(D79:D81)</f>
        <v>187541.96239220403</v>
      </c>
    </row>
    <row r="83" spans="1:4" ht="13" thickBot="1" x14ac:dyDescent="0.3">
      <c r="B83" s="330"/>
      <c r="C83" s="330"/>
    </row>
    <row r="84" spans="1:4" ht="13" x14ac:dyDescent="0.3">
      <c r="A84" s="272" t="s">
        <v>315</v>
      </c>
      <c r="B84" s="331"/>
      <c r="C84" s="331"/>
      <c r="D84" s="273"/>
    </row>
    <row r="85" spans="1:4" x14ac:dyDescent="0.25">
      <c r="A85" s="258" t="s">
        <v>262</v>
      </c>
      <c r="B85" s="329" t="s">
        <v>316</v>
      </c>
      <c r="C85" s="329" t="s">
        <v>279</v>
      </c>
      <c r="D85" s="267">
        <f t="shared" ref="D85:D86" si="20">+D29-D69</f>
        <v>20397.397340023184</v>
      </c>
    </row>
    <row r="86" spans="1:4" x14ac:dyDescent="0.25">
      <c r="A86" s="258" t="s">
        <v>265</v>
      </c>
      <c r="B86" s="329" t="s">
        <v>317</v>
      </c>
      <c r="C86" s="329" t="s">
        <v>279</v>
      </c>
      <c r="D86" s="267">
        <f t="shared" si="20"/>
        <v>1273.2258000000006</v>
      </c>
    </row>
    <row r="87" spans="1:4" x14ac:dyDescent="0.25">
      <c r="A87" s="258" t="s">
        <v>262</v>
      </c>
      <c r="B87" s="329" t="s">
        <v>318</v>
      </c>
      <c r="C87" s="329" t="str">
        <f>$C$31</f>
        <v>tCO2 over lifetime</v>
      </c>
      <c r="D87" s="267">
        <f t="shared" ref="D87:D88" si="21">$D$15*D85</f>
        <v>305960.96010034776</v>
      </c>
    </row>
    <row r="88" spans="1:4" x14ac:dyDescent="0.25">
      <c r="A88" s="258" t="s">
        <v>265</v>
      </c>
      <c r="B88" s="329" t="s">
        <v>319</v>
      </c>
      <c r="C88" s="329" t="str">
        <f>$C$31</f>
        <v>tCO2 over lifetime</v>
      </c>
      <c r="D88" s="267">
        <f t="shared" si="21"/>
        <v>19098.38700000001</v>
      </c>
    </row>
    <row r="89" spans="1:4" x14ac:dyDescent="0.25">
      <c r="A89" s="258" t="s">
        <v>275</v>
      </c>
      <c r="B89" s="329" t="s">
        <v>320</v>
      </c>
      <c r="C89" s="329" t="str">
        <f>$C$31</f>
        <v>tCO2 over lifetime</v>
      </c>
      <c r="D89" s="267">
        <f>+D33-D73</f>
        <v>10773.206799999985</v>
      </c>
    </row>
    <row r="90" spans="1:4" ht="13.5" thickBot="1" x14ac:dyDescent="0.35">
      <c r="A90" s="275" t="s">
        <v>284</v>
      </c>
      <c r="B90" s="332" t="s">
        <v>321</v>
      </c>
      <c r="C90" s="332" t="str">
        <f>$C$31</f>
        <v>tCO2 over lifetime</v>
      </c>
      <c r="D90" s="274">
        <f>SUM(D87:D89)</f>
        <v>335832.55390034773</v>
      </c>
    </row>
    <row r="91" spans="1:4" ht="13" thickBot="1" x14ac:dyDescent="0.3">
      <c r="B91" s="330"/>
      <c r="C91" s="330"/>
    </row>
    <row r="92" spans="1:4" ht="13" x14ac:dyDescent="0.3">
      <c r="A92" s="272" t="s">
        <v>322</v>
      </c>
      <c r="B92" s="331"/>
      <c r="C92" s="331"/>
      <c r="D92" s="273"/>
    </row>
    <row r="93" spans="1:4" x14ac:dyDescent="0.25">
      <c r="A93" s="258" t="s">
        <v>262</v>
      </c>
      <c r="B93" s="329" t="s">
        <v>323</v>
      </c>
      <c r="C93" s="329" t="s">
        <v>279</v>
      </c>
      <c r="D93" s="267">
        <f t="shared" ref="D93:D94" si="22">+AVERAGE(D85,D77)</f>
        <v>16181.93522308506</v>
      </c>
    </row>
    <row r="94" spans="1:4" x14ac:dyDescent="0.25">
      <c r="A94" s="258" t="s">
        <v>265</v>
      </c>
      <c r="B94" s="329" t="s">
        <v>323</v>
      </c>
      <c r="C94" s="329" t="s">
        <v>279</v>
      </c>
      <c r="D94" s="267">
        <f t="shared" si="22"/>
        <v>545.66820000000052</v>
      </c>
    </row>
    <row r="95" spans="1:4" x14ac:dyDescent="0.25">
      <c r="A95" s="258" t="s">
        <v>262</v>
      </c>
      <c r="B95" s="329" t="s">
        <v>323</v>
      </c>
      <c r="C95" s="329" t="str">
        <f>$C$31</f>
        <v>tCO2 over lifetime</v>
      </c>
      <c r="D95" s="267">
        <f t="shared" ref="D95:D96" si="23">D93*$D$15</f>
        <v>242729.02834627591</v>
      </c>
    </row>
    <row r="96" spans="1:4" x14ac:dyDescent="0.25">
      <c r="A96" s="258" t="s">
        <v>265</v>
      </c>
      <c r="B96" s="329" t="s">
        <v>323</v>
      </c>
      <c r="C96" s="329" t="str">
        <f>$C$31</f>
        <v>tCO2 over lifetime</v>
      </c>
      <c r="D96" s="267">
        <f t="shared" si="23"/>
        <v>8185.0230000000083</v>
      </c>
    </row>
    <row r="97" spans="1:4" x14ac:dyDescent="0.25">
      <c r="A97" s="258" t="s">
        <v>275</v>
      </c>
      <c r="B97" s="329" t="s">
        <v>323</v>
      </c>
      <c r="C97" s="329" t="str">
        <f>$C$31</f>
        <v>tCO2 over lifetime</v>
      </c>
      <c r="D97" s="267">
        <f>+AVERAGE(D89,D81)</f>
        <v>10773.206799999985</v>
      </c>
    </row>
    <row r="98" spans="1:4" ht="13.5" thickBot="1" x14ac:dyDescent="0.35">
      <c r="A98" s="275" t="s">
        <v>284</v>
      </c>
      <c r="B98" s="332" t="s">
        <v>324</v>
      </c>
      <c r="C98" s="332" t="str">
        <f>$C$31</f>
        <v>tCO2 over lifetime</v>
      </c>
      <c r="D98" s="274">
        <f>SUM(D95:D97)</f>
        <v>261687.25814627591</v>
      </c>
    </row>
    <row r="99" spans="1:4" ht="15.75" customHeight="1" x14ac:dyDescent="0.25"/>
    <row r="100" spans="1:4" ht="15.75" customHeight="1" x14ac:dyDescent="0.25">
      <c r="A100" s="254" t="s">
        <v>709</v>
      </c>
      <c r="D100" s="375">
        <f>D97/D98</f>
        <v>4.1168251279464517E-2</v>
      </c>
    </row>
    <row r="101" spans="1:4" ht="15.75" customHeight="1" x14ac:dyDescent="0.25"/>
    <row r="102" spans="1:4" ht="15.75" customHeight="1" x14ac:dyDescent="0.3">
      <c r="A102" s="398" t="s">
        <v>730</v>
      </c>
    </row>
    <row r="103" spans="1:4" ht="15.75" customHeight="1" thickBot="1" x14ac:dyDescent="0.3"/>
    <row r="104" spans="1:4" ht="15.75" customHeight="1" x14ac:dyDescent="0.3">
      <c r="A104" s="393" t="s">
        <v>728</v>
      </c>
      <c r="B104" s="394" t="str">
        <f>C19</f>
        <v>kWh/m2/yr</v>
      </c>
    </row>
    <row r="105" spans="1:4" ht="15.75" customHeight="1" x14ac:dyDescent="0.3">
      <c r="A105" s="395" t="s">
        <v>172</v>
      </c>
      <c r="B105" s="265"/>
    </row>
    <row r="106" spans="1:4" ht="15.75" customHeight="1" x14ac:dyDescent="0.25">
      <c r="A106" s="260" t="s">
        <v>726</v>
      </c>
      <c r="B106" s="265">
        <f>D19</f>
        <v>189</v>
      </c>
    </row>
    <row r="107" spans="1:4" ht="15.75" customHeight="1" x14ac:dyDescent="0.25">
      <c r="A107" s="260" t="s">
        <v>727</v>
      </c>
      <c r="B107" s="265">
        <f>D20</f>
        <v>39</v>
      </c>
    </row>
    <row r="108" spans="1:4" ht="15.75" customHeight="1" x14ac:dyDescent="0.3">
      <c r="A108" s="396" t="s">
        <v>249</v>
      </c>
      <c r="B108" s="265"/>
    </row>
    <row r="109" spans="1:4" ht="15.75" customHeight="1" x14ac:dyDescent="0.25">
      <c r="A109" s="260" t="s">
        <v>726</v>
      </c>
      <c r="B109" s="265">
        <f>D39</f>
        <v>145</v>
      </c>
    </row>
    <row r="110" spans="1:4" ht="15.75" customHeight="1" x14ac:dyDescent="0.25">
      <c r="A110" s="260" t="s">
        <v>727</v>
      </c>
      <c r="B110" s="265">
        <f>D40</f>
        <v>41</v>
      </c>
    </row>
    <row r="111" spans="1:4" ht="15.75" customHeight="1" x14ac:dyDescent="0.3">
      <c r="A111" s="396" t="s">
        <v>250</v>
      </c>
      <c r="B111" s="265"/>
    </row>
    <row r="112" spans="1:4" ht="15.75" customHeight="1" x14ac:dyDescent="0.25">
      <c r="A112" s="260" t="s">
        <v>726</v>
      </c>
      <c r="B112" s="265">
        <f>D59</f>
        <v>114</v>
      </c>
    </row>
    <row r="113" spans="1:2" ht="15.75" customHeight="1" x14ac:dyDescent="0.25">
      <c r="A113" s="260" t="s">
        <v>727</v>
      </c>
      <c r="B113" s="265">
        <f>D60</f>
        <v>25</v>
      </c>
    </row>
    <row r="114" spans="1:2" ht="15.75" customHeight="1" x14ac:dyDescent="0.3">
      <c r="A114" s="396" t="s">
        <v>731</v>
      </c>
      <c r="B114" s="265"/>
    </row>
    <row r="115" spans="1:2" ht="15.75" customHeight="1" x14ac:dyDescent="0.25">
      <c r="A115" s="260" t="s">
        <v>726</v>
      </c>
      <c r="B115" s="265">
        <f>AVERAGE(B109,B112)</f>
        <v>129.5</v>
      </c>
    </row>
    <row r="116" spans="1:2" ht="15.75" customHeight="1" thickBot="1" x14ac:dyDescent="0.3">
      <c r="A116" s="261" t="s">
        <v>727</v>
      </c>
      <c r="B116" s="397">
        <f>AVERAGE(B110,B113)</f>
        <v>33</v>
      </c>
    </row>
    <row r="117" spans="1:2" ht="15.75" customHeight="1" thickBot="1" x14ac:dyDescent="0.3"/>
    <row r="118" spans="1:2" ht="15.75" customHeight="1" x14ac:dyDescent="0.3">
      <c r="A118" s="393" t="s">
        <v>729</v>
      </c>
      <c r="B118" s="394" t="s">
        <v>725</v>
      </c>
    </row>
    <row r="119" spans="1:2" ht="15.75" customHeight="1" x14ac:dyDescent="0.3">
      <c r="A119" s="395" t="s">
        <v>172</v>
      </c>
      <c r="B119" s="265"/>
    </row>
    <row r="120" spans="1:2" ht="15.75" customHeight="1" x14ac:dyDescent="0.25">
      <c r="A120" s="260" t="s">
        <v>726</v>
      </c>
      <c r="B120" s="259">
        <f>B106*D14/1000</f>
        <v>74409.3</v>
      </c>
    </row>
    <row r="121" spans="1:2" ht="15.75" customHeight="1" x14ac:dyDescent="0.25">
      <c r="A121" s="260" t="s">
        <v>727</v>
      </c>
      <c r="B121" s="259">
        <f>B107*D14/1000</f>
        <v>15354.3</v>
      </c>
    </row>
    <row r="122" spans="1:2" ht="15.75" customHeight="1" x14ac:dyDescent="0.3">
      <c r="A122" s="396" t="s">
        <v>731</v>
      </c>
      <c r="B122" s="265"/>
    </row>
    <row r="123" spans="1:2" ht="15.75" customHeight="1" x14ac:dyDescent="0.25">
      <c r="A123" s="260" t="s">
        <v>726</v>
      </c>
      <c r="B123" s="259">
        <f>B115*D14/1000</f>
        <v>50984.15</v>
      </c>
    </row>
    <row r="124" spans="1:2" ht="15.75" customHeight="1" thickBot="1" x14ac:dyDescent="0.3">
      <c r="A124" s="261" t="s">
        <v>727</v>
      </c>
      <c r="B124" s="262">
        <f>B116*D14/1000</f>
        <v>12992.1</v>
      </c>
    </row>
    <row r="125" spans="1:2" ht="15.75" customHeight="1" thickBot="1" x14ac:dyDescent="0.3">
      <c r="B125" s="392"/>
    </row>
    <row r="126" spans="1:2" ht="15.75" customHeight="1" x14ac:dyDescent="0.3">
      <c r="A126" s="393" t="s">
        <v>732</v>
      </c>
      <c r="B126" s="394" t="s">
        <v>725</v>
      </c>
    </row>
    <row r="127" spans="1:2" ht="15.75" customHeight="1" x14ac:dyDescent="0.3">
      <c r="A127" s="396" t="s">
        <v>731</v>
      </c>
      <c r="B127" s="399"/>
    </row>
    <row r="128" spans="1:2" ht="15.75" customHeight="1" x14ac:dyDescent="0.25">
      <c r="A128" s="260" t="s">
        <v>726</v>
      </c>
      <c r="B128" s="259">
        <f>B120-B123</f>
        <v>23425.15</v>
      </c>
    </row>
    <row r="129" spans="1:2" ht="15.75" customHeight="1" thickBot="1" x14ac:dyDescent="0.3">
      <c r="A129" s="261" t="s">
        <v>727</v>
      </c>
      <c r="B129" s="262">
        <f>B121-B124</f>
        <v>2362.1999999999989</v>
      </c>
    </row>
    <row r="130" spans="1:2" ht="15.75" customHeight="1" x14ac:dyDescent="0.25"/>
    <row r="131" spans="1:2" ht="15.75" customHeight="1" x14ac:dyDescent="0.25"/>
    <row r="132" spans="1:2" ht="15.75" customHeight="1" x14ac:dyDescent="0.25"/>
    <row r="133" spans="1:2" ht="15.75" customHeight="1" x14ac:dyDescent="0.25"/>
    <row r="134" spans="1:2" ht="15.75" customHeight="1" x14ac:dyDescent="0.25"/>
    <row r="135" spans="1:2" ht="15.75" customHeight="1" x14ac:dyDescent="0.25"/>
    <row r="136" spans="1:2" ht="15.75" customHeight="1" x14ac:dyDescent="0.25"/>
    <row r="137" spans="1:2" ht="15.75" customHeight="1" x14ac:dyDescent="0.25"/>
    <row r="138" spans="1:2" ht="15.75" customHeight="1" x14ac:dyDescent="0.25"/>
    <row r="139" spans="1:2" ht="15.75" customHeight="1" x14ac:dyDescent="0.25"/>
    <row r="140" spans="1:2" ht="15.75" customHeight="1" x14ac:dyDescent="0.25"/>
    <row r="141" spans="1:2" ht="15.75" customHeight="1" x14ac:dyDescent="0.25"/>
    <row r="142" spans="1:2" ht="15.75" customHeight="1" x14ac:dyDescent="0.25"/>
    <row r="143" spans="1:2" ht="15.75" customHeight="1" x14ac:dyDescent="0.25"/>
    <row r="144" spans="1:2"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row r="1010" ht="15.75" customHeight="1" x14ac:dyDescent="0.25"/>
  </sheetData>
  <pageMargins left="0.7" right="0.7" top="0.75" bottom="0.75" header="0" footer="0"/>
  <pageSetup orientation="landscape"/>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1"/>
  <sheetViews>
    <sheetView workbookViewId="0">
      <selection activeCell="A153" sqref="A153"/>
    </sheetView>
  </sheetViews>
  <sheetFormatPr baseColWidth="10" defaultColWidth="12.58203125" defaultRowHeight="15" customHeight="1" x14ac:dyDescent="0.25"/>
  <cols>
    <col min="1" max="1" width="32.08203125" style="254" customWidth="1"/>
    <col min="2" max="2" width="17" style="254" customWidth="1"/>
    <col min="3" max="3" width="19" style="254" customWidth="1"/>
    <col min="4" max="4" width="18.08203125" style="254" customWidth="1"/>
    <col min="5" max="26" width="7.58203125" style="254" customWidth="1"/>
    <col min="27" max="16384" width="12.58203125" style="254"/>
  </cols>
  <sheetData>
    <row r="1" spans="1:9" ht="12.5" x14ac:dyDescent="0.25">
      <c r="A1" s="241" t="s">
        <v>151</v>
      </c>
    </row>
    <row r="2" spans="1:9" ht="50" x14ac:dyDescent="0.25">
      <c r="A2" s="292" t="s">
        <v>118</v>
      </c>
      <c r="B2" s="293" t="s">
        <v>152</v>
      </c>
      <c r="C2" s="293" t="s">
        <v>153</v>
      </c>
      <c r="D2" s="293" t="s">
        <v>154</v>
      </c>
      <c r="E2" s="293" t="s">
        <v>155</v>
      </c>
      <c r="F2" s="293" t="s">
        <v>156</v>
      </c>
      <c r="G2" s="293" t="s">
        <v>157</v>
      </c>
      <c r="H2" s="293" t="s">
        <v>158</v>
      </c>
    </row>
    <row r="3" spans="1:9" ht="12.5" x14ac:dyDescent="0.25">
      <c r="A3" s="294" t="s">
        <v>159</v>
      </c>
      <c r="B3" s="295">
        <v>106</v>
      </c>
      <c r="C3" s="295">
        <v>111</v>
      </c>
      <c r="D3" s="295">
        <v>106</v>
      </c>
      <c r="E3" s="295">
        <v>134</v>
      </c>
      <c r="F3" s="295">
        <v>129</v>
      </c>
      <c r="G3" s="295">
        <v>135</v>
      </c>
      <c r="H3" s="295">
        <v>156</v>
      </c>
    </row>
    <row r="4" spans="1:9" ht="12.5" x14ac:dyDescent="0.25">
      <c r="A4" s="294" t="s">
        <v>160</v>
      </c>
      <c r="B4" s="295">
        <v>162</v>
      </c>
      <c r="C4" s="295">
        <v>169</v>
      </c>
      <c r="D4" s="295">
        <v>171</v>
      </c>
      <c r="E4" s="295">
        <v>162</v>
      </c>
      <c r="F4" s="295">
        <v>164</v>
      </c>
      <c r="G4" s="295">
        <v>160</v>
      </c>
      <c r="H4" s="295">
        <v>178</v>
      </c>
    </row>
    <row r="5" spans="1:9" ht="12.5" x14ac:dyDescent="0.25">
      <c r="A5" s="294" t="s">
        <v>161</v>
      </c>
      <c r="B5" s="295">
        <v>356</v>
      </c>
      <c r="C5" s="295">
        <v>416</v>
      </c>
      <c r="D5" s="295">
        <v>404</v>
      </c>
      <c r="E5" s="295">
        <v>394</v>
      </c>
      <c r="F5" s="295">
        <v>393</v>
      </c>
      <c r="G5" s="295">
        <v>394</v>
      </c>
      <c r="H5" s="295">
        <v>525</v>
      </c>
    </row>
    <row r="6" spans="1:9" ht="12.5" x14ac:dyDescent="0.25">
      <c r="A6" s="294" t="s">
        <v>162</v>
      </c>
      <c r="B6" s="295">
        <v>34</v>
      </c>
      <c r="C6" s="295">
        <v>37</v>
      </c>
      <c r="D6" s="295">
        <v>44</v>
      </c>
      <c r="E6" s="295">
        <v>32</v>
      </c>
      <c r="F6" s="295">
        <v>35</v>
      </c>
      <c r="G6" s="295">
        <v>26</v>
      </c>
      <c r="H6" s="295">
        <v>28</v>
      </c>
    </row>
    <row r="7" spans="1:9" ht="12.5" x14ac:dyDescent="0.25">
      <c r="A7" s="294" t="s">
        <v>163</v>
      </c>
      <c r="B7" s="295">
        <v>169</v>
      </c>
      <c r="C7" s="295">
        <v>200</v>
      </c>
      <c r="D7" s="295">
        <v>197</v>
      </c>
      <c r="E7" s="295">
        <v>125</v>
      </c>
      <c r="F7" s="295" t="s">
        <v>164</v>
      </c>
      <c r="G7" s="295" t="s">
        <v>164</v>
      </c>
      <c r="H7" s="295">
        <v>118</v>
      </c>
    </row>
    <row r="8" spans="1:9" ht="12.5" x14ac:dyDescent="0.25">
      <c r="A8" s="294" t="s">
        <v>165</v>
      </c>
      <c r="B8" s="295">
        <v>253</v>
      </c>
      <c r="C8" s="295" t="s">
        <v>164</v>
      </c>
      <c r="D8" s="295" t="s">
        <v>164</v>
      </c>
      <c r="E8" s="295">
        <v>249</v>
      </c>
      <c r="F8" s="295" t="s">
        <v>164</v>
      </c>
      <c r="G8" s="295" t="s">
        <v>164</v>
      </c>
      <c r="H8" s="295">
        <v>266</v>
      </c>
    </row>
    <row r="9" spans="1:9" ht="12.5" x14ac:dyDescent="0.25">
      <c r="A9" s="294" t="s">
        <v>64</v>
      </c>
      <c r="B9" s="295">
        <v>217</v>
      </c>
      <c r="C9" s="295" t="s">
        <v>164</v>
      </c>
      <c r="D9" s="295" t="s">
        <v>164</v>
      </c>
      <c r="E9" s="295">
        <v>241</v>
      </c>
      <c r="F9" s="295" t="s">
        <v>164</v>
      </c>
      <c r="G9" s="295" t="s">
        <v>164</v>
      </c>
      <c r="H9" s="295">
        <v>228</v>
      </c>
    </row>
    <row r="11" spans="1:9" ht="13" x14ac:dyDescent="0.3">
      <c r="A11" s="296" t="s">
        <v>166</v>
      </c>
    </row>
    <row r="12" spans="1:9" ht="50" x14ac:dyDescent="0.25">
      <c r="A12" s="297" t="s">
        <v>118</v>
      </c>
      <c r="B12" s="298" t="s">
        <v>167</v>
      </c>
      <c r="C12" s="298" t="s">
        <v>152</v>
      </c>
      <c r="D12" s="298" t="s">
        <v>153</v>
      </c>
      <c r="E12" s="298" t="s">
        <v>154</v>
      </c>
      <c r="F12" s="298" t="s">
        <v>155</v>
      </c>
      <c r="G12" s="298" t="s">
        <v>168</v>
      </c>
      <c r="H12" s="298" t="s">
        <v>169</v>
      </c>
      <c r="I12" s="298" t="s">
        <v>170</v>
      </c>
    </row>
    <row r="13" spans="1:9" ht="12.5" x14ac:dyDescent="0.25">
      <c r="A13" s="488" t="s">
        <v>171</v>
      </c>
      <c r="B13" s="299" t="s">
        <v>172</v>
      </c>
      <c r="C13" s="299">
        <v>106</v>
      </c>
      <c r="D13" s="299">
        <v>111</v>
      </c>
      <c r="E13" s="299">
        <v>106</v>
      </c>
      <c r="F13" s="299">
        <v>134</v>
      </c>
      <c r="G13" s="299">
        <v>129</v>
      </c>
      <c r="H13" s="299">
        <v>135</v>
      </c>
      <c r="I13" s="299">
        <v>156</v>
      </c>
    </row>
    <row r="14" spans="1:9" ht="12.5" x14ac:dyDescent="0.25">
      <c r="A14" s="489"/>
      <c r="B14" s="299" t="s">
        <v>173</v>
      </c>
      <c r="C14" s="299">
        <v>79</v>
      </c>
      <c r="D14" s="299">
        <v>81</v>
      </c>
      <c r="E14" s="299">
        <v>76</v>
      </c>
      <c r="F14" s="299">
        <v>102</v>
      </c>
      <c r="G14" s="299">
        <v>98</v>
      </c>
      <c r="H14" s="299">
        <v>105</v>
      </c>
      <c r="I14" s="299">
        <v>117</v>
      </c>
    </row>
    <row r="15" spans="1:9" ht="12.5" x14ac:dyDescent="0.25">
      <c r="A15" s="490"/>
      <c r="B15" s="300" t="s">
        <v>174</v>
      </c>
      <c r="C15" s="300">
        <v>67</v>
      </c>
      <c r="D15" s="300">
        <v>68</v>
      </c>
      <c r="E15" s="300">
        <v>68</v>
      </c>
      <c r="F15" s="300">
        <v>78</v>
      </c>
      <c r="G15" s="300">
        <v>77</v>
      </c>
      <c r="H15" s="300">
        <v>79</v>
      </c>
      <c r="I15" s="300">
        <v>87</v>
      </c>
    </row>
    <row r="16" spans="1:9" ht="12.5" x14ac:dyDescent="0.25">
      <c r="A16" s="488" t="s">
        <v>160</v>
      </c>
      <c r="B16" s="299" t="s">
        <v>172</v>
      </c>
      <c r="C16" s="299">
        <v>162</v>
      </c>
      <c r="D16" s="299">
        <v>169</v>
      </c>
      <c r="E16" s="299">
        <v>171</v>
      </c>
      <c r="F16" s="299">
        <v>162</v>
      </c>
      <c r="G16" s="299">
        <v>164</v>
      </c>
      <c r="H16" s="299">
        <v>160</v>
      </c>
      <c r="I16" s="299">
        <v>178</v>
      </c>
    </row>
    <row r="17" spans="1:9" ht="12.5" x14ac:dyDescent="0.25">
      <c r="A17" s="489"/>
      <c r="B17" s="299" t="s">
        <v>173</v>
      </c>
      <c r="C17" s="299">
        <v>139</v>
      </c>
      <c r="D17" s="299">
        <v>140</v>
      </c>
      <c r="E17" s="299">
        <v>141</v>
      </c>
      <c r="F17" s="299">
        <v>145</v>
      </c>
      <c r="G17" s="299">
        <v>146</v>
      </c>
      <c r="H17" s="299">
        <v>145</v>
      </c>
      <c r="I17" s="299">
        <v>168</v>
      </c>
    </row>
    <row r="18" spans="1:9" ht="12.5" x14ac:dyDescent="0.25">
      <c r="A18" s="490"/>
      <c r="B18" s="300" t="s">
        <v>174</v>
      </c>
      <c r="C18" s="300">
        <v>104</v>
      </c>
      <c r="D18" s="300">
        <v>106</v>
      </c>
      <c r="E18" s="300">
        <v>107</v>
      </c>
      <c r="F18" s="300">
        <v>110</v>
      </c>
      <c r="G18" s="300">
        <v>110</v>
      </c>
      <c r="H18" s="300">
        <v>109</v>
      </c>
      <c r="I18" s="300">
        <v>126</v>
      </c>
    </row>
    <row r="19" spans="1:9" ht="12.5" x14ac:dyDescent="0.25">
      <c r="A19" s="488" t="s">
        <v>161</v>
      </c>
      <c r="B19" s="299" t="s">
        <v>172</v>
      </c>
      <c r="C19" s="299">
        <v>356</v>
      </c>
      <c r="D19" s="299">
        <v>416</v>
      </c>
      <c r="E19" s="299">
        <v>404</v>
      </c>
      <c r="F19" s="299">
        <v>394</v>
      </c>
      <c r="G19" s="299">
        <v>393</v>
      </c>
      <c r="H19" s="299">
        <v>394</v>
      </c>
      <c r="I19" s="299">
        <v>525</v>
      </c>
    </row>
    <row r="20" spans="1:9" ht="12.5" x14ac:dyDescent="0.25">
      <c r="A20" s="489"/>
      <c r="B20" s="299" t="s">
        <v>173</v>
      </c>
      <c r="C20" s="299">
        <v>304</v>
      </c>
      <c r="D20" s="299">
        <v>342</v>
      </c>
      <c r="E20" s="299">
        <v>330</v>
      </c>
      <c r="F20" s="299">
        <v>292</v>
      </c>
      <c r="G20" s="299">
        <v>293</v>
      </c>
      <c r="H20" s="299">
        <v>288</v>
      </c>
      <c r="I20" s="299">
        <v>334</v>
      </c>
    </row>
    <row r="21" spans="1:9" ht="15.75" customHeight="1" x14ac:dyDescent="0.25">
      <c r="A21" s="490"/>
      <c r="B21" s="300" t="s">
        <v>174</v>
      </c>
      <c r="C21" s="300">
        <v>248</v>
      </c>
      <c r="D21" s="300">
        <v>276</v>
      </c>
      <c r="E21" s="300">
        <v>268</v>
      </c>
      <c r="F21" s="300">
        <v>255</v>
      </c>
      <c r="G21" s="300">
        <v>253</v>
      </c>
      <c r="H21" s="300">
        <v>253</v>
      </c>
      <c r="I21" s="300">
        <v>290</v>
      </c>
    </row>
    <row r="22" spans="1:9" ht="15.75" customHeight="1" x14ac:dyDescent="0.25">
      <c r="A22" s="488" t="s">
        <v>162</v>
      </c>
      <c r="B22" s="299" t="s">
        <v>172</v>
      </c>
      <c r="C22" s="299">
        <v>34</v>
      </c>
      <c r="D22" s="299">
        <v>37</v>
      </c>
      <c r="E22" s="299">
        <v>44</v>
      </c>
      <c r="F22" s="299">
        <v>32</v>
      </c>
      <c r="G22" s="299">
        <v>35</v>
      </c>
      <c r="H22" s="299">
        <v>26</v>
      </c>
      <c r="I22" s="299">
        <v>28</v>
      </c>
    </row>
    <row r="23" spans="1:9" ht="15.75" customHeight="1" x14ac:dyDescent="0.25">
      <c r="A23" s="489"/>
      <c r="B23" s="299" t="s">
        <v>173</v>
      </c>
      <c r="C23" s="299">
        <v>24</v>
      </c>
      <c r="D23" s="299">
        <v>24</v>
      </c>
      <c r="E23" s="299">
        <v>28</v>
      </c>
      <c r="F23" s="299">
        <v>26</v>
      </c>
      <c r="G23" s="299">
        <v>27</v>
      </c>
      <c r="H23" s="299">
        <v>21</v>
      </c>
      <c r="I23" s="299">
        <v>25</v>
      </c>
    </row>
    <row r="24" spans="1:9" ht="15.75" customHeight="1" x14ac:dyDescent="0.25">
      <c r="A24" s="490"/>
      <c r="B24" s="300" t="s">
        <v>174</v>
      </c>
      <c r="C24" s="300">
        <v>21</v>
      </c>
      <c r="D24" s="300">
        <v>22</v>
      </c>
      <c r="E24" s="300">
        <v>24</v>
      </c>
      <c r="F24" s="300">
        <v>19</v>
      </c>
      <c r="G24" s="300">
        <v>20</v>
      </c>
      <c r="H24" s="300">
        <v>18</v>
      </c>
      <c r="I24" s="300">
        <v>23</v>
      </c>
    </row>
    <row r="25" spans="1:9" ht="15.75" customHeight="1" x14ac:dyDescent="0.25">
      <c r="A25" s="488" t="s">
        <v>163</v>
      </c>
      <c r="B25" s="299" t="s">
        <v>172</v>
      </c>
      <c r="C25" s="299">
        <v>169</v>
      </c>
      <c r="D25" s="299">
        <v>200</v>
      </c>
      <c r="E25" s="299">
        <v>197</v>
      </c>
      <c r="F25" s="299">
        <v>125</v>
      </c>
      <c r="G25" s="299"/>
      <c r="H25" s="299"/>
      <c r="I25" s="299">
        <v>118</v>
      </c>
    </row>
    <row r="26" spans="1:9" ht="15.75" customHeight="1" x14ac:dyDescent="0.25">
      <c r="A26" s="489"/>
      <c r="B26" s="299" t="s">
        <v>173</v>
      </c>
      <c r="C26" s="299">
        <v>111</v>
      </c>
      <c r="D26" s="299">
        <v>125</v>
      </c>
      <c r="E26" s="299">
        <v>125</v>
      </c>
      <c r="F26" s="299">
        <v>91</v>
      </c>
      <c r="G26" s="299"/>
      <c r="H26" s="299"/>
      <c r="I26" s="299">
        <v>95</v>
      </c>
    </row>
    <row r="27" spans="1:9" ht="15.75" customHeight="1" x14ac:dyDescent="0.25">
      <c r="A27" s="490"/>
      <c r="B27" s="300" t="s">
        <v>174</v>
      </c>
      <c r="C27" s="300">
        <v>88</v>
      </c>
      <c r="D27" s="300">
        <v>99</v>
      </c>
      <c r="E27" s="300">
        <v>100</v>
      </c>
      <c r="F27" s="300">
        <v>73</v>
      </c>
      <c r="G27" s="300"/>
      <c r="H27" s="300"/>
      <c r="I27" s="300">
        <v>75</v>
      </c>
    </row>
    <row r="28" spans="1:9" ht="15.75" customHeight="1" x14ac:dyDescent="0.25">
      <c r="A28" s="488" t="s">
        <v>165</v>
      </c>
      <c r="B28" s="299" t="s">
        <v>172</v>
      </c>
      <c r="C28" s="299">
        <v>253</v>
      </c>
      <c r="D28" s="299"/>
      <c r="E28" s="299"/>
      <c r="F28" s="299">
        <v>249</v>
      </c>
      <c r="G28" s="299"/>
      <c r="H28" s="299"/>
      <c r="I28" s="299">
        <v>266</v>
      </c>
    </row>
    <row r="29" spans="1:9" ht="15.75" customHeight="1" x14ac:dyDescent="0.25">
      <c r="A29" s="489"/>
      <c r="B29" s="299" t="s">
        <v>173</v>
      </c>
      <c r="C29" s="299">
        <v>212</v>
      </c>
      <c r="D29" s="299"/>
      <c r="E29" s="299"/>
      <c r="F29" s="299">
        <v>219</v>
      </c>
      <c r="G29" s="299"/>
      <c r="H29" s="299"/>
      <c r="I29" s="299">
        <v>232</v>
      </c>
    </row>
    <row r="30" spans="1:9" ht="15.75" customHeight="1" x14ac:dyDescent="0.25">
      <c r="A30" s="490"/>
      <c r="B30" s="300" t="s">
        <v>174</v>
      </c>
      <c r="C30" s="300">
        <v>179</v>
      </c>
      <c r="D30" s="300"/>
      <c r="E30" s="300"/>
      <c r="F30" s="300">
        <v>176</v>
      </c>
      <c r="G30" s="300"/>
      <c r="H30" s="300"/>
      <c r="I30" s="300">
        <v>182</v>
      </c>
    </row>
    <row r="31" spans="1:9" ht="15.75" customHeight="1" x14ac:dyDescent="0.25">
      <c r="A31" s="488" t="s">
        <v>64</v>
      </c>
      <c r="B31" s="299" t="s">
        <v>172</v>
      </c>
      <c r="C31" s="299">
        <v>217</v>
      </c>
      <c r="D31" s="299"/>
      <c r="E31" s="299"/>
      <c r="F31" s="299">
        <v>241</v>
      </c>
      <c r="G31" s="299"/>
      <c r="H31" s="299"/>
      <c r="I31" s="299">
        <v>228</v>
      </c>
    </row>
    <row r="32" spans="1:9" ht="15.75" customHeight="1" x14ac:dyDescent="0.25">
      <c r="A32" s="489"/>
      <c r="B32" s="299" t="s">
        <v>173</v>
      </c>
      <c r="C32" s="299">
        <v>168</v>
      </c>
      <c r="D32" s="299"/>
      <c r="E32" s="299"/>
      <c r="F32" s="299">
        <v>181</v>
      </c>
      <c r="G32" s="299"/>
      <c r="H32" s="299"/>
      <c r="I32" s="299">
        <v>186</v>
      </c>
    </row>
    <row r="33" spans="1:9" ht="15.75" customHeight="1" x14ac:dyDescent="0.25">
      <c r="A33" s="491"/>
      <c r="B33" s="299" t="s">
        <v>174</v>
      </c>
      <c r="C33" s="299">
        <v>129</v>
      </c>
      <c r="D33" s="299"/>
      <c r="E33" s="299"/>
      <c r="F33" s="299">
        <v>137</v>
      </c>
      <c r="G33" s="299"/>
      <c r="H33" s="299"/>
      <c r="I33" s="299">
        <v>139</v>
      </c>
    </row>
    <row r="34" spans="1:9" ht="15.75" customHeight="1" x14ac:dyDescent="0.25"/>
    <row r="35" spans="1:9" ht="15.75" customHeight="1" x14ac:dyDescent="0.25">
      <c r="A35" s="301" t="s">
        <v>617</v>
      </c>
    </row>
    <row r="36" spans="1:9" ht="15.75" customHeight="1" x14ac:dyDescent="0.25">
      <c r="A36" s="301"/>
    </row>
    <row r="37" spans="1:9" ht="15.75" customHeight="1" x14ac:dyDescent="0.25">
      <c r="A37" s="302" t="s">
        <v>686</v>
      </c>
    </row>
    <row r="38" spans="1:9" ht="15.75" customHeight="1" thickBot="1" x14ac:dyDescent="0.3">
      <c r="A38" s="302" t="s">
        <v>616</v>
      </c>
    </row>
    <row r="39" spans="1:9" ht="15.75" customHeight="1" thickBot="1" x14ac:dyDescent="0.3">
      <c r="A39" s="303"/>
      <c r="B39" s="304" t="s">
        <v>172</v>
      </c>
      <c r="C39" s="304" t="s">
        <v>175</v>
      </c>
      <c r="D39" s="304" t="s">
        <v>176</v>
      </c>
    </row>
    <row r="40" spans="1:9" ht="15.75" customHeight="1" thickBot="1" x14ac:dyDescent="0.3">
      <c r="A40" s="492" t="s">
        <v>177</v>
      </c>
      <c r="B40" s="493"/>
      <c r="C40" s="493"/>
      <c r="D40" s="494"/>
    </row>
    <row r="41" spans="1:9" ht="15.75" customHeight="1" thickBot="1" x14ac:dyDescent="0.3">
      <c r="A41" s="305" t="s">
        <v>687</v>
      </c>
      <c r="B41" s="299" t="s">
        <v>178</v>
      </c>
      <c r="C41" s="299" t="s">
        <v>179</v>
      </c>
      <c r="D41" s="299" t="s">
        <v>179</v>
      </c>
    </row>
    <row r="42" spans="1:9" ht="15.75" customHeight="1" thickBot="1" x14ac:dyDescent="0.3">
      <c r="A42" s="305" t="s">
        <v>180</v>
      </c>
      <c r="B42" s="299">
        <v>631</v>
      </c>
      <c r="C42" s="299">
        <v>553</v>
      </c>
      <c r="D42" s="299">
        <v>553</v>
      </c>
    </row>
    <row r="43" spans="1:9" ht="15.75" customHeight="1" thickBot="1" x14ac:dyDescent="0.3">
      <c r="A43" s="492" t="s">
        <v>181</v>
      </c>
      <c r="B43" s="493"/>
      <c r="C43" s="493"/>
      <c r="D43" s="494"/>
    </row>
    <row r="44" spans="1:9" ht="15.75" customHeight="1" thickBot="1" x14ac:dyDescent="0.3">
      <c r="A44" s="305" t="s">
        <v>182</v>
      </c>
      <c r="B44" s="299">
        <v>2835</v>
      </c>
      <c r="C44" s="299">
        <v>2669</v>
      </c>
      <c r="D44" s="299">
        <v>2669</v>
      </c>
    </row>
    <row r="45" spans="1:9" ht="15.75" customHeight="1" thickBot="1" x14ac:dyDescent="0.3">
      <c r="A45" s="305" t="s">
        <v>183</v>
      </c>
      <c r="B45" s="299">
        <v>1148</v>
      </c>
      <c r="C45" s="299">
        <v>1148</v>
      </c>
      <c r="D45" s="299">
        <v>1148</v>
      </c>
    </row>
    <row r="46" spans="1:9" ht="15.75" customHeight="1" thickBot="1" x14ac:dyDescent="0.3">
      <c r="A46" s="305" t="s">
        <v>184</v>
      </c>
      <c r="B46" s="299">
        <v>1148</v>
      </c>
      <c r="C46" s="299">
        <v>1148</v>
      </c>
      <c r="D46" s="299">
        <v>1148</v>
      </c>
    </row>
    <row r="47" spans="1:9" ht="15.75" customHeight="1" thickBot="1" x14ac:dyDescent="0.3">
      <c r="A47" s="305" t="s">
        <v>185</v>
      </c>
      <c r="B47" s="299">
        <v>62</v>
      </c>
      <c r="C47" s="299">
        <v>6</v>
      </c>
      <c r="D47" s="299">
        <v>6</v>
      </c>
    </row>
    <row r="48" spans="1:9" ht="15.75" customHeight="1" thickBot="1" x14ac:dyDescent="0.3">
      <c r="A48" s="305" t="s">
        <v>186</v>
      </c>
      <c r="B48" s="299">
        <v>216</v>
      </c>
      <c r="C48" s="299">
        <v>106</v>
      </c>
      <c r="D48" s="299">
        <v>106</v>
      </c>
    </row>
    <row r="49" spans="1:4" ht="15.75" customHeight="1" thickBot="1" x14ac:dyDescent="0.3">
      <c r="A49" s="305" t="s">
        <v>187</v>
      </c>
      <c r="B49" s="299">
        <v>199</v>
      </c>
      <c r="C49" s="299">
        <v>199</v>
      </c>
      <c r="D49" s="299">
        <v>199</v>
      </c>
    </row>
    <row r="50" spans="1:4" ht="15.75" customHeight="1" thickBot="1" x14ac:dyDescent="0.3">
      <c r="A50" s="305" t="s">
        <v>188</v>
      </c>
      <c r="B50" s="299">
        <v>62</v>
      </c>
      <c r="C50" s="299">
        <v>62</v>
      </c>
      <c r="D50" s="299">
        <v>62</v>
      </c>
    </row>
    <row r="51" spans="1:4" ht="15.75" customHeight="1" x14ac:dyDescent="0.25"/>
    <row r="52" spans="1:4" ht="15.75" customHeight="1" x14ac:dyDescent="0.25">
      <c r="A52" s="306" t="s">
        <v>189</v>
      </c>
    </row>
    <row r="53" spans="1:4" ht="15.75" customHeight="1" x14ac:dyDescent="0.25">
      <c r="A53" s="302" t="s">
        <v>190</v>
      </c>
    </row>
    <row r="54" spans="1:4" ht="15.75" customHeight="1" x14ac:dyDescent="0.25">
      <c r="A54" s="285" t="s">
        <v>191</v>
      </c>
      <c r="B54" s="285" t="s">
        <v>202</v>
      </c>
      <c r="C54" s="285" t="s">
        <v>203</v>
      </c>
      <c r="D54" s="285" t="s">
        <v>204</v>
      </c>
    </row>
    <row r="55" spans="1:4" ht="15.75" customHeight="1" x14ac:dyDescent="0.25">
      <c r="A55" s="485" t="s">
        <v>192</v>
      </c>
      <c r="B55" s="486"/>
      <c r="C55" s="486"/>
      <c r="D55" s="486"/>
    </row>
    <row r="56" spans="1:4" ht="15.75" customHeight="1" x14ac:dyDescent="0.25">
      <c r="A56" s="307" t="s">
        <v>193</v>
      </c>
      <c r="B56" s="290">
        <v>162</v>
      </c>
      <c r="C56" s="290">
        <v>139</v>
      </c>
      <c r="D56" s="290">
        <v>104</v>
      </c>
    </row>
    <row r="57" spans="1:4" ht="12.5" x14ac:dyDescent="0.25">
      <c r="A57" s="307" t="s">
        <v>214</v>
      </c>
      <c r="B57" s="290" t="s">
        <v>194</v>
      </c>
      <c r="C57" s="290">
        <v>24</v>
      </c>
      <c r="D57" s="290">
        <v>18</v>
      </c>
    </row>
    <row r="58" spans="1:4" ht="15.75" customHeight="1" x14ac:dyDescent="0.25">
      <c r="A58" s="307" t="s">
        <v>195</v>
      </c>
      <c r="B58" s="290">
        <v>13</v>
      </c>
      <c r="C58" s="290">
        <v>13</v>
      </c>
      <c r="D58" s="290">
        <v>10</v>
      </c>
    </row>
    <row r="59" spans="1:4" ht="15.75" customHeight="1" x14ac:dyDescent="0.25">
      <c r="A59" s="307" t="s">
        <v>196</v>
      </c>
      <c r="B59" s="290">
        <v>20</v>
      </c>
      <c r="C59" s="290">
        <v>17</v>
      </c>
      <c r="D59" s="290">
        <v>12</v>
      </c>
    </row>
    <row r="60" spans="1:4" ht="15.75" customHeight="1" x14ac:dyDescent="0.25">
      <c r="A60" s="307" t="s">
        <v>197</v>
      </c>
      <c r="B60" s="290">
        <v>17</v>
      </c>
      <c r="C60" s="290">
        <v>17</v>
      </c>
      <c r="D60" s="290">
        <v>13</v>
      </c>
    </row>
    <row r="61" spans="1:4" ht="15.75" customHeight="1" x14ac:dyDescent="0.25">
      <c r="A61" s="307" t="s">
        <v>198</v>
      </c>
      <c r="B61" s="290">
        <v>68</v>
      </c>
      <c r="C61" s="290">
        <v>68</v>
      </c>
      <c r="D61" s="290">
        <v>51</v>
      </c>
    </row>
    <row r="62" spans="1:4" ht="15.75" customHeight="1" x14ac:dyDescent="0.25">
      <c r="A62" s="485" t="s">
        <v>199</v>
      </c>
      <c r="B62" s="486"/>
      <c r="C62" s="486"/>
      <c r="D62" s="486"/>
    </row>
    <row r="63" spans="1:4" ht="15.75" customHeight="1" x14ac:dyDescent="0.25">
      <c r="A63" s="307" t="s">
        <v>200</v>
      </c>
      <c r="B63" s="290">
        <v>71</v>
      </c>
      <c r="C63" s="290">
        <v>60</v>
      </c>
      <c r="D63" s="290">
        <v>45</v>
      </c>
    </row>
    <row r="64" spans="1:4" ht="15.75" customHeight="1" x14ac:dyDescent="0.25">
      <c r="A64" s="308"/>
      <c r="B64" s="309"/>
      <c r="C64" s="309"/>
      <c r="D64" s="309"/>
    </row>
    <row r="65" spans="1:4" ht="15.75" customHeight="1" x14ac:dyDescent="0.25">
      <c r="A65" s="306" t="s">
        <v>189</v>
      </c>
    </row>
    <row r="66" spans="1:4" ht="15.75" customHeight="1" x14ac:dyDescent="0.25">
      <c r="A66" s="302" t="s">
        <v>201</v>
      </c>
    </row>
    <row r="67" spans="1:4" ht="15.75" customHeight="1" x14ac:dyDescent="0.25">
      <c r="A67" s="285" t="s">
        <v>191</v>
      </c>
      <c r="B67" s="285" t="s">
        <v>202</v>
      </c>
      <c r="C67" s="285" t="s">
        <v>203</v>
      </c>
      <c r="D67" s="285" t="s">
        <v>204</v>
      </c>
    </row>
    <row r="68" spans="1:4" ht="15.75" customHeight="1" x14ac:dyDescent="0.25">
      <c r="A68" s="485" t="s">
        <v>192</v>
      </c>
      <c r="B68" s="486"/>
      <c r="C68" s="486"/>
      <c r="D68" s="486"/>
    </row>
    <row r="69" spans="1:4" ht="15.75" customHeight="1" x14ac:dyDescent="0.25">
      <c r="A69" s="307" t="s">
        <v>193</v>
      </c>
      <c r="B69" s="290">
        <v>169</v>
      </c>
      <c r="C69" s="290">
        <v>140</v>
      </c>
      <c r="D69" s="290">
        <v>106</v>
      </c>
    </row>
    <row r="70" spans="1:4" ht="15.75" customHeight="1" x14ac:dyDescent="0.25">
      <c r="A70" s="307" t="s">
        <v>214</v>
      </c>
      <c r="B70" s="290" t="s">
        <v>205</v>
      </c>
      <c r="C70" s="290">
        <v>28</v>
      </c>
      <c r="D70" s="290">
        <v>21</v>
      </c>
    </row>
    <row r="71" spans="1:4" ht="15.75" customHeight="1" x14ac:dyDescent="0.25">
      <c r="A71" s="307" t="s">
        <v>195</v>
      </c>
      <c r="B71" s="290">
        <v>13</v>
      </c>
      <c r="C71" s="290">
        <v>13</v>
      </c>
      <c r="D71" s="290">
        <v>10</v>
      </c>
    </row>
    <row r="72" spans="1:4" ht="15.75" customHeight="1" x14ac:dyDescent="0.25">
      <c r="A72" s="307" t="s">
        <v>196</v>
      </c>
      <c r="B72" s="290">
        <v>18</v>
      </c>
      <c r="C72" s="290">
        <v>14</v>
      </c>
      <c r="D72" s="290">
        <v>11</v>
      </c>
    </row>
    <row r="73" spans="1:4" ht="15.75" customHeight="1" x14ac:dyDescent="0.25">
      <c r="A73" s="307" t="s">
        <v>197</v>
      </c>
      <c r="B73" s="290">
        <v>17</v>
      </c>
      <c r="C73" s="290">
        <v>17</v>
      </c>
      <c r="D73" s="290">
        <v>13</v>
      </c>
    </row>
    <row r="74" spans="1:4" ht="15.75" customHeight="1" x14ac:dyDescent="0.25">
      <c r="A74" s="307" t="s">
        <v>198</v>
      </c>
      <c r="B74" s="290">
        <v>68</v>
      </c>
      <c r="C74" s="290">
        <v>68</v>
      </c>
      <c r="D74" s="290">
        <v>51</v>
      </c>
    </row>
    <row r="75" spans="1:4" ht="15.75" customHeight="1" x14ac:dyDescent="0.25">
      <c r="A75" s="485" t="s">
        <v>199</v>
      </c>
      <c r="B75" s="486"/>
      <c r="C75" s="486"/>
      <c r="D75" s="486"/>
    </row>
    <row r="76" spans="1:4" ht="15.75" customHeight="1" x14ac:dyDescent="0.25">
      <c r="A76" s="307" t="s">
        <v>200</v>
      </c>
      <c r="B76" s="290">
        <v>28</v>
      </c>
      <c r="C76" s="290">
        <v>23</v>
      </c>
      <c r="D76" s="290">
        <v>17</v>
      </c>
    </row>
    <row r="77" spans="1:4" ht="15.75" customHeight="1" x14ac:dyDescent="0.25"/>
    <row r="78" spans="1:4" ht="15.75" customHeight="1" x14ac:dyDescent="0.25">
      <c r="A78" s="306" t="s">
        <v>189</v>
      </c>
    </row>
    <row r="79" spans="1:4" ht="15.75" customHeight="1" x14ac:dyDescent="0.25">
      <c r="A79" s="302" t="s">
        <v>206</v>
      </c>
    </row>
    <row r="80" spans="1:4" ht="15.75" customHeight="1" x14ac:dyDescent="0.25">
      <c r="A80" s="317"/>
      <c r="B80" s="285" t="s">
        <v>202</v>
      </c>
      <c r="C80" s="285" t="s">
        <v>203</v>
      </c>
      <c r="D80" s="285" t="s">
        <v>204</v>
      </c>
    </row>
    <row r="81" spans="1:4" ht="15.75" customHeight="1" x14ac:dyDescent="0.25">
      <c r="A81" s="485" t="s">
        <v>192</v>
      </c>
      <c r="B81" s="486"/>
      <c r="C81" s="486"/>
      <c r="D81" s="486"/>
    </row>
    <row r="82" spans="1:4" ht="15.75" customHeight="1" x14ac:dyDescent="0.25">
      <c r="A82" s="307" t="s">
        <v>193</v>
      </c>
      <c r="B82" s="290">
        <v>171</v>
      </c>
      <c r="C82" s="290">
        <v>141</v>
      </c>
      <c r="D82" s="290">
        <v>107</v>
      </c>
    </row>
    <row r="83" spans="1:4" ht="15.75" customHeight="1" x14ac:dyDescent="0.25">
      <c r="A83" s="307" t="s">
        <v>214</v>
      </c>
      <c r="B83" s="290" t="s">
        <v>207</v>
      </c>
      <c r="C83" s="290">
        <v>30</v>
      </c>
      <c r="D83" s="290">
        <v>22</v>
      </c>
    </row>
    <row r="84" spans="1:4" ht="15.75" customHeight="1" x14ac:dyDescent="0.25">
      <c r="A84" s="307" t="s">
        <v>195</v>
      </c>
      <c r="B84" s="290">
        <v>13</v>
      </c>
      <c r="C84" s="290">
        <v>13</v>
      </c>
      <c r="D84" s="290">
        <v>10</v>
      </c>
    </row>
    <row r="85" spans="1:4" ht="15.75" customHeight="1" x14ac:dyDescent="0.25">
      <c r="A85" s="307" t="s">
        <v>196</v>
      </c>
      <c r="B85" s="290">
        <v>16</v>
      </c>
      <c r="C85" s="290">
        <v>13</v>
      </c>
      <c r="D85" s="290">
        <v>11</v>
      </c>
    </row>
    <row r="86" spans="1:4" ht="15.75" customHeight="1" x14ac:dyDescent="0.25">
      <c r="A86" s="307" t="s">
        <v>197</v>
      </c>
      <c r="B86" s="290">
        <v>17</v>
      </c>
      <c r="C86" s="290">
        <v>17</v>
      </c>
      <c r="D86" s="290">
        <v>13</v>
      </c>
    </row>
    <row r="87" spans="1:4" ht="15.75" customHeight="1" x14ac:dyDescent="0.25">
      <c r="A87" s="307" t="s">
        <v>198</v>
      </c>
      <c r="B87" s="290">
        <v>68</v>
      </c>
      <c r="C87" s="290">
        <v>68</v>
      </c>
      <c r="D87" s="290">
        <v>51</v>
      </c>
    </row>
    <row r="88" spans="1:4" ht="15.75" customHeight="1" x14ac:dyDescent="0.25">
      <c r="A88" s="485" t="s">
        <v>199</v>
      </c>
      <c r="B88" s="486"/>
      <c r="C88" s="486"/>
      <c r="D88" s="486"/>
    </row>
    <row r="89" spans="1:4" ht="15.75" customHeight="1" x14ac:dyDescent="0.25">
      <c r="A89" s="307" t="s">
        <v>200</v>
      </c>
      <c r="B89" s="290">
        <v>108</v>
      </c>
      <c r="C89" s="290">
        <v>90</v>
      </c>
      <c r="D89" s="290">
        <v>68</v>
      </c>
    </row>
    <row r="90" spans="1:4" ht="15.75" customHeight="1" x14ac:dyDescent="0.25"/>
    <row r="91" spans="1:4" ht="15.75" customHeight="1" x14ac:dyDescent="0.25">
      <c r="A91" s="306" t="s">
        <v>189</v>
      </c>
    </row>
    <row r="92" spans="1:4" ht="15.75" customHeight="1" x14ac:dyDescent="0.25">
      <c r="A92" s="302" t="s">
        <v>208</v>
      </c>
    </row>
    <row r="93" spans="1:4" ht="13" x14ac:dyDescent="0.25">
      <c r="A93" s="285" t="s">
        <v>191</v>
      </c>
      <c r="B93" s="285" t="s">
        <v>202</v>
      </c>
      <c r="C93" s="285" t="s">
        <v>203</v>
      </c>
      <c r="D93" s="285" t="s">
        <v>204</v>
      </c>
    </row>
    <row r="94" spans="1:4" ht="12.5" x14ac:dyDescent="0.25">
      <c r="A94" s="485" t="s">
        <v>192</v>
      </c>
      <c r="B94" s="486"/>
      <c r="C94" s="486"/>
      <c r="D94" s="486"/>
    </row>
    <row r="95" spans="1:4" ht="12.5" x14ac:dyDescent="0.25">
      <c r="A95" s="307" t="s">
        <v>193</v>
      </c>
      <c r="B95" s="290">
        <v>162</v>
      </c>
      <c r="C95" s="290">
        <v>145</v>
      </c>
      <c r="D95" s="290">
        <v>110</v>
      </c>
    </row>
    <row r="96" spans="1:4" ht="12.5" x14ac:dyDescent="0.25">
      <c r="A96" s="307" t="s">
        <v>209</v>
      </c>
      <c r="B96" s="290" t="s">
        <v>210</v>
      </c>
      <c r="C96" s="290">
        <v>12</v>
      </c>
      <c r="D96" s="290">
        <v>10</v>
      </c>
    </row>
    <row r="97" spans="1:4" ht="12.5" x14ac:dyDescent="0.25">
      <c r="A97" s="307" t="s">
        <v>214</v>
      </c>
      <c r="B97" s="290" t="s">
        <v>210</v>
      </c>
      <c r="C97" s="290">
        <v>7</v>
      </c>
      <c r="D97" s="290">
        <v>5</v>
      </c>
    </row>
    <row r="98" spans="1:4" ht="12.5" x14ac:dyDescent="0.25">
      <c r="A98" s="307" t="s">
        <v>195</v>
      </c>
      <c r="B98" s="290">
        <v>13</v>
      </c>
      <c r="C98" s="290">
        <v>13</v>
      </c>
      <c r="D98" s="290">
        <v>10</v>
      </c>
    </row>
    <row r="99" spans="1:4" ht="12.5" x14ac:dyDescent="0.25">
      <c r="A99" s="307" t="s">
        <v>196</v>
      </c>
      <c r="B99" s="290">
        <v>35</v>
      </c>
      <c r="C99" s="290">
        <v>28</v>
      </c>
      <c r="D99" s="290">
        <v>21</v>
      </c>
    </row>
    <row r="100" spans="1:4" ht="12.5" x14ac:dyDescent="0.25">
      <c r="A100" s="307" t="s">
        <v>197</v>
      </c>
      <c r="B100" s="290">
        <v>17</v>
      </c>
      <c r="C100" s="290">
        <v>17</v>
      </c>
      <c r="D100" s="290">
        <v>13</v>
      </c>
    </row>
    <row r="101" spans="1:4" ht="12.5" x14ac:dyDescent="0.25">
      <c r="A101" s="307" t="s">
        <v>198</v>
      </c>
      <c r="B101" s="290">
        <v>68</v>
      </c>
      <c r="C101" s="290">
        <v>68</v>
      </c>
      <c r="D101" s="290">
        <v>51</v>
      </c>
    </row>
    <row r="102" spans="1:4" ht="12.5" x14ac:dyDescent="0.25">
      <c r="A102" s="485" t="s">
        <v>199</v>
      </c>
      <c r="B102" s="486"/>
      <c r="C102" s="486"/>
      <c r="D102" s="486"/>
    </row>
    <row r="103" spans="1:4" ht="12.5" x14ac:dyDescent="0.25">
      <c r="A103" s="307" t="s">
        <v>200</v>
      </c>
      <c r="B103" s="290">
        <v>56</v>
      </c>
      <c r="C103" s="290">
        <v>51</v>
      </c>
      <c r="D103" s="290">
        <v>38</v>
      </c>
    </row>
    <row r="104" spans="1:4" ht="15.75" customHeight="1" x14ac:dyDescent="0.25"/>
    <row r="105" spans="1:4" ht="15.75" customHeight="1" x14ac:dyDescent="0.25">
      <c r="A105" s="306" t="s">
        <v>189</v>
      </c>
    </row>
    <row r="106" spans="1:4" ht="15.75" customHeight="1" x14ac:dyDescent="0.25">
      <c r="A106" s="302" t="s">
        <v>211</v>
      </c>
    </row>
    <row r="107" spans="1:4" ht="15.75" customHeight="1" x14ac:dyDescent="0.25">
      <c r="A107" s="285" t="s">
        <v>191</v>
      </c>
      <c r="B107" s="285" t="s">
        <v>202</v>
      </c>
      <c r="C107" s="285" t="s">
        <v>203</v>
      </c>
      <c r="D107" s="285" t="s">
        <v>204</v>
      </c>
    </row>
    <row r="108" spans="1:4" ht="15.75" customHeight="1" x14ac:dyDescent="0.25">
      <c r="A108" s="485" t="s">
        <v>192</v>
      </c>
      <c r="B108" s="486"/>
      <c r="C108" s="486"/>
      <c r="D108" s="486"/>
    </row>
    <row r="109" spans="1:4" ht="15.75" customHeight="1" x14ac:dyDescent="0.25">
      <c r="A109" s="307" t="s">
        <v>193</v>
      </c>
      <c r="B109" s="290">
        <v>164</v>
      </c>
      <c r="C109" s="290">
        <v>146</v>
      </c>
      <c r="D109" s="290">
        <v>110</v>
      </c>
    </row>
    <row r="110" spans="1:4" ht="15.75" customHeight="1" x14ac:dyDescent="0.25">
      <c r="A110" s="307" t="s">
        <v>209</v>
      </c>
      <c r="B110" s="290">
        <v>15</v>
      </c>
      <c r="C110" s="290">
        <v>12</v>
      </c>
      <c r="D110" s="290">
        <v>10</v>
      </c>
    </row>
    <row r="111" spans="1:4" ht="12.5" x14ac:dyDescent="0.25">
      <c r="A111" s="307" t="s">
        <v>214</v>
      </c>
      <c r="B111" s="290" t="s">
        <v>212</v>
      </c>
      <c r="C111" s="290">
        <v>9</v>
      </c>
      <c r="D111" s="290">
        <v>6</v>
      </c>
    </row>
    <row r="112" spans="1:4" ht="15.75" customHeight="1" x14ac:dyDescent="0.25">
      <c r="A112" s="307" t="s">
        <v>195</v>
      </c>
      <c r="B112" s="290">
        <v>13</v>
      </c>
      <c r="C112" s="290">
        <v>13</v>
      </c>
      <c r="D112" s="290">
        <v>10</v>
      </c>
    </row>
    <row r="113" spans="1:4" ht="15.75" customHeight="1" x14ac:dyDescent="0.25">
      <c r="A113" s="307" t="s">
        <v>196</v>
      </c>
      <c r="B113" s="290">
        <v>33</v>
      </c>
      <c r="C113" s="290">
        <v>27</v>
      </c>
      <c r="D113" s="290">
        <v>20</v>
      </c>
    </row>
    <row r="114" spans="1:4" ht="15.75" customHeight="1" x14ac:dyDescent="0.25">
      <c r="A114" s="307" t="s">
        <v>197</v>
      </c>
      <c r="B114" s="290">
        <v>17</v>
      </c>
      <c r="C114" s="290">
        <v>17</v>
      </c>
      <c r="D114" s="290">
        <v>13</v>
      </c>
    </row>
    <row r="115" spans="1:4" ht="15.75" customHeight="1" x14ac:dyDescent="0.25">
      <c r="A115" s="307" t="s">
        <v>198</v>
      </c>
      <c r="B115" s="290">
        <v>68</v>
      </c>
      <c r="C115" s="290">
        <v>68</v>
      </c>
      <c r="D115" s="290">
        <v>51</v>
      </c>
    </row>
    <row r="116" spans="1:4" ht="15.75" customHeight="1" x14ac:dyDescent="0.25">
      <c r="A116" s="485" t="s">
        <v>199</v>
      </c>
      <c r="B116" s="486"/>
      <c r="C116" s="486"/>
      <c r="D116" s="486"/>
    </row>
    <row r="117" spans="1:4" ht="15.75" customHeight="1" x14ac:dyDescent="0.25">
      <c r="A117" s="307" t="s">
        <v>200</v>
      </c>
      <c r="B117" s="290">
        <v>53</v>
      </c>
      <c r="C117" s="290">
        <v>47</v>
      </c>
      <c r="D117" s="290">
        <v>35</v>
      </c>
    </row>
    <row r="118" spans="1:4" ht="15.75" customHeight="1" x14ac:dyDescent="0.25">
      <c r="A118" s="310"/>
      <c r="B118" s="311"/>
      <c r="C118" s="311"/>
      <c r="D118" s="311"/>
    </row>
    <row r="119" spans="1:4" ht="15.75" customHeight="1" x14ac:dyDescent="0.25">
      <c r="A119" s="306" t="s">
        <v>189</v>
      </c>
      <c r="B119" s="311"/>
      <c r="C119" s="311"/>
      <c r="D119" s="311"/>
    </row>
    <row r="120" spans="1:4" ht="15.75" customHeight="1" x14ac:dyDescent="0.25">
      <c r="A120" s="302" t="s">
        <v>213</v>
      </c>
      <c r="B120" s="302"/>
      <c r="C120" s="309"/>
      <c r="D120" s="309"/>
    </row>
    <row r="121" spans="1:4" ht="15.75" customHeight="1" x14ac:dyDescent="0.25">
      <c r="A121" s="285"/>
      <c r="B121" s="285" t="s">
        <v>172</v>
      </c>
      <c r="C121" s="285" t="s">
        <v>175</v>
      </c>
      <c r="D121" s="285" t="s">
        <v>176</v>
      </c>
    </row>
    <row r="122" spans="1:4" ht="15.75" customHeight="1" x14ac:dyDescent="0.25">
      <c r="A122" s="487" t="s">
        <v>192</v>
      </c>
      <c r="B122" s="486"/>
      <c r="C122" s="486"/>
      <c r="D122" s="486"/>
    </row>
    <row r="123" spans="1:4" ht="15.75" customHeight="1" x14ac:dyDescent="0.25">
      <c r="A123" s="287" t="s">
        <v>193</v>
      </c>
      <c r="B123" s="288">
        <v>160</v>
      </c>
      <c r="C123" s="288">
        <v>145</v>
      </c>
      <c r="D123" s="289">
        <v>109</v>
      </c>
    </row>
    <row r="124" spans="1:4" ht="15.75" customHeight="1" x14ac:dyDescent="0.25">
      <c r="A124" s="287" t="s">
        <v>209</v>
      </c>
      <c r="B124" s="290">
        <v>13</v>
      </c>
      <c r="C124" s="290">
        <v>12</v>
      </c>
      <c r="D124" s="291">
        <v>10</v>
      </c>
    </row>
    <row r="125" spans="1:4" ht="15.75" customHeight="1" x14ac:dyDescent="0.25">
      <c r="A125" s="287" t="s">
        <v>214</v>
      </c>
      <c r="B125" s="290">
        <v>12</v>
      </c>
      <c r="C125" s="290">
        <v>5</v>
      </c>
      <c r="D125" s="291">
        <v>3</v>
      </c>
    </row>
    <row r="126" spans="1:4" ht="15.75" customHeight="1" x14ac:dyDescent="0.25">
      <c r="A126" s="287" t="s">
        <v>195</v>
      </c>
      <c r="B126" s="290">
        <v>13</v>
      </c>
      <c r="C126" s="290">
        <v>13</v>
      </c>
      <c r="D126" s="291">
        <v>10</v>
      </c>
    </row>
    <row r="127" spans="1:4" ht="15.75" customHeight="1" x14ac:dyDescent="0.25">
      <c r="A127" s="287" t="s">
        <v>196</v>
      </c>
      <c r="B127" s="290">
        <v>37</v>
      </c>
      <c r="C127" s="290">
        <v>30</v>
      </c>
      <c r="D127" s="291">
        <v>22</v>
      </c>
    </row>
    <row r="128" spans="1:4" ht="15.75" customHeight="1" x14ac:dyDescent="0.25">
      <c r="A128" s="287" t="s">
        <v>197</v>
      </c>
      <c r="B128" s="290">
        <v>17</v>
      </c>
      <c r="C128" s="290">
        <v>17</v>
      </c>
      <c r="D128" s="291">
        <v>13</v>
      </c>
    </row>
    <row r="129" spans="1:4" ht="15.75" customHeight="1" x14ac:dyDescent="0.25">
      <c r="A129" s="287" t="s">
        <v>198</v>
      </c>
      <c r="B129" s="290">
        <v>68</v>
      </c>
      <c r="C129" s="290">
        <v>68</v>
      </c>
      <c r="D129" s="291">
        <v>51</v>
      </c>
    </row>
    <row r="130" spans="1:4" ht="15.75" customHeight="1" x14ac:dyDescent="0.25">
      <c r="A130" s="487" t="s">
        <v>199</v>
      </c>
      <c r="B130" s="486"/>
      <c r="C130" s="486"/>
      <c r="D130" s="486"/>
    </row>
    <row r="131" spans="1:4" ht="15.75" customHeight="1" x14ac:dyDescent="0.25">
      <c r="A131" s="287" t="s">
        <v>200</v>
      </c>
      <c r="B131" s="288">
        <v>116</v>
      </c>
      <c r="C131" s="288">
        <v>93</v>
      </c>
      <c r="D131" s="288">
        <v>70</v>
      </c>
    </row>
    <row r="132" spans="1:4" ht="15.75" customHeight="1" x14ac:dyDescent="0.25">
      <c r="A132" s="310"/>
      <c r="B132" s="311"/>
      <c r="C132" s="311"/>
      <c r="D132" s="311"/>
    </row>
    <row r="133" spans="1:4" ht="15.75" customHeight="1" x14ac:dyDescent="0.25">
      <c r="A133" s="306" t="s">
        <v>189</v>
      </c>
      <c r="B133" s="312"/>
      <c r="C133" s="311"/>
      <c r="D133" s="311"/>
    </row>
    <row r="134" spans="1:4" ht="15.75" customHeight="1" x14ac:dyDescent="0.25">
      <c r="A134" s="302" t="s">
        <v>215</v>
      </c>
      <c r="B134" s="302"/>
      <c r="C134" s="311"/>
      <c r="D134" s="311"/>
    </row>
    <row r="135" spans="1:4" ht="15.75" customHeight="1" x14ac:dyDescent="0.25">
      <c r="A135" s="285"/>
      <c r="B135" s="285" t="s">
        <v>172</v>
      </c>
      <c r="C135" s="285" t="s">
        <v>175</v>
      </c>
      <c r="D135" s="285" t="s">
        <v>176</v>
      </c>
    </row>
    <row r="136" spans="1:4" ht="15.75" customHeight="1" x14ac:dyDescent="0.25">
      <c r="A136" s="487" t="s">
        <v>192</v>
      </c>
      <c r="B136" s="486"/>
      <c r="C136" s="486"/>
      <c r="D136" s="486"/>
    </row>
    <row r="137" spans="1:4" ht="15.75" customHeight="1" x14ac:dyDescent="0.25">
      <c r="A137" s="287" t="s">
        <v>193</v>
      </c>
      <c r="B137" s="288">
        <v>178</v>
      </c>
      <c r="C137" s="288">
        <v>168</v>
      </c>
      <c r="D137" s="289">
        <v>126</v>
      </c>
    </row>
    <row r="138" spans="1:4" ht="15.75" customHeight="1" x14ac:dyDescent="0.25">
      <c r="A138" s="287" t="s">
        <v>209</v>
      </c>
      <c r="B138" s="290">
        <v>26</v>
      </c>
      <c r="C138" s="290">
        <v>26</v>
      </c>
      <c r="D138" s="291">
        <v>20</v>
      </c>
    </row>
    <row r="139" spans="1:4" ht="15.75" customHeight="1" x14ac:dyDescent="0.25">
      <c r="A139" s="287" t="s">
        <v>214</v>
      </c>
      <c r="B139" s="290">
        <v>12</v>
      </c>
      <c r="C139" s="290">
        <v>9</v>
      </c>
      <c r="D139" s="291">
        <v>6</v>
      </c>
    </row>
    <row r="140" spans="1:4" ht="15.75" customHeight="1" x14ac:dyDescent="0.25">
      <c r="A140" s="287" t="s">
        <v>195</v>
      </c>
      <c r="B140" s="290">
        <v>13</v>
      </c>
      <c r="C140" s="290">
        <v>13</v>
      </c>
      <c r="D140" s="291">
        <v>10</v>
      </c>
    </row>
    <row r="141" spans="1:4" ht="15.75" customHeight="1" x14ac:dyDescent="0.25">
      <c r="A141" s="287" t="s">
        <v>196</v>
      </c>
      <c r="B141" s="290">
        <v>42</v>
      </c>
      <c r="C141" s="290">
        <v>35</v>
      </c>
      <c r="D141" s="291">
        <v>26</v>
      </c>
    </row>
    <row r="142" spans="1:4" ht="15.75" customHeight="1" x14ac:dyDescent="0.25">
      <c r="A142" s="287" t="s">
        <v>197</v>
      </c>
      <c r="B142" s="290">
        <v>17</v>
      </c>
      <c r="C142" s="290">
        <v>17</v>
      </c>
      <c r="D142" s="291">
        <v>13</v>
      </c>
    </row>
    <row r="143" spans="1:4" ht="15.75" customHeight="1" x14ac:dyDescent="0.25">
      <c r="A143" s="287" t="s">
        <v>198</v>
      </c>
      <c r="B143" s="290">
        <v>68</v>
      </c>
      <c r="C143" s="290">
        <v>68</v>
      </c>
      <c r="D143" s="291">
        <v>51</v>
      </c>
    </row>
    <row r="144" spans="1:4" ht="15.75" customHeight="1" x14ac:dyDescent="0.25">
      <c r="A144" s="487" t="s">
        <v>199</v>
      </c>
      <c r="B144" s="486"/>
      <c r="C144" s="486"/>
      <c r="D144" s="486"/>
    </row>
    <row r="145" spans="1:4" ht="15.75" customHeight="1" x14ac:dyDescent="0.25">
      <c r="A145" s="287" t="s">
        <v>200</v>
      </c>
      <c r="B145" s="288">
        <v>148</v>
      </c>
      <c r="C145" s="288">
        <v>139</v>
      </c>
      <c r="D145" s="288">
        <v>105</v>
      </c>
    </row>
    <row r="146" spans="1:4" ht="15.75" customHeight="1" x14ac:dyDescent="0.25">
      <c r="A146" s="310"/>
      <c r="B146" s="311"/>
      <c r="C146" s="311"/>
      <c r="D146" s="311"/>
    </row>
    <row r="147" spans="1:4" ht="15.75" customHeight="1" x14ac:dyDescent="0.25">
      <c r="A147" s="302" t="s">
        <v>690</v>
      </c>
    </row>
    <row r="148" spans="1:4" ht="15.75" customHeight="1" x14ac:dyDescent="0.25">
      <c r="A148" s="302" t="s">
        <v>616</v>
      </c>
    </row>
    <row r="149" spans="1:4" ht="15.75" customHeight="1" x14ac:dyDescent="0.25">
      <c r="A149" s="286"/>
      <c r="B149" s="285" t="s">
        <v>172</v>
      </c>
      <c r="C149" s="285" t="s">
        <v>175</v>
      </c>
      <c r="D149" s="285" t="s">
        <v>176</v>
      </c>
    </row>
    <row r="150" spans="1:4" ht="15.75" customHeight="1" x14ac:dyDescent="0.25">
      <c r="A150" s="485"/>
      <c r="B150" s="486"/>
      <c r="C150" s="486"/>
      <c r="D150" s="486"/>
    </row>
    <row r="151" spans="1:4" ht="15.75" customHeight="1" x14ac:dyDescent="0.25">
      <c r="A151" s="307" t="s">
        <v>692</v>
      </c>
      <c r="B151" s="290">
        <v>137</v>
      </c>
      <c r="C151" s="290">
        <v>106</v>
      </c>
      <c r="D151" s="290">
        <v>106</v>
      </c>
    </row>
    <row r="152" spans="1:4" ht="15.75" customHeight="1" x14ac:dyDescent="0.25">
      <c r="A152" s="485" t="s">
        <v>181</v>
      </c>
      <c r="B152" s="486"/>
      <c r="C152" s="486"/>
      <c r="D152" s="486"/>
    </row>
    <row r="153" spans="1:4" ht="15.75" customHeight="1" x14ac:dyDescent="0.25">
      <c r="A153" s="307" t="s">
        <v>182</v>
      </c>
      <c r="B153" s="290">
        <v>4601</v>
      </c>
      <c r="C153" s="290">
        <v>3993</v>
      </c>
      <c r="D153" s="290">
        <v>3993</v>
      </c>
    </row>
    <row r="154" spans="1:4" ht="15.75" customHeight="1" x14ac:dyDescent="0.25">
      <c r="A154" s="307" t="s">
        <v>183</v>
      </c>
      <c r="B154" s="290">
        <v>1026</v>
      </c>
      <c r="C154" s="290">
        <v>1026</v>
      </c>
      <c r="D154" s="290">
        <v>1026</v>
      </c>
    </row>
    <row r="155" spans="1:4" ht="15.75" customHeight="1" x14ac:dyDescent="0.25">
      <c r="A155" s="307" t="s">
        <v>184</v>
      </c>
      <c r="B155" s="290">
        <v>513</v>
      </c>
      <c r="C155" s="290">
        <v>513</v>
      </c>
      <c r="D155" s="290">
        <v>513</v>
      </c>
    </row>
    <row r="156" spans="1:4" ht="15.75" customHeight="1" x14ac:dyDescent="0.25">
      <c r="A156" s="307" t="s">
        <v>185</v>
      </c>
      <c r="B156" s="290">
        <v>1602</v>
      </c>
      <c r="C156" s="290">
        <v>1602</v>
      </c>
      <c r="D156" s="290">
        <v>1602</v>
      </c>
    </row>
    <row r="157" spans="1:4" ht="15.75" customHeight="1" x14ac:dyDescent="0.25">
      <c r="A157" s="307" t="s">
        <v>186</v>
      </c>
      <c r="B157" s="290">
        <v>1130</v>
      </c>
      <c r="C157" s="290">
        <v>505</v>
      </c>
      <c r="D157" s="290">
        <v>505</v>
      </c>
    </row>
    <row r="158" spans="1:4" ht="15.75" customHeight="1" x14ac:dyDescent="0.25">
      <c r="A158" s="307" t="s">
        <v>187</v>
      </c>
      <c r="B158" s="290">
        <v>53</v>
      </c>
      <c r="C158" s="290">
        <v>53</v>
      </c>
      <c r="D158" s="290">
        <v>53</v>
      </c>
    </row>
    <row r="159" spans="1:4" ht="15.75" customHeight="1" x14ac:dyDescent="0.25">
      <c r="A159" s="307" t="s">
        <v>188</v>
      </c>
      <c r="B159" s="290">
        <v>244</v>
      </c>
      <c r="C159" s="290">
        <v>244</v>
      </c>
      <c r="D159" s="290">
        <v>244</v>
      </c>
    </row>
    <row r="160" spans="1:4" ht="15.75" customHeight="1" x14ac:dyDescent="0.25">
      <c r="A160" s="307" t="s">
        <v>216</v>
      </c>
      <c r="B160" s="290">
        <v>40</v>
      </c>
      <c r="C160" s="290">
        <v>40</v>
      </c>
      <c r="D160" s="290">
        <v>40</v>
      </c>
    </row>
    <row r="161" spans="1:4" ht="15.75" customHeight="1" x14ac:dyDescent="0.25">
      <c r="A161" s="68"/>
    </row>
    <row r="162" spans="1:4" ht="15.75" customHeight="1" x14ac:dyDescent="0.25">
      <c r="A162" s="306" t="s">
        <v>217</v>
      </c>
    </row>
    <row r="163" spans="1:4" ht="15.75" customHeight="1" x14ac:dyDescent="0.25">
      <c r="A163" s="302" t="s">
        <v>190</v>
      </c>
    </row>
    <row r="164" spans="1:4" ht="15.75" customHeight="1" x14ac:dyDescent="0.25">
      <c r="A164" s="285" t="s">
        <v>191</v>
      </c>
      <c r="B164" s="285" t="s">
        <v>202</v>
      </c>
      <c r="C164" s="285" t="s">
        <v>203</v>
      </c>
      <c r="D164" s="285" t="s">
        <v>204</v>
      </c>
    </row>
    <row r="165" spans="1:4" ht="15.75" customHeight="1" x14ac:dyDescent="0.25">
      <c r="A165" s="485" t="s">
        <v>192</v>
      </c>
      <c r="B165" s="486"/>
      <c r="C165" s="486"/>
      <c r="D165" s="486"/>
    </row>
    <row r="166" spans="1:4" ht="15.75" customHeight="1" x14ac:dyDescent="0.25">
      <c r="A166" s="307" t="s">
        <v>193</v>
      </c>
      <c r="B166" s="290">
        <v>30</v>
      </c>
      <c r="C166" s="290">
        <v>26</v>
      </c>
      <c r="D166" s="290">
        <v>26</v>
      </c>
    </row>
    <row r="167" spans="1:4" ht="15.75" customHeight="1" x14ac:dyDescent="0.25">
      <c r="A167" s="307" t="s">
        <v>209</v>
      </c>
      <c r="B167" s="290" t="s">
        <v>218</v>
      </c>
      <c r="C167" s="290" t="s">
        <v>218</v>
      </c>
      <c r="D167" s="290" t="s">
        <v>218</v>
      </c>
    </row>
    <row r="168" spans="1:4" ht="15.75" customHeight="1" x14ac:dyDescent="0.25">
      <c r="A168" s="307" t="s">
        <v>219</v>
      </c>
      <c r="B168" s="290">
        <v>10</v>
      </c>
      <c r="C168" s="290">
        <v>10</v>
      </c>
      <c r="D168" s="290">
        <v>10</v>
      </c>
    </row>
    <row r="169" spans="1:4" ht="15.75" customHeight="1" x14ac:dyDescent="0.25">
      <c r="A169" s="307" t="s">
        <v>220</v>
      </c>
      <c r="B169" s="290">
        <v>4</v>
      </c>
      <c r="C169" s="290">
        <v>4</v>
      </c>
      <c r="D169" s="290">
        <v>4</v>
      </c>
    </row>
    <row r="170" spans="1:4" ht="15.75" customHeight="1" x14ac:dyDescent="0.25">
      <c r="A170" s="307" t="s">
        <v>197</v>
      </c>
      <c r="B170" s="290">
        <v>8</v>
      </c>
      <c r="C170" s="290">
        <v>8</v>
      </c>
      <c r="D170" s="290">
        <v>8</v>
      </c>
    </row>
    <row r="171" spans="1:4" ht="15.75" customHeight="1" x14ac:dyDescent="0.25">
      <c r="A171" s="307" t="s">
        <v>196</v>
      </c>
      <c r="B171" s="290">
        <v>8</v>
      </c>
      <c r="C171" s="290">
        <v>4</v>
      </c>
      <c r="D171" s="290">
        <v>4</v>
      </c>
    </row>
    <row r="172" spans="1:4" ht="15.75" customHeight="1" x14ac:dyDescent="0.25">
      <c r="A172" s="485" t="s">
        <v>199</v>
      </c>
      <c r="B172" s="486"/>
      <c r="C172" s="486"/>
      <c r="D172" s="486"/>
    </row>
    <row r="173" spans="1:4" ht="15.75" customHeight="1" x14ac:dyDescent="0.25">
      <c r="A173" s="307" t="s">
        <v>200</v>
      </c>
      <c r="B173" s="290">
        <v>11</v>
      </c>
      <c r="C173" s="290">
        <v>9</v>
      </c>
      <c r="D173" s="290">
        <v>9</v>
      </c>
    </row>
    <row r="174" spans="1:4" ht="15.75" customHeight="1" x14ac:dyDescent="0.25">
      <c r="A174" s="68"/>
    </row>
    <row r="175" spans="1:4" ht="15.75" customHeight="1" x14ac:dyDescent="0.25">
      <c r="A175" s="306" t="s">
        <v>217</v>
      </c>
    </row>
    <row r="176" spans="1:4" ht="15.75" customHeight="1" x14ac:dyDescent="0.25">
      <c r="A176" s="302" t="s">
        <v>201</v>
      </c>
    </row>
    <row r="177" spans="1:4" ht="15.75" customHeight="1" x14ac:dyDescent="0.25">
      <c r="A177" s="285" t="s">
        <v>191</v>
      </c>
      <c r="B177" s="285" t="s">
        <v>202</v>
      </c>
      <c r="C177" s="285" t="s">
        <v>203</v>
      </c>
      <c r="D177" s="285" t="s">
        <v>204</v>
      </c>
    </row>
    <row r="178" spans="1:4" ht="15.75" customHeight="1" x14ac:dyDescent="0.25">
      <c r="A178" s="485" t="s">
        <v>192</v>
      </c>
      <c r="B178" s="486"/>
      <c r="C178" s="486"/>
      <c r="D178" s="486"/>
    </row>
    <row r="179" spans="1:4" ht="15.75" customHeight="1" x14ac:dyDescent="0.25">
      <c r="A179" s="307" t="s">
        <v>193</v>
      </c>
      <c r="B179" s="290">
        <v>31</v>
      </c>
      <c r="C179" s="290">
        <v>26</v>
      </c>
      <c r="D179" s="290">
        <v>26</v>
      </c>
    </row>
    <row r="180" spans="1:4" ht="15.75" customHeight="1" x14ac:dyDescent="0.25">
      <c r="A180" s="307" t="s">
        <v>209</v>
      </c>
      <c r="B180" s="290" t="s">
        <v>218</v>
      </c>
      <c r="C180" s="290" t="s">
        <v>218</v>
      </c>
      <c r="D180" s="290" t="s">
        <v>218</v>
      </c>
    </row>
    <row r="181" spans="1:4" ht="15.75" customHeight="1" x14ac:dyDescent="0.25">
      <c r="A181" s="307" t="s">
        <v>219</v>
      </c>
      <c r="B181" s="290">
        <v>10</v>
      </c>
      <c r="C181" s="290">
        <v>10</v>
      </c>
      <c r="D181" s="290">
        <v>10</v>
      </c>
    </row>
    <row r="182" spans="1:4" ht="15.75" customHeight="1" x14ac:dyDescent="0.25">
      <c r="A182" s="307" t="s">
        <v>220</v>
      </c>
      <c r="B182" s="290">
        <v>4</v>
      </c>
      <c r="C182" s="290">
        <v>4</v>
      </c>
      <c r="D182" s="290">
        <v>4</v>
      </c>
    </row>
    <row r="183" spans="1:4" ht="15.75" customHeight="1" x14ac:dyDescent="0.25">
      <c r="A183" s="307" t="s">
        <v>197</v>
      </c>
      <c r="B183" s="290">
        <v>8</v>
      </c>
      <c r="C183" s="290">
        <v>8</v>
      </c>
      <c r="D183" s="290">
        <v>8</v>
      </c>
    </row>
    <row r="184" spans="1:4" ht="15.75" customHeight="1" x14ac:dyDescent="0.25">
      <c r="A184" s="307" t="s">
        <v>196</v>
      </c>
      <c r="B184" s="290">
        <v>9</v>
      </c>
      <c r="C184" s="290">
        <v>4</v>
      </c>
      <c r="D184" s="290">
        <v>4</v>
      </c>
    </row>
    <row r="185" spans="1:4" ht="15.75" customHeight="1" x14ac:dyDescent="0.25">
      <c r="A185" s="485" t="s">
        <v>199</v>
      </c>
      <c r="B185" s="486"/>
      <c r="C185" s="486"/>
      <c r="D185" s="486"/>
    </row>
    <row r="186" spans="1:4" ht="15.75" customHeight="1" x14ac:dyDescent="0.25">
      <c r="A186" s="307" t="s">
        <v>200</v>
      </c>
      <c r="B186" s="290">
        <v>14</v>
      </c>
      <c r="C186" s="290">
        <v>12</v>
      </c>
      <c r="D186" s="290">
        <v>12</v>
      </c>
    </row>
    <row r="187" spans="1:4" ht="15.75" customHeight="1" x14ac:dyDescent="0.25"/>
    <row r="188" spans="1:4" ht="15.75" customHeight="1" x14ac:dyDescent="0.25">
      <c r="A188" s="306" t="s">
        <v>217</v>
      </c>
    </row>
    <row r="189" spans="1:4" ht="15.75" customHeight="1" x14ac:dyDescent="0.25">
      <c r="A189" s="302" t="s">
        <v>206</v>
      </c>
    </row>
    <row r="190" spans="1:4" ht="15.75" customHeight="1" x14ac:dyDescent="0.25">
      <c r="A190" s="285" t="s">
        <v>191</v>
      </c>
      <c r="B190" s="285" t="s">
        <v>202</v>
      </c>
      <c r="C190" s="285" t="s">
        <v>203</v>
      </c>
      <c r="D190" s="285" t="s">
        <v>204</v>
      </c>
    </row>
    <row r="191" spans="1:4" ht="15.75" customHeight="1" x14ac:dyDescent="0.25">
      <c r="A191" s="485" t="s">
        <v>192</v>
      </c>
      <c r="B191" s="486"/>
      <c r="C191" s="486"/>
      <c r="D191" s="486"/>
    </row>
    <row r="192" spans="1:4" ht="15.75" customHeight="1" x14ac:dyDescent="0.25">
      <c r="A192" s="307" t="s">
        <v>193</v>
      </c>
      <c r="B192" s="290">
        <v>28</v>
      </c>
      <c r="C192" s="290">
        <v>25</v>
      </c>
      <c r="D192" s="290">
        <v>25</v>
      </c>
    </row>
    <row r="193" spans="1:4" ht="15.75" customHeight="1" x14ac:dyDescent="0.25">
      <c r="A193" s="307" t="s">
        <v>209</v>
      </c>
      <c r="B193" s="290" t="s">
        <v>218</v>
      </c>
      <c r="C193" s="290" t="s">
        <v>218</v>
      </c>
      <c r="D193" s="290" t="s">
        <v>218</v>
      </c>
    </row>
    <row r="194" spans="1:4" ht="15.75" customHeight="1" x14ac:dyDescent="0.25">
      <c r="A194" s="307" t="s">
        <v>219</v>
      </c>
      <c r="B194" s="290">
        <v>10</v>
      </c>
      <c r="C194" s="290">
        <v>10</v>
      </c>
      <c r="D194" s="290">
        <v>10</v>
      </c>
    </row>
    <row r="195" spans="1:4" ht="15.75" customHeight="1" x14ac:dyDescent="0.25">
      <c r="A195" s="307" t="s">
        <v>220</v>
      </c>
      <c r="B195" s="290">
        <v>4</v>
      </c>
      <c r="C195" s="290">
        <v>4</v>
      </c>
      <c r="D195" s="290">
        <v>4</v>
      </c>
    </row>
    <row r="196" spans="1:4" ht="15.75" customHeight="1" x14ac:dyDescent="0.25">
      <c r="A196" s="307" t="s">
        <v>197</v>
      </c>
      <c r="B196" s="290">
        <v>8</v>
      </c>
      <c r="C196" s="290">
        <v>8</v>
      </c>
      <c r="D196" s="290">
        <v>8</v>
      </c>
    </row>
    <row r="197" spans="1:4" ht="15.75" customHeight="1" x14ac:dyDescent="0.25">
      <c r="A197" s="307" t="s">
        <v>196</v>
      </c>
      <c r="B197" s="290">
        <v>6</v>
      </c>
      <c r="C197" s="290">
        <v>3</v>
      </c>
      <c r="D197" s="290">
        <v>3</v>
      </c>
    </row>
    <row r="198" spans="1:4" ht="15.75" customHeight="1" x14ac:dyDescent="0.25">
      <c r="A198" s="485" t="s">
        <v>199</v>
      </c>
      <c r="B198" s="486"/>
      <c r="C198" s="486"/>
      <c r="D198" s="486"/>
    </row>
    <row r="199" spans="1:4" ht="15.75" customHeight="1" x14ac:dyDescent="0.25">
      <c r="A199" s="307" t="s">
        <v>200</v>
      </c>
      <c r="B199" s="290">
        <v>15</v>
      </c>
      <c r="C199" s="290">
        <v>13</v>
      </c>
      <c r="D199" s="290">
        <v>13</v>
      </c>
    </row>
    <row r="200" spans="1:4" ht="15.75" customHeight="1" x14ac:dyDescent="0.25">
      <c r="A200" s="68"/>
    </row>
    <row r="201" spans="1:4" ht="15.75" customHeight="1" x14ac:dyDescent="0.25">
      <c r="A201" s="306" t="s">
        <v>217</v>
      </c>
    </row>
    <row r="202" spans="1:4" ht="15.75" customHeight="1" x14ac:dyDescent="0.25">
      <c r="A202" s="302" t="s">
        <v>208</v>
      </c>
    </row>
    <row r="203" spans="1:4" ht="15.75" customHeight="1" x14ac:dyDescent="0.25">
      <c r="A203" s="285" t="s">
        <v>191</v>
      </c>
      <c r="B203" s="285" t="s">
        <v>202</v>
      </c>
      <c r="C203" s="285" t="s">
        <v>203</v>
      </c>
      <c r="D203" s="285" t="s">
        <v>204</v>
      </c>
    </row>
    <row r="204" spans="1:4" ht="15.75" customHeight="1" x14ac:dyDescent="0.25">
      <c r="A204" s="485" t="s">
        <v>192</v>
      </c>
      <c r="B204" s="486"/>
      <c r="C204" s="486"/>
      <c r="D204" s="486"/>
    </row>
    <row r="205" spans="1:4" ht="15.75" customHeight="1" x14ac:dyDescent="0.25">
      <c r="A205" s="307" t="s">
        <v>193</v>
      </c>
      <c r="B205" s="290">
        <v>46</v>
      </c>
      <c r="C205" s="290">
        <v>37</v>
      </c>
      <c r="D205" s="290">
        <v>31</v>
      </c>
    </row>
    <row r="206" spans="1:4" ht="15.75" customHeight="1" x14ac:dyDescent="0.25">
      <c r="A206" s="307" t="s">
        <v>209</v>
      </c>
      <c r="B206" s="290">
        <v>10</v>
      </c>
      <c r="C206" s="290">
        <v>9</v>
      </c>
      <c r="D206" s="290">
        <v>3</v>
      </c>
    </row>
    <row r="207" spans="1:4" ht="15.75" customHeight="1" x14ac:dyDescent="0.25">
      <c r="A207" s="307" t="s">
        <v>219</v>
      </c>
      <c r="B207" s="290">
        <v>10</v>
      </c>
      <c r="C207" s="290">
        <v>10</v>
      </c>
      <c r="D207" s="290">
        <v>10</v>
      </c>
    </row>
    <row r="208" spans="1:4" ht="15.75" customHeight="1" x14ac:dyDescent="0.25">
      <c r="A208" s="307" t="s">
        <v>220</v>
      </c>
      <c r="B208" s="290">
        <v>4</v>
      </c>
      <c r="C208" s="290">
        <v>4</v>
      </c>
      <c r="D208" s="290">
        <v>4</v>
      </c>
    </row>
    <row r="209" spans="1:4" ht="15.75" customHeight="1" x14ac:dyDescent="0.25">
      <c r="A209" s="307" t="s">
        <v>197</v>
      </c>
      <c r="B209" s="290">
        <v>8</v>
      </c>
      <c r="C209" s="290">
        <v>8</v>
      </c>
      <c r="D209" s="290">
        <v>8</v>
      </c>
    </row>
    <row r="210" spans="1:4" ht="15.75" customHeight="1" x14ac:dyDescent="0.25">
      <c r="A210" s="307" t="s">
        <v>196</v>
      </c>
      <c r="B210" s="290">
        <v>14</v>
      </c>
      <c r="C210" s="290">
        <v>6</v>
      </c>
      <c r="D210" s="290">
        <v>6</v>
      </c>
    </row>
    <row r="211" spans="1:4" ht="15.75" customHeight="1" x14ac:dyDescent="0.25">
      <c r="A211" s="485" t="s">
        <v>199</v>
      </c>
      <c r="B211" s="486"/>
      <c r="C211" s="486"/>
      <c r="D211" s="486"/>
    </row>
    <row r="212" spans="1:4" ht="15.75" customHeight="1" x14ac:dyDescent="0.25">
      <c r="A212" s="307" t="s">
        <v>200</v>
      </c>
      <c r="B212" s="290">
        <v>15</v>
      </c>
      <c r="C212" s="290">
        <v>12</v>
      </c>
      <c r="D212" s="290">
        <v>9</v>
      </c>
    </row>
    <row r="213" spans="1:4" ht="15.75" customHeight="1" x14ac:dyDescent="0.25"/>
    <row r="214" spans="1:4" ht="15.75" customHeight="1" x14ac:dyDescent="0.25">
      <c r="A214" s="306" t="s">
        <v>217</v>
      </c>
    </row>
    <row r="215" spans="1:4" ht="15.75" customHeight="1" x14ac:dyDescent="0.25">
      <c r="A215" s="302" t="s">
        <v>211</v>
      </c>
    </row>
    <row r="216" spans="1:4" ht="15.75" customHeight="1" x14ac:dyDescent="0.25">
      <c r="A216" s="285" t="s">
        <v>191</v>
      </c>
      <c r="B216" s="285" t="s">
        <v>202</v>
      </c>
      <c r="C216" s="285" t="s">
        <v>203</v>
      </c>
      <c r="D216" s="285" t="s">
        <v>204</v>
      </c>
    </row>
    <row r="217" spans="1:4" ht="15.75" customHeight="1" x14ac:dyDescent="0.25">
      <c r="A217" s="485" t="s">
        <v>192</v>
      </c>
      <c r="B217" s="486"/>
      <c r="C217" s="486"/>
      <c r="D217" s="486"/>
    </row>
    <row r="218" spans="1:4" ht="15.75" customHeight="1" x14ac:dyDescent="0.25">
      <c r="A218" s="307" t="s">
        <v>193</v>
      </c>
      <c r="B218" s="290">
        <v>47</v>
      </c>
      <c r="C218" s="290">
        <v>38</v>
      </c>
      <c r="D218" s="290">
        <v>31</v>
      </c>
    </row>
    <row r="219" spans="1:4" ht="15.75" customHeight="1" x14ac:dyDescent="0.25">
      <c r="A219" s="307" t="s">
        <v>209</v>
      </c>
      <c r="B219" s="290">
        <v>11</v>
      </c>
      <c r="C219" s="290">
        <v>10</v>
      </c>
      <c r="D219" s="290">
        <v>3</v>
      </c>
    </row>
    <row r="220" spans="1:4" ht="15.75" customHeight="1" x14ac:dyDescent="0.25">
      <c r="A220" s="307" t="s">
        <v>219</v>
      </c>
      <c r="B220" s="290">
        <v>10</v>
      </c>
      <c r="C220" s="290">
        <v>10</v>
      </c>
      <c r="D220" s="290">
        <v>10</v>
      </c>
    </row>
    <row r="221" spans="1:4" ht="15.75" customHeight="1" x14ac:dyDescent="0.25">
      <c r="A221" s="307" t="s">
        <v>220</v>
      </c>
      <c r="B221" s="290">
        <v>4</v>
      </c>
      <c r="C221" s="290">
        <v>4</v>
      </c>
      <c r="D221" s="290">
        <v>4</v>
      </c>
    </row>
    <row r="222" spans="1:4" ht="15.75" customHeight="1" x14ac:dyDescent="0.25">
      <c r="A222" s="307" t="s">
        <v>197</v>
      </c>
      <c r="B222" s="290">
        <v>8</v>
      </c>
      <c r="C222" s="290">
        <v>8</v>
      </c>
      <c r="D222" s="290">
        <v>8</v>
      </c>
    </row>
    <row r="223" spans="1:4" ht="15.75" customHeight="1" x14ac:dyDescent="0.25">
      <c r="A223" s="307" t="s">
        <v>196</v>
      </c>
      <c r="B223" s="290">
        <v>14</v>
      </c>
      <c r="C223" s="290">
        <v>6</v>
      </c>
      <c r="D223" s="290">
        <v>6</v>
      </c>
    </row>
    <row r="224" spans="1:4" ht="15.75" customHeight="1" x14ac:dyDescent="0.25">
      <c r="A224" s="485" t="s">
        <v>199</v>
      </c>
      <c r="B224" s="486"/>
      <c r="C224" s="486"/>
      <c r="D224" s="486"/>
    </row>
    <row r="225" spans="1:4" ht="15.75" customHeight="1" x14ac:dyDescent="0.25">
      <c r="A225" s="307" t="s">
        <v>200</v>
      </c>
      <c r="B225" s="290">
        <v>14</v>
      </c>
      <c r="C225" s="290">
        <v>12</v>
      </c>
      <c r="D225" s="290">
        <v>8</v>
      </c>
    </row>
    <row r="226" spans="1:4" ht="15.75" customHeight="1" x14ac:dyDescent="0.25">
      <c r="A226" s="310"/>
      <c r="B226" s="311"/>
      <c r="C226" s="311"/>
      <c r="D226" s="311"/>
    </row>
    <row r="227" spans="1:4" ht="15.75" customHeight="1" x14ac:dyDescent="0.25">
      <c r="A227" s="319" t="s">
        <v>691</v>
      </c>
    </row>
    <row r="228" spans="1:4" ht="15.75" customHeight="1" x14ac:dyDescent="0.25">
      <c r="A228" s="286"/>
      <c r="B228" s="285" t="s">
        <v>172</v>
      </c>
      <c r="C228" s="285" t="s">
        <v>175</v>
      </c>
      <c r="D228" s="285" t="s">
        <v>176</v>
      </c>
    </row>
    <row r="229" spans="1:4" ht="15.75" customHeight="1" x14ac:dyDescent="0.25">
      <c r="A229" s="485" t="s">
        <v>177</v>
      </c>
      <c r="B229" s="486"/>
      <c r="C229" s="486"/>
      <c r="D229" s="486"/>
    </row>
    <row r="230" spans="1:4" ht="15.75" customHeight="1" x14ac:dyDescent="0.25">
      <c r="A230" s="307" t="s">
        <v>692</v>
      </c>
      <c r="B230" s="290">
        <v>260</v>
      </c>
      <c r="C230" s="290">
        <v>195</v>
      </c>
      <c r="D230" s="290">
        <v>195</v>
      </c>
    </row>
    <row r="231" spans="1:4" ht="15.75" customHeight="1" x14ac:dyDescent="0.25">
      <c r="A231" s="485" t="s">
        <v>181</v>
      </c>
      <c r="B231" s="486"/>
      <c r="C231" s="486"/>
      <c r="D231" s="486"/>
    </row>
    <row r="232" spans="1:4" ht="15.75" customHeight="1" x14ac:dyDescent="0.25">
      <c r="A232" s="307" t="s">
        <v>182</v>
      </c>
      <c r="B232" s="290">
        <v>2321</v>
      </c>
      <c r="C232" s="290">
        <v>1649</v>
      </c>
      <c r="D232" s="290">
        <v>1649</v>
      </c>
    </row>
    <row r="233" spans="1:4" ht="15.75" customHeight="1" x14ac:dyDescent="0.25">
      <c r="A233" s="307" t="s">
        <v>183</v>
      </c>
      <c r="B233" s="290">
        <v>1026</v>
      </c>
      <c r="C233" s="290">
        <v>1026</v>
      </c>
      <c r="D233" s="290">
        <v>1026</v>
      </c>
    </row>
    <row r="234" spans="1:4" ht="15.75" customHeight="1" x14ac:dyDescent="0.25">
      <c r="A234" s="307" t="s">
        <v>184</v>
      </c>
      <c r="B234" s="290">
        <v>171</v>
      </c>
      <c r="C234" s="290">
        <v>171</v>
      </c>
      <c r="D234" s="290">
        <v>171</v>
      </c>
    </row>
    <row r="235" spans="1:4" ht="15.75" customHeight="1" x14ac:dyDescent="0.25">
      <c r="A235" s="307" t="s">
        <v>185</v>
      </c>
      <c r="B235" s="290">
        <v>427</v>
      </c>
      <c r="C235" s="290">
        <v>78</v>
      </c>
      <c r="D235" s="290">
        <v>78</v>
      </c>
    </row>
    <row r="236" spans="1:4" ht="15.75" customHeight="1" x14ac:dyDescent="0.25">
      <c r="A236" s="307" t="s">
        <v>186</v>
      </c>
      <c r="B236" s="290">
        <v>383</v>
      </c>
      <c r="C236" s="290">
        <v>171</v>
      </c>
      <c r="D236" s="290">
        <v>171</v>
      </c>
    </row>
    <row r="237" spans="1:4" ht="15.75" customHeight="1" x14ac:dyDescent="0.25">
      <c r="A237" s="307" t="s">
        <v>187</v>
      </c>
      <c r="B237" s="290">
        <v>65</v>
      </c>
      <c r="C237" s="290">
        <v>65</v>
      </c>
      <c r="D237" s="290">
        <v>65</v>
      </c>
    </row>
    <row r="238" spans="1:4" ht="15.75" customHeight="1" x14ac:dyDescent="0.25">
      <c r="A238" s="68"/>
    </row>
    <row r="239" spans="1:4" ht="15.75" customHeight="1" x14ac:dyDescent="0.25">
      <c r="A239" s="306" t="s">
        <v>221</v>
      </c>
    </row>
    <row r="240" spans="1:4" ht="15.75" customHeight="1" x14ac:dyDescent="0.25">
      <c r="A240" s="313" t="s">
        <v>190</v>
      </c>
    </row>
    <row r="241" spans="1:4" ht="15.75" customHeight="1" x14ac:dyDescent="0.25">
      <c r="A241" s="320"/>
      <c r="B241" s="285" t="s">
        <v>202</v>
      </c>
      <c r="C241" s="321" t="s">
        <v>203</v>
      </c>
      <c r="D241" s="321" t="s">
        <v>204</v>
      </c>
    </row>
    <row r="242" spans="1:4" ht="15.75" customHeight="1" x14ac:dyDescent="0.25">
      <c r="A242" s="485" t="s">
        <v>192</v>
      </c>
      <c r="B242" s="486"/>
      <c r="C242" s="486"/>
      <c r="D242" s="486"/>
    </row>
    <row r="243" spans="1:4" ht="15.75" customHeight="1" x14ac:dyDescent="0.25">
      <c r="A243" s="307" t="s">
        <v>193</v>
      </c>
      <c r="B243" s="290">
        <v>106</v>
      </c>
      <c r="C243" s="290">
        <v>79</v>
      </c>
      <c r="D243" s="290">
        <v>67</v>
      </c>
    </row>
    <row r="244" spans="1:4" ht="15.75" customHeight="1" x14ac:dyDescent="0.25">
      <c r="A244" s="307" t="s">
        <v>209</v>
      </c>
      <c r="B244" s="290">
        <v>0</v>
      </c>
      <c r="C244" s="290">
        <v>0</v>
      </c>
      <c r="D244" s="290">
        <v>0</v>
      </c>
    </row>
    <row r="245" spans="1:4" ht="15.75" customHeight="1" x14ac:dyDescent="0.25">
      <c r="A245" s="307" t="s">
        <v>222</v>
      </c>
      <c r="B245" s="290">
        <v>35</v>
      </c>
      <c r="C245" s="290">
        <v>17</v>
      </c>
      <c r="D245" s="290">
        <v>17</v>
      </c>
    </row>
    <row r="246" spans="1:4" ht="15.75" customHeight="1" x14ac:dyDescent="0.25">
      <c r="A246" s="307" t="s">
        <v>219</v>
      </c>
      <c r="B246" s="290">
        <v>27</v>
      </c>
      <c r="C246" s="290">
        <v>25</v>
      </c>
      <c r="D246" s="290">
        <v>25</v>
      </c>
    </row>
    <row r="247" spans="1:4" ht="15.75" customHeight="1" x14ac:dyDescent="0.25">
      <c r="A247" s="307" t="s">
        <v>220</v>
      </c>
      <c r="B247" s="290">
        <v>5</v>
      </c>
      <c r="C247" s="290">
        <v>5</v>
      </c>
      <c r="D247" s="290">
        <v>5</v>
      </c>
    </row>
    <row r="248" spans="1:4" ht="15.75" customHeight="1" x14ac:dyDescent="0.25">
      <c r="A248" s="307" t="s">
        <v>197</v>
      </c>
      <c r="B248" s="290">
        <v>9</v>
      </c>
      <c r="C248" s="290">
        <v>8</v>
      </c>
      <c r="D248" s="290">
        <v>8</v>
      </c>
    </row>
    <row r="249" spans="1:4" ht="15.75" customHeight="1" x14ac:dyDescent="0.25">
      <c r="A249" s="307" t="s">
        <v>196</v>
      </c>
      <c r="B249" s="290">
        <v>30</v>
      </c>
      <c r="C249" s="290">
        <v>24</v>
      </c>
      <c r="D249" s="290">
        <v>12</v>
      </c>
    </row>
    <row r="250" spans="1:4" ht="15.75" customHeight="1" x14ac:dyDescent="0.25">
      <c r="A250" s="485" t="s">
        <v>199</v>
      </c>
      <c r="B250" s="486"/>
      <c r="C250" s="486"/>
      <c r="D250" s="486"/>
    </row>
    <row r="251" spans="1:4" ht="15.75" customHeight="1" x14ac:dyDescent="0.25">
      <c r="A251" s="307" t="s">
        <v>200</v>
      </c>
      <c r="B251" s="290">
        <v>37</v>
      </c>
      <c r="C251" s="290">
        <v>28</v>
      </c>
      <c r="D251" s="290">
        <v>24</v>
      </c>
    </row>
    <row r="252" spans="1:4" ht="15.75" customHeight="1" x14ac:dyDescent="0.25">
      <c r="A252" s="68"/>
    </row>
    <row r="253" spans="1:4" ht="15.75" customHeight="1" x14ac:dyDescent="0.25">
      <c r="A253" s="306" t="s">
        <v>221</v>
      </c>
    </row>
    <row r="254" spans="1:4" ht="15.75" customHeight="1" x14ac:dyDescent="0.25">
      <c r="A254" s="313" t="s">
        <v>201</v>
      </c>
    </row>
    <row r="255" spans="1:4" ht="15.75" customHeight="1" x14ac:dyDescent="0.25">
      <c r="A255" s="285" t="s">
        <v>191</v>
      </c>
      <c r="B255" s="285" t="s">
        <v>202</v>
      </c>
      <c r="C255" s="285" t="s">
        <v>203</v>
      </c>
      <c r="D255" s="285" t="s">
        <v>204</v>
      </c>
    </row>
    <row r="256" spans="1:4" ht="15.75" customHeight="1" x14ac:dyDescent="0.25">
      <c r="A256" s="485" t="s">
        <v>192</v>
      </c>
      <c r="B256" s="486"/>
      <c r="C256" s="486"/>
      <c r="D256" s="486"/>
    </row>
    <row r="257" spans="1:4" ht="15.75" customHeight="1" x14ac:dyDescent="0.25">
      <c r="A257" s="307" t="s">
        <v>193</v>
      </c>
      <c r="B257" s="290">
        <v>111</v>
      </c>
      <c r="C257" s="290">
        <v>81</v>
      </c>
      <c r="D257" s="290">
        <v>68</v>
      </c>
    </row>
    <row r="258" spans="1:4" ht="15.75" customHeight="1" x14ac:dyDescent="0.25">
      <c r="A258" s="307" t="s">
        <v>209</v>
      </c>
      <c r="B258" s="290">
        <v>0</v>
      </c>
      <c r="C258" s="290">
        <v>0</v>
      </c>
      <c r="D258" s="290">
        <v>0</v>
      </c>
    </row>
    <row r="259" spans="1:4" ht="15.75" customHeight="1" x14ac:dyDescent="0.25">
      <c r="A259" s="307" t="s">
        <v>222</v>
      </c>
      <c r="B259" s="290">
        <v>37</v>
      </c>
      <c r="C259" s="290">
        <v>17</v>
      </c>
      <c r="D259" s="290">
        <v>17</v>
      </c>
    </row>
    <row r="260" spans="1:4" ht="15.75" customHeight="1" x14ac:dyDescent="0.25">
      <c r="A260" s="307" t="s">
        <v>219</v>
      </c>
      <c r="B260" s="290">
        <v>27</v>
      </c>
      <c r="C260" s="290">
        <v>25</v>
      </c>
      <c r="D260" s="290">
        <v>25</v>
      </c>
    </row>
    <row r="261" spans="1:4" ht="15.75" customHeight="1" x14ac:dyDescent="0.25">
      <c r="A261" s="307" t="s">
        <v>220</v>
      </c>
      <c r="B261" s="290">
        <v>5</v>
      </c>
      <c r="C261" s="290">
        <v>5</v>
      </c>
      <c r="D261" s="290">
        <v>5</v>
      </c>
    </row>
    <row r="262" spans="1:4" ht="15.75" customHeight="1" x14ac:dyDescent="0.25">
      <c r="A262" s="307" t="s">
        <v>197</v>
      </c>
      <c r="B262" s="290">
        <v>9</v>
      </c>
      <c r="C262" s="290">
        <v>8</v>
      </c>
      <c r="D262" s="290">
        <v>8</v>
      </c>
    </row>
    <row r="263" spans="1:4" ht="15.75" customHeight="1" x14ac:dyDescent="0.25">
      <c r="A263" s="307" t="s">
        <v>196</v>
      </c>
      <c r="B263" s="290">
        <v>33</v>
      </c>
      <c r="C263" s="290">
        <v>26</v>
      </c>
      <c r="D263" s="290">
        <v>13</v>
      </c>
    </row>
    <row r="264" spans="1:4" ht="15.75" customHeight="1" x14ac:dyDescent="0.25">
      <c r="A264" s="485" t="s">
        <v>199</v>
      </c>
      <c r="B264" s="486"/>
      <c r="C264" s="486"/>
      <c r="D264" s="486"/>
    </row>
    <row r="265" spans="1:4" ht="15.75" customHeight="1" x14ac:dyDescent="0.25">
      <c r="A265" s="307" t="s">
        <v>200</v>
      </c>
      <c r="B265" s="290">
        <v>51</v>
      </c>
      <c r="C265" s="290">
        <v>37</v>
      </c>
      <c r="D265" s="290">
        <v>31</v>
      </c>
    </row>
    <row r="266" spans="1:4" ht="15.75" customHeight="1" x14ac:dyDescent="0.25">
      <c r="A266" s="308"/>
      <c r="B266" s="309"/>
      <c r="C266" s="309"/>
      <c r="D266" s="309"/>
    </row>
    <row r="267" spans="1:4" ht="15.75" customHeight="1" x14ac:dyDescent="0.25">
      <c r="A267" s="306" t="s">
        <v>221</v>
      </c>
    </row>
    <row r="268" spans="1:4" ht="15.75" customHeight="1" x14ac:dyDescent="0.25">
      <c r="A268" s="313" t="s">
        <v>206</v>
      </c>
    </row>
    <row r="269" spans="1:4" ht="15.75" customHeight="1" x14ac:dyDescent="0.25">
      <c r="A269" s="320"/>
      <c r="B269" s="285" t="s">
        <v>202</v>
      </c>
      <c r="C269" s="321" t="s">
        <v>203</v>
      </c>
      <c r="D269" s="321" t="s">
        <v>204</v>
      </c>
    </row>
    <row r="270" spans="1:4" ht="15.75" customHeight="1" x14ac:dyDescent="0.25">
      <c r="A270" s="485" t="s">
        <v>192</v>
      </c>
      <c r="B270" s="486"/>
      <c r="C270" s="486"/>
      <c r="D270" s="486"/>
    </row>
    <row r="271" spans="1:4" ht="15.75" customHeight="1" x14ac:dyDescent="0.25">
      <c r="A271" s="307" t="s">
        <v>193</v>
      </c>
      <c r="B271" s="290">
        <v>106</v>
      </c>
      <c r="C271" s="290">
        <v>76</v>
      </c>
      <c r="D271" s="290">
        <v>68</v>
      </c>
    </row>
    <row r="272" spans="1:4" ht="15.75" customHeight="1" x14ac:dyDescent="0.25">
      <c r="A272" s="307" t="s">
        <v>209</v>
      </c>
      <c r="B272" s="290" t="s">
        <v>218</v>
      </c>
      <c r="C272" s="290" t="s">
        <v>218</v>
      </c>
      <c r="D272" s="290" t="s">
        <v>218</v>
      </c>
    </row>
    <row r="273" spans="1:4" ht="15.75" customHeight="1" x14ac:dyDescent="0.25">
      <c r="A273" s="307" t="s">
        <v>222</v>
      </c>
      <c r="B273" s="290">
        <v>43</v>
      </c>
      <c r="C273" s="290">
        <v>21</v>
      </c>
      <c r="D273" s="290">
        <v>21</v>
      </c>
    </row>
    <row r="274" spans="1:4" ht="15.75" customHeight="1" x14ac:dyDescent="0.25">
      <c r="A274" s="307" t="s">
        <v>219</v>
      </c>
      <c r="B274" s="290">
        <v>27</v>
      </c>
      <c r="C274" s="290">
        <v>25</v>
      </c>
      <c r="D274" s="290">
        <v>25</v>
      </c>
    </row>
    <row r="275" spans="1:4" ht="15.75" customHeight="1" x14ac:dyDescent="0.25">
      <c r="A275" s="307" t="s">
        <v>220</v>
      </c>
      <c r="B275" s="290">
        <v>5</v>
      </c>
      <c r="C275" s="290">
        <v>5</v>
      </c>
      <c r="D275" s="290">
        <v>5</v>
      </c>
    </row>
    <row r="276" spans="1:4" ht="15.75" customHeight="1" x14ac:dyDescent="0.25">
      <c r="A276" s="307" t="s">
        <v>197</v>
      </c>
      <c r="B276" s="290">
        <v>9</v>
      </c>
      <c r="C276" s="290">
        <v>8</v>
      </c>
      <c r="D276" s="290">
        <v>8</v>
      </c>
    </row>
    <row r="277" spans="1:4" ht="15.75" customHeight="1" x14ac:dyDescent="0.25">
      <c r="A277" s="307" t="s">
        <v>196</v>
      </c>
      <c r="B277" s="290">
        <v>22</v>
      </c>
      <c r="C277" s="290">
        <v>17</v>
      </c>
      <c r="D277" s="290">
        <v>9</v>
      </c>
    </row>
    <row r="278" spans="1:4" ht="15.75" customHeight="1" x14ac:dyDescent="0.25">
      <c r="A278" s="485" t="s">
        <v>199</v>
      </c>
      <c r="B278" s="486"/>
      <c r="C278" s="486"/>
      <c r="D278" s="486"/>
    </row>
    <row r="279" spans="1:4" ht="15.75" customHeight="1" x14ac:dyDescent="0.25">
      <c r="A279" s="307" t="s">
        <v>200</v>
      </c>
      <c r="B279" s="290">
        <v>54</v>
      </c>
      <c r="C279" s="290">
        <v>40</v>
      </c>
      <c r="D279" s="290">
        <v>35</v>
      </c>
    </row>
    <row r="280" spans="1:4" ht="15.75" customHeight="1" x14ac:dyDescent="0.25">
      <c r="A280" s="68"/>
    </row>
    <row r="281" spans="1:4" ht="15.75" customHeight="1" x14ac:dyDescent="0.25">
      <c r="A281" s="306" t="s">
        <v>221</v>
      </c>
    </row>
    <row r="282" spans="1:4" ht="15.75" customHeight="1" x14ac:dyDescent="0.25">
      <c r="A282" s="313" t="s">
        <v>208</v>
      </c>
    </row>
    <row r="283" spans="1:4" ht="15.75" customHeight="1" x14ac:dyDescent="0.25">
      <c r="A283" s="285" t="s">
        <v>191</v>
      </c>
      <c r="B283" s="285" t="s">
        <v>202</v>
      </c>
      <c r="C283" s="285" t="s">
        <v>203</v>
      </c>
      <c r="D283" s="285" t="s">
        <v>204</v>
      </c>
    </row>
    <row r="284" spans="1:4" ht="15.75" customHeight="1" x14ac:dyDescent="0.25">
      <c r="A284" s="485" t="s">
        <v>192</v>
      </c>
      <c r="B284" s="486"/>
      <c r="C284" s="486"/>
      <c r="D284" s="486"/>
    </row>
    <row r="285" spans="1:4" ht="15.75" customHeight="1" x14ac:dyDescent="0.25">
      <c r="A285" s="307" t="s">
        <v>193</v>
      </c>
      <c r="B285" s="290">
        <v>134</v>
      </c>
      <c r="C285" s="290">
        <v>102</v>
      </c>
      <c r="D285" s="290">
        <v>78</v>
      </c>
    </row>
    <row r="286" spans="1:4" ht="15.75" customHeight="1" x14ac:dyDescent="0.25">
      <c r="A286" s="307" t="s">
        <v>209</v>
      </c>
      <c r="B286" s="290">
        <v>7</v>
      </c>
      <c r="C286" s="290">
        <v>7</v>
      </c>
      <c r="D286" s="290">
        <v>7</v>
      </c>
    </row>
    <row r="287" spans="1:4" ht="15.75" customHeight="1" x14ac:dyDescent="0.25">
      <c r="A287" s="307" t="s">
        <v>222</v>
      </c>
      <c r="B287" s="290">
        <v>27</v>
      </c>
      <c r="C287" s="290">
        <v>9</v>
      </c>
      <c r="D287" s="290">
        <v>9</v>
      </c>
    </row>
    <row r="288" spans="1:4" ht="15.75" customHeight="1" x14ac:dyDescent="0.25">
      <c r="A288" s="307" t="s">
        <v>219</v>
      </c>
      <c r="B288" s="290">
        <v>28</v>
      </c>
      <c r="C288" s="290">
        <v>25</v>
      </c>
      <c r="D288" s="290">
        <v>25</v>
      </c>
    </row>
    <row r="289" spans="1:4" ht="15.75" customHeight="1" x14ac:dyDescent="0.25">
      <c r="A289" s="307" t="s">
        <v>220</v>
      </c>
      <c r="B289" s="290">
        <v>5</v>
      </c>
      <c r="C289" s="290">
        <v>5</v>
      </c>
      <c r="D289" s="290">
        <v>5</v>
      </c>
    </row>
    <row r="290" spans="1:4" ht="15.75" customHeight="1" x14ac:dyDescent="0.25">
      <c r="A290" s="307" t="s">
        <v>197</v>
      </c>
      <c r="B290" s="290">
        <v>9</v>
      </c>
      <c r="C290" s="290">
        <v>9</v>
      </c>
      <c r="D290" s="290">
        <v>8</v>
      </c>
    </row>
    <row r="291" spans="1:4" ht="15.75" customHeight="1" x14ac:dyDescent="0.25">
      <c r="A291" s="307" t="s">
        <v>196</v>
      </c>
      <c r="B291" s="290">
        <v>58</v>
      </c>
      <c r="C291" s="290">
        <v>47</v>
      </c>
      <c r="D291" s="290">
        <v>24</v>
      </c>
    </row>
    <row r="292" spans="1:4" ht="15.75" customHeight="1" x14ac:dyDescent="0.25">
      <c r="A292" s="485" t="s">
        <v>199</v>
      </c>
      <c r="B292" s="486"/>
      <c r="C292" s="486"/>
      <c r="D292" s="486"/>
    </row>
    <row r="293" spans="1:4" ht="15.75" customHeight="1" x14ac:dyDescent="0.25">
      <c r="A293" s="307" t="s">
        <v>200</v>
      </c>
      <c r="B293" s="290">
        <v>38</v>
      </c>
      <c r="C293" s="290">
        <v>30</v>
      </c>
      <c r="D293" s="290">
        <v>23</v>
      </c>
    </row>
    <row r="294" spans="1:4" ht="15.75" customHeight="1" x14ac:dyDescent="0.25">
      <c r="A294" s="68"/>
    </row>
    <row r="295" spans="1:4" ht="15.75" customHeight="1" x14ac:dyDescent="0.25">
      <c r="A295" s="306" t="s">
        <v>221</v>
      </c>
    </row>
    <row r="296" spans="1:4" ht="15.75" customHeight="1" x14ac:dyDescent="0.25">
      <c r="A296" s="313" t="s">
        <v>211</v>
      </c>
    </row>
    <row r="297" spans="1:4" ht="15.75" customHeight="1" x14ac:dyDescent="0.25">
      <c r="A297" s="320"/>
      <c r="B297" s="285" t="s">
        <v>202</v>
      </c>
      <c r="C297" s="285" t="s">
        <v>203</v>
      </c>
      <c r="D297" s="285" t="s">
        <v>204</v>
      </c>
    </row>
    <row r="298" spans="1:4" ht="15.75" customHeight="1" x14ac:dyDescent="0.25">
      <c r="A298" s="485" t="s">
        <v>192</v>
      </c>
      <c r="B298" s="486"/>
      <c r="C298" s="486"/>
      <c r="D298" s="486"/>
    </row>
    <row r="299" spans="1:4" ht="15.75" customHeight="1" x14ac:dyDescent="0.25">
      <c r="A299" s="307" t="s">
        <v>193</v>
      </c>
      <c r="B299" s="290">
        <v>129</v>
      </c>
      <c r="C299" s="290">
        <v>98</v>
      </c>
      <c r="D299" s="290">
        <v>77</v>
      </c>
    </row>
    <row r="300" spans="1:4" ht="15.75" customHeight="1" x14ac:dyDescent="0.25">
      <c r="A300" s="307" t="s">
        <v>209</v>
      </c>
      <c r="B300" s="290">
        <v>8</v>
      </c>
      <c r="C300" s="290">
        <v>8</v>
      </c>
      <c r="D300" s="290">
        <v>8</v>
      </c>
    </row>
    <row r="301" spans="1:4" ht="15.75" customHeight="1" x14ac:dyDescent="0.25">
      <c r="A301" s="307" t="s">
        <v>222</v>
      </c>
      <c r="B301" s="290">
        <v>27</v>
      </c>
      <c r="C301" s="290">
        <v>10</v>
      </c>
      <c r="D301" s="290">
        <v>10</v>
      </c>
    </row>
    <row r="302" spans="1:4" ht="15.75" customHeight="1" x14ac:dyDescent="0.25">
      <c r="A302" s="307" t="s">
        <v>219</v>
      </c>
      <c r="B302" s="290">
        <v>28</v>
      </c>
      <c r="C302" s="290">
        <v>25</v>
      </c>
      <c r="D302" s="290">
        <v>25</v>
      </c>
    </row>
    <row r="303" spans="1:4" ht="15.75" customHeight="1" x14ac:dyDescent="0.25">
      <c r="A303" s="307" t="s">
        <v>220</v>
      </c>
      <c r="B303" s="290">
        <v>5</v>
      </c>
      <c r="C303" s="290">
        <v>5</v>
      </c>
      <c r="D303" s="290">
        <v>5</v>
      </c>
    </row>
    <row r="304" spans="1:4" ht="15.75" customHeight="1" x14ac:dyDescent="0.25">
      <c r="A304" s="307" t="s">
        <v>197</v>
      </c>
      <c r="B304" s="290">
        <v>9</v>
      </c>
      <c r="C304" s="290">
        <v>8</v>
      </c>
      <c r="D304" s="290">
        <v>8</v>
      </c>
    </row>
    <row r="305" spans="1:4" ht="15.75" customHeight="1" x14ac:dyDescent="0.25">
      <c r="A305" s="307" t="s">
        <v>196</v>
      </c>
      <c r="B305" s="290">
        <v>52</v>
      </c>
      <c r="C305" s="290">
        <v>42</v>
      </c>
      <c r="D305" s="290">
        <v>21</v>
      </c>
    </row>
    <row r="306" spans="1:4" ht="15.75" customHeight="1" x14ac:dyDescent="0.25">
      <c r="A306" s="485" t="s">
        <v>199</v>
      </c>
      <c r="B306" s="486"/>
      <c r="C306" s="486"/>
      <c r="D306" s="486"/>
    </row>
    <row r="307" spans="1:4" ht="15.75" customHeight="1" x14ac:dyDescent="0.25">
      <c r="A307" s="307" t="s">
        <v>200</v>
      </c>
      <c r="B307" s="290">
        <v>34</v>
      </c>
      <c r="C307" s="290">
        <v>26</v>
      </c>
      <c r="D307" s="290">
        <v>21</v>
      </c>
    </row>
    <row r="308" spans="1:4" ht="15.75" customHeight="1" x14ac:dyDescent="0.25">
      <c r="A308" s="310"/>
      <c r="B308" s="311"/>
      <c r="C308" s="311"/>
      <c r="D308" s="311"/>
    </row>
    <row r="309" spans="1:4" ht="15.75" customHeight="1" x14ac:dyDescent="0.25">
      <c r="A309" s="306" t="s">
        <v>221</v>
      </c>
      <c r="B309" s="311"/>
      <c r="C309" s="311"/>
      <c r="D309" s="311"/>
    </row>
    <row r="310" spans="1:4" ht="15.75" customHeight="1" x14ac:dyDescent="0.25">
      <c r="A310" s="314" t="s">
        <v>213</v>
      </c>
    </row>
    <row r="311" spans="1:4" ht="15.75" customHeight="1" x14ac:dyDescent="0.25">
      <c r="A311" s="285"/>
      <c r="B311" s="285" t="s">
        <v>172</v>
      </c>
      <c r="C311" s="285" t="s">
        <v>175</v>
      </c>
      <c r="D311" s="285" t="s">
        <v>176</v>
      </c>
    </row>
    <row r="312" spans="1:4" ht="15.75" customHeight="1" x14ac:dyDescent="0.25">
      <c r="A312" s="487" t="s">
        <v>192</v>
      </c>
      <c r="B312" s="486"/>
      <c r="C312" s="486"/>
      <c r="D312" s="486"/>
    </row>
    <row r="313" spans="1:4" ht="15.75" customHeight="1" x14ac:dyDescent="0.25">
      <c r="A313" s="287" t="s">
        <v>193</v>
      </c>
      <c r="B313" s="288">
        <v>135</v>
      </c>
      <c r="C313" s="288">
        <v>105</v>
      </c>
      <c r="D313" s="288">
        <v>79</v>
      </c>
    </row>
    <row r="314" spans="1:4" ht="15.75" customHeight="1" x14ac:dyDescent="0.25">
      <c r="A314" s="287" t="s">
        <v>209</v>
      </c>
      <c r="B314" s="290">
        <v>5</v>
      </c>
      <c r="C314" s="290">
        <v>6</v>
      </c>
      <c r="D314" s="290">
        <v>6</v>
      </c>
    </row>
    <row r="315" spans="1:4" ht="15.75" customHeight="1" x14ac:dyDescent="0.25">
      <c r="A315" s="287" t="s">
        <v>222</v>
      </c>
      <c r="B315" s="290">
        <v>26</v>
      </c>
      <c r="C315" s="290">
        <v>9</v>
      </c>
      <c r="D315" s="290">
        <v>9</v>
      </c>
    </row>
    <row r="316" spans="1:4" ht="15.75" customHeight="1" x14ac:dyDescent="0.25">
      <c r="A316" s="287" t="s">
        <v>219</v>
      </c>
      <c r="B316" s="290">
        <v>28</v>
      </c>
      <c r="C316" s="290">
        <v>25</v>
      </c>
      <c r="D316" s="290">
        <v>25</v>
      </c>
    </row>
    <row r="317" spans="1:4" ht="15.75" customHeight="1" x14ac:dyDescent="0.25">
      <c r="A317" s="287" t="s">
        <v>220</v>
      </c>
      <c r="B317" s="290">
        <v>5</v>
      </c>
      <c r="C317" s="290">
        <v>5</v>
      </c>
      <c r="D317" s="290">
        <v>5</v>
      </c>
    </row>
    <row r="318" spans="1:4" ht="15.75" customHeight="1" x14ac:dyDescent="0.25">
      <c r="A318" s="287" t="s">
        <v>197</v>
      </c>
      <c r="B318" s="290">
        <v>9</v>
      </c>
      <c r="C318" s="290">
        <v>9</v>
      </c>
      <c r="D318" s="290">
        <v>8</v>
      </c>
    </row>
    <row r="319" spans="1:4" ht="15.75" customHeight="1" x14ac:dyDescent="0.25">
      <c r="A319" s="287" t="s">
        <v>196</v>
      </c>
      <c r="B319" s="290">
        <v>62</v>
      </c>
      <c r="C319" s="290">
        <v>51</v>
      </c>
      <c r="D319" s="290">
        <v>26</v>
      </c>
    </row>
    <row r="320" spans="1:4" ht="15.75" customHeight="1" x14ac:dyDescent="0.25">
      <c r="A320" s="487" t="s">
        <v>199</v>
      </c>
      <c r="B320" s="486"/>
      <c r="C320" s="486"/>
      <c r="D320" s="486"/>
    </row>
    <row r="321" spans="1:4" ht="15.75" customHeight="1" x14ac:dyDescent="0.25">
      <c r="A321" s="287" t="s">
        <v>200</v>
      </c>
      <c r="B321" s="289">
        <v>70</v>
      </c>
      <c r="C321" s="289">
        <v>55</v>
      </c>
      <c r="D321" s="288">
        <v>41</v>
      </c>
    </row>
    <row r="322" spans="1:4" ht="15.75" customHeight="1" x14ac:dyDescent="0.25">
      <c r="A322" s="322"/>
      <c r="B322" s="323"/>
      <c r="C322" s="323"/>
      <c r="D322" s="318"/>
    </row>
    <row r="323" spans="1:4" ht="15.75" customHeight="1" x14ac:dyDescent="0.25">
      <c r="A323" s="306" t="s">
        <v>221</v>
      </c>
    </row>
    <row r="324" spans="1:4" ht="15.75" customHeight="1" x14ac:dyDescent="0.25">
      <c r="A324" s="314" t="s">
        <v>215</v>
      </c>
    </row>
    <row r="325" spans="1:4" ht="15.75" customHeight="1" x14ac:dyDescent="0.25">
      <c r="A325" s="285"/>
      <c r="B325" s="285" t="s">
        <v>172</v>
      </c>
      <c r="C325" s="285" t="s">
        <v>175</v>
      </c>
      <c r="D325" s="285" t="s">
        <v>176</v>
      </c>
    </row>
    <row r="326" spans="1:4" ht="15.75" customHeight="1" x14ac:dyDescent="0.25">
      <c r="A326" s="487" t="s">
        <v>192</v>
      </c>
      <c r="B326" s="486"/>
      <c r="C326" s="486"/>
      <c r="D326" s="486"/>
    </row>
    <row r="327" spans="1:4" ht="15.75" customHeight="1" x14ac:dyDescent="0.25">
      <c r="A327" s="287" t="s">
        <v>193</v>
      </c>
      <c r="B327" s="288">
        <v>156</v>
      </c>
      <c r="C327" s="288">
        <v>117</v>
      </c>
      <c r="D327" s="288">
        <v>87</v>
      </c>
    </row>
    <row r="328" spans="1:4" ht="15.75" customHeight="1" x14ac:dyDescent="0.25">
      <c r="A328" s="287" t="s">
        <v>209</v>
      </c>
      <c r="B328" s="290">
        <v>9</v>
      </c>
      <c r="C328" s="290">
        <v>9</v>
      </c>
      <c r="D328" s="290">
        <v>9</v>
      </c>
    </row>
    <row r="329" spans="1:4" ht="15.75" customHeight="1" x14ac:dyDescent="0.25">
      <c r="A329" s="287" t="s">
        <v>222</v>
      </c>
      <c r="B329" s="290">
        <v>31</v>
      </c>
      <c r="C329" s="290">
        <v>9</v>
      </c>
      <c r="D329" s="290">
        <v>9</v>
      </c>
    </row>
    <row r="330" spans="1:4" ht="15.75" customHeight="1" x14ac:dyDescent="0.25">
      <c r="A330" s="287" t="s">
        <v>219</v>
      </c>
      <c r="B330" s="290">
        <v>28</v>
      </c>
      <c r="C330" s="290">
        <v>25</v>
      </c>
      <c r="D330" s="290">
        <v>25</v>
      </c>
    </row>
    <row r="331" spans="1:4" ht="15.75" customHeight="1" x14ac:dyDescent="0.25">
      <c r="A331" s="287" t="s">
        <v>220</v>
      </c>
      <c r="B331" s="290">
        <v>5</v>
      </c>
      <c r="C331" s="290">
        <v>5</v>
      </c>
      <c r="D331" s="290">
        <v>5</v>
      </c>
    </row>
    <row r="332" spans="1:4" ht="15.75" customHeight="1" x14ac:dyDescent="0.25">
      <c r="A332" s="287" t="s">
        <v>197</v>
      </c>
      <c r="B332" s="290">
        <v>9</v>
      </c>
      <c r="C332" s="290">
        <v>9</v>
      </c>
      <c r="D332" s="290">
        <v>8</v>
      </c>
    </row>
    <row r="333" spans="1:4" ht="15.75" customHeight="1" x14ac:dyDescent="0.25">
      <c r="A333" s="287" t="s">
        <v>196</v>
      </c>
      <c r="B333" s="290">
        <v>74</v>
      </c>
      <c r="C333" s="290">
        <v>60</v>
      </c>
      <c r="D333" s="290">
        <v>31</v>
      </c>
    </row>
    <row r="334" spans="1:4" ht="15.75" customHeight="1" x14ac:dyDescent="0.25">
      <c r="A334" s="487" t="s">
        <v>199</v>
      </c>
      <c r="B334" s="486"/>
      <c r="C334" s="486"/>
      <c r="D334" s="486"/>
    </row>
    <row r="335" spans="1:4" ht="15.75" customHeight="1" x14ac:dyDescent="0.25">
      <c r="A335" s="287" t="s">
        <v>200</v>
      </c>
      <c r="B335" s="289">
        <v>105</v>
      </c>
      <c r="C335" s="289">
        <v>79</v>
      </c>
      <c r="D335" s="288">
        <v>59</v>
      </c>
    </row>
    <row r="336" spans="1:4" ht="15.75" customHeight="1" x14ac:dyDescent="0.25">
      <c r="A336" s="315"/>
    </row>
    <row r="337" spans="1:4" ht="15.75" customHeight="1" x14ac:dyDescent="0.25">
      <c r="A337" s="68"/>
    </row>
    <row r="338" spans="1:4" ht="15.75" customHeight="1" x14ac:dyDescent="0.25">
      <c r="A338" s="319" t="s">
        <v>693</v>
      </c>
    </row>
    <row r="339" spans="1:4" ht="15.75" customHeight="1" x14ac:dyDescent="0.25">
      <c r="A339" s="286"/>
      <c r="B339" s="285" t="s">
        <v>172</v>
      </c>
      <c r="C339" s="285" t="s">
        <v>175</v>
      </c>
      <c r="D339" s="285" t="s">
        <v>176</v>
      </c>
    </row>
    <row r="340" spans="1:4" ht="15.75" customHeight="1" x14ac:dyDescent="0.25">
      <c r="A340" s="485" t="s">
        <v>177</v>
      </c>
      <c r="B340" s="486"/>
      <c r="C340" s="486"/>
      <c r="D340" s="486"/>
    </row>
    <row r="341" spans="1:4" ht="15.75" customHeight="1" x14ac:dyDescent="0.25">
      <c r="A341" s="307" t="s">
        <v>687</v>
      </c>
      <c r="B341" s="290">
        <v>388.34</v>
      </c>
      <c r="C341" s="290">
        <v>284.92</v>
      </c>
      <c r="D341" s="290">
        <v>284.92</v>
      </c>
    </row>
    <row r="342" spans="1:4" ht="15.75" customHeight="1" x14ac:dyDescent="0.25">
      <c r="A342" s="307" t="s">
        <v>180</v>
      </c>
      <c r="B342" s="290">
        <v>1065</v>
      </c>
      <c r="C342" s="290">
        <v>781</v>
      </c>
      <c r="D342" s="290">
        <v>838</v>
      </c>
    </row>
    <row r="343" spans="1:4" ht="15.75" customHeight="1" x14ac:dyDescent="0.25">
      <c r="A343" s="485" t="s">
        <v>181</v>
      </c>
      <c r="B343" s="486"/>
      <c r="C343" s="486"/>
      <c r="D343" s="486"/>
    </row>
    <row r="344" spans="1:4" ht="15.75" customHeight="1" x14ac:dyDescent="0.25">
      <c r="A344" s="307" t="s">
        <v>182</v>
      </c>
      <c r="B344" s="290">
        <v>1949</v>
      </c>
      <c r="C344" s="290">
        <v>1886</v>
      </c>
      <c r="D344" s="290">
        <v>1945</v>
      </c>
    </row>
    <row r="345" spans="1:4" ht="15.75" customHeight="1" x14ac:dyDescent="0.25">
      <c r="A345" s="307" t="s">
        <v>183</v>
      </c>
      <c r="B345" s="290">
        <v>1148</v>
      </c>
      <c r="C345" s="290">
        <v>1148</v>
      </c>
      <c r="D345" s="290">
        <v>1148</v>
      </c>
    </row>
    <row r="346" spans="1:4" ht="15.75" customHeight="1" x14ac:dyDescent="0.25">
      <c r="A346" s="307" t="s">
        <v>184</v>
      </c>
      <c r="B346" s="290">
        <v>287</v>
      </c>
      <c r="C346" s="290">
        <v>287</v>
      </c>
      <c r="D346" s="290">
        <v>287</v>
      </c>
    </row>
    <row r="347" spans="1:4" ht="15.75" customHeight="1" x14ac:dyDescent="0.25">
      <c r="A347" s="307" t="s">
        <v>185</v>
      </c>
      <c r="B347" s="290">
        <v>30</v>
      </c>
      <c r="C347" s="290">
        <v>30</v>
      </c>
      <c r="D347" s="290">
        <v>30</v>
      </c>
    </row>
    <row r="348" spans="1:4" ht="15.75" customHeight="1" x14ac:dyDescent="0.25">
      <c r="A348" s="307" t="s">
        <v>186</v>
      </c>
      <c r="B348" s="290">
        <v>133</v>
      </c>
      <c r="C348" s="290">
        <v>70</v>
      </c>
      <c r="D348" s="290">
        <v>65</v>
      </c>
    </row>
    <row r="349" spans="1:4" ht="15.75" customHeight="1" x14ac:dyDescent="0.25">
      <c r="A349" s="307" t="s">
        <v>187</v>
      </c>
      <c r="B349" s="290">
        <v>199</v>
      </c>
      <c r="C349" s="290">
        <v>199</v>
      </c>
      <c r="D349" s="290">
        <v>199</v>
      </c>
    </row>
    <row r="350" spans="1:4" ht="15.75" customHeight="1" x14ac:dyDescent="0.25">
      <c r="A350" s="307" t="s">
        <v>188</v>
      </c>
      <c r="B350" s="324">
        <v>96</v>
      </c>
      <c r="C350" s="290">
        <v>96</v>
      </c>
      <c r="D350" s="290">
        <v>120</v>
      </c>
    </row>
    <row r="351" spans="1:4" ht="15.75" customHeight="1" x14ac:dyDescent="0.25">
      <c r="A351" s="307" t="s">
        <v>223</v>
      </c>
      <c r="B351" s="324">
        <v>56</v>
      </c>
      <c r="C351" s="290">
        <v>56</v>
      </c>
      <c r="D351" s="290">
        <v>96</v>
      </c>
    </row>
    <row r="352" spans="1:4" ht="15.75" customHeight="1" x14ac:dyDescent="0.25">
      <c r="A352" s="68"/>
    </row>
    <row r="353" spans="1:4" ht="15.75" customHeight="1" x14ac:dyDescent="0.25">
      <c r="A353" s="306" t="s">
        <v>224</v>
      </c>
    </row>
    <row r="354" spans="1:4" ht="15.75" customHeight="1" x14ac:dyDescent="0.25">
      <c r="A354" s="313" t="s">
        <v>190</v>
      </c>
    </row>
    <row r="355" spans="1:4" ht="15.75" customHeight="1" x14ac:dyDescent="0.25">
      <c r="A355" s="285" t="s">
        <v>191</v>
      </c>
      <c r="B355" s="285" t="s">
        <v>202</v>
      </c>
      <c r="C355" s="285" t="s">
        <v>203</v>
      </c>
      <c r="D355" s="285" t="s">
        <v>204</v>
      </c>
    </row>
    <row r="356" spans="1:4" ht="15.75" customHeight="1" x14ac:dyDescent="0.25">
      <c r="A356" s="485" t="s">
        <v>192</v>
      </c>
      <c r="B356" s="486"/>
      <c r="C356" s="486"/>
      <c r="D356" s="486"/>
    </row>
    <row r="357" spans="1:4" ht="15.75" customHeight="1" x14ac:dyDescent="0.25">
      <c r="A357" s="307" t="s">
        <v>193</v>
      </c>
      <c r="B357" s="290">
        <v>356</v>
      </c>
      <c r="C357" s="290">
        <v>304</v>
      </c>
      <c r="D357" s="290">
        <v>248</v>
      </c>
    </row>
    <row r="358" spans="1:4" ht="15.75" customHeight="1" x14ac:dyDescent="0.25">
      <c r="A358" s="307" t="s">
        <v>209</v>
      </c>
      <c r="B358" s="290" t="s">
        <v>218</v>
      </c>
      <c r="C358" s="290" t="s">
        <v>218</v>
      </c>
      <c r="D358" s="290" t="s">
        <v>218</v>
      </c>
    </row>
    <row r="359" spans="1:4" ht="15.75" customHeight="1" x14ac:dyDescent="0.25">
      <c r="A359" s="307" t="s">
        <v>231</v>
      </c>
      <c r="B359" s="290" t="s">
        <v>225</v>
      </c>
      <c r="C359" s="290">
        <v>80</v>
      </c>
      <c r="D359" s="290">
        <v>49</v>
      </c>
    </row>
    <row r="360" spans="1:4" ht="15.75" customHeight="1" x14ac:dyDescent="0.25">
      <c r="A360" s="307" t="s">
        <v>195</v>
      </c>
      <c r="B360" s="290">
        <v>9</v>
      </c>
      <c r="C360" s="290">
        <v>9</v>
      </c>
      <c r="D360" s="290">
        <v>7</v>
      </c>
    </row>
    <row r="361" spans="1:4" ht="15.75" customHeight="1" x14ac:dyDescent="0.25">
      <c r="A361" s="307" t="s">
        <v>196</v>
      </c>
      <c r="B361" s="290">
        <v>37</v>
      </c>
      <c r="C361" s="290">
        <v>12</v>
      </c>
      <c r="D361" s="290">
        <v>10</v>
      </c>
    </row>
    <row r="362" spans="1:4" ht="15.75" customHeight="1" x14ac:dyDescent="0.25">
      <c r="A362" s="307" t="s">
        <v>197</v>
      </c>
      <c r="B362" s="290">
        <v>24</v>
      </c>
      <c r="C362" s="290">
        <v>24</v>
      </c>
      <c r="D362" s="290">
        <v>21</v>
      </c>
    </row>
    <row r="363" spans="1:4" ht="15.75" customHeight="1" x14ac:dyDescent="0.25">
      <c r="A363" s="307" t="s">
        <v>226</v>
      </c>
      <c r="B363" s="290">
        <v>45</v>
      </c>
      <c r="C363" s="290">
        <v>45</v>
      </c>
      <c r="D363" s="290">
        <v>41</v>
      </c>
    </row>
    <row r="364" spans="1:4" ht="15.75" customHeight="1" x14ac:dyDescent="0.25">
      <c r="A364" s="307" t="s">
        <v>198</v>
      </c>
      <c r="B364" s="290">
        <v>134</v>
      </c>
      <c r="C364" s="290">
        <v>134</v>
      </c>
      <c r="D364" s="290">
        <v>120</v>
      </c>
    </row>
    <row r="365" spans="1:4" ht="15.75" customHeight="1" x14ac:dyDescent="0.25">
      <c r="A365" s="485" t="s">
        <v>199</v>
      </c>
      <c r="B365" s="486"/>
      <c r="C365" s="486"/>
      <c r="D365" s="486"/>
    </row>
    <row r="366" spans="1:4" ht="15.75" customHeight="1" x14ac:dyDescent="0.25">
      <c r="A366" s="307" t="s">
        <v>200</v>
      </c>
      <c r="B366" s="290">
        <v>155</v>
      </c>
      <c r="C366" s="290">
        <v>131</v>
      </c>
      <c r="D366" s="290">
        <v>108</v>
      </c>
    </row>
    <row r="367" spans="1:4" ht="15.75" customHeight="1" x14ac:dyDescent="0.25">
      <c r="A367" s="68"/>
    </row>
    <row r="368" spans="1:4" ht="15.75" customHeight="1" x14ac:dyDescent="0.25">
      <c r="A368" s="306" t="s">
        <v>224</v>
      </c>
    </row>
    <row r="369" spans="1:4" ht="15.75" customHeight="1" x14ac:dyDescent="0.25">
      <c r="A369" s="313" t="s">
        <v>201</v>
      </c>
    </row>
    <row r="370" spans="1:4" ht="15.75" customHeight="1" x14ac:dyDescent="0.25">
      <c r="A370" s="68"/>
    </row>
    <row r="371" spans="1:4" ht="15.75" customHeight="1" x14ac:dyDescent="0.25">
      <c r="A371" s="285" t="s">
        <v>191</v>
      </c>
      <c r="B371" s="285" t="s">
        <v>202</v>
      </c>
      <c r="C371" s="285" t="s">
        <v>203</v>
      </c>
      <c r="D371" s="285" t="s">
        <v>204</v>
      </c>
    </row>
    <row r="372" spans="1:4" ht="15.75" customHeight="1" x14ac:dyDescent="0.25">
      <c r="A372" s="485" t="s">
        <v>192</v>
      </c>
      <c r="B372" s="486"/>
      <c r="C372" s="486"/>
      <c r="D372" s="486"/>
    </row>
    <row r="373" spans="1:4" ht="15.75" customHeight="1" x14ac:dyDescent="0.25">
      <c r="A373" s="307" t="s">
        <v>193</v>
      </c>
      <c r="B373" s="290">
        <v>416</v>
      </c>
      <c r="C373" s="290">
        <v>342</v>
      </c>
      <c r="D373" s="290">
        <v>276</v>
      </c>
    </row>
    <row r="374" spans="1:4" ht="15.75" customHeight="1" x14ac:dyDescent="0.25">
      <c r="A374" s="307" t="s">
        <v>209</v>
      </c>
      <c r="B374" s="290" t="s">
        <v>218</v>
      </c>
      <c r="C374" s="290" t="s">
        <v>218</v>
      </c>
      <c r="D374" s="290" t="s">
        <v>218</v>
      </c>
    </row>
    <row r="375" spans="1:4" ht="15.75" customHeight="1" x14ac:dyDescent="0.25">
      <c r="A375" s="307" t="s">
        <v>231</v>
      </c>
      <c r="B375" s="290" t="s">
        <v>227</v>
      </c>
      <c r="C375" s="290">
        <v>120</v>
      </c>
      <c r="D375" s="290">
        <v>77</v>
      </c>
    </row>
    <row r="376" spans="1:4" ht="15.75" customHeight="1" x14ac:dyDescent="0.25">
      <c r="A376" s="307" t="s">
        <v>195</v>
      </c>
      <c r="B376" s="290">
        <v>9</v>
      </c>
      <c r="C376" s="290">
        <v>9</v>
      </c>
      <c r="D376" s="290">
        <v>8</v>
      </c>
    </row>
    <row r="377" spans="1:4" ht="15.75" customHeight="1" x14ac:dyDescent="0.25">
      <c r="A377" s="307" t="s">
        <v>196</v>
      </c>
      <c r="B377" s="290">
        <v>32</v>
      </c>
      <c r="C377" s="290">
        <v>10</v>
      </c>
      <c r="D377" s="290">
        <v>8</v>
      </c>
    </row>
    <row r="378" spans="1:4" ht="15.75" customHeight="1" x14ac:dyDescent="0.25">
      <c r="A378" s="307" t="s">
        <v>197</v>
      </c>
      <c r="B378" s="290">
        <v>24</v>
      </c>
      <c r="C378" s="290">
        <v>24</v>
      </c>
      <c r="D378" s="290">
        <v>22</v>
      </c>
    </row>
    <row r="379" spans="1:4" ht="15.75" customHeight="1" x14ac:dyDescent="0.25">
      <c r="A379" s="307" t="s">
        <v>226</v>
      </c>
      <c r="B379" s="290">
        <v>45</v>
      </c>
      <c r="C379" s="290">
        <v>45</v>
      </c>
      <c r="D379" s="290">
        <v>41</v>
      </c>
    </row>
    <row r="380" spans="1:4" ht="15.75" customHeight="1" x14ac:dyDescent="0.25">
      <c r="A380" s="307" t="s">
        <v>198</v>
      </c>
      <c r="B380" s="290">
        <v>134</v>
      </c>
      <c r="C380" s="290">
        <v>134</v>
      </c>
      <c r="D380" s="290">
        <v>120</v>
      </c>
    </row>
    <row r="381" spans="1:4" ht="15.75" customHeight="1" x14ac:dyDescent="0.25">
      <c r="A381" s="485" t="s">
        <v>199</v>
      </c>
      <c r="B381" s="486"/>
      <c r="C381" s="486"/>
      <c r="D381" s="486"/>
    </row>
    <row r="382" spans="1:4" ht="15.75" customHeight="1" x14ac:dyDescent="0.25">
      <c r="A382" s="307" t="s">
        <v>200</v>
      </c>
      <c r="B382" s="290">
        <v>68</v>
      </c>
      <c r="C382" s="290">
        <v>56</v>
      </c>
      <c r="D382" s="290">
        <v>45</v>
      </c>
    </row>
    <row r="383" spans="1:4" ht="15.75" customHeight="1" x14ac:dyDescent="0.25">
      <c r="A383" s="308"/>
      <c r="B383" s="309"/>
      <c r="C383" s="309"/>
      <c r="D383" s="309"/>
    </row>
    <row r="384" spans="1:4" ht="15.75" customHeight="1" x14ac:dyDescent="0.25">
      <c r="A384" s="306" t="s">
        <v>224</v>
      </c>
    </row>
    <row r="385" spans="1:4" ht="15.75" customHeight="1" x14ac:dyDescent="0.25">
      <c r="A385" s="313" t="s">
        <v>206</v>
      </c>
    </row>
    <row r="386" spans="1:4" ht="15.75" customHeight="1" x14ac:dyDescent="0.25">
      <c r="A386" s="285" t="s">
        <v>191</v>
      </c>
      <c r="B386" s="285" t="s">
        <v>202</v>
      </c>
      <c r="C386" s="285" t="s">
        <v>203</v>
      </c>
      <c r="D386" s="285" t="s">
        <v>204</v>
      </c>
    </row>
    <row r="387" spans="1:4" ht="15.75" customHeight="1" x14ac:dyDescent="0.25">
      <c r="A387" s="485" t="s">
        <v>192</v>
      </c>
      <c r="B387" s="486"/>
      <c r="C387" s="486"/>
      <c r="D387" s="486"/>
    </row>
    <row r="388" spans="1:4" ht="15.75" customHeight="1" x14ac:dyDescent="0.25">
      <c r="A388" s="307" t="s">
        <v>193</v>
      </c>
      <c r="B388" s="290">
        <v>404</v>
      </c>
      <c r="C388" s="290">
        <v>330</v>
      </c>
      <c r="D388" s="290">
        <v>268</v>
      </c>
    </row>
    <row r="389" spans="1:4" ht="15.75" customHeight="1" x14ac:dyDescent="0.25">
      <c r="A389" s="307" t="s">
        <v>209</v>
      </c>
      <c r="B389" s="290" t="s">
        <v>218</v>
      </c>
      <c r="C389" s="290" t="s">
        <v>218</v>
      </c>
      <c r="D389" s="290" t="s">
        <v>218</v>
      </c>
    </row>
    <row r="390" spans="1:4" ht="15.75" customHeight="1" x14ac:dyDescent="0.25">
      <c r="A390" s="307" t="s">
        <v>231</v>
      </c>
      <c r="B390" s="290" t="s">
        <v>228</v>
      </c>
      <c r="C390" s="290">
        <v>109</v>
      </c>
      <c r="D390" s="290">
        <v>69</v>
      </c>
    </row>
    <row r="391" spans="1:4" ht="15.75" customHeight="1" x14ac:dyDescent="0.25">
      <c r="A391" s="307" t="s">
        <v>195</v>
      </c>
      <c r="B391" s="290">
        <v>9</v>
      </c>
      <c r="C391" s="290">
        <v>9</v>
      </c>
      <c r="D391" s="290">
        <v>8</v>
      </c>
    </row>
    <row r="392" spans="1:4" ht="15.75" customHeight="1" x14ac:dyDescent="0.25">
      <c r="A392" s="307" t="s">
        <v>196</v>
      </c>
      <c r="B392" s="290">
        <v>28</v>
      </c>
      <c r="C392" s="290">
        <v>9</v>
      </c>
      <c r="D392" s="290">
        <v>8</v>
      </c>
    </row>
    <row r="393" spans="1:4" ht="15.75" customHeight="1" x14ac:dyDescent="0.25">
      <c r="A393" s="307" t="s">
        <v>197</v>
      </c>
      <c r="B393" s="290">
        <v>25</v>
      </c>
      <c r="C393" s="290">
        <v>24</v>
      </c>
      <c r="D393" s="290">
        <v>22</v>
      </c>
    </row>
    <row r="394" spans="1:4" ht="15.75" customHeight="1" x14ac:dyDescent="0.25">
      <c r="A394" s="307" t="s">
        <v>226</v>
      </c>
      <c r="B394" s="290">
        <v>45</v>
      </c>
      <c r="C394" s="290">
        <v>45</v>
      </c>
      <c r="D394" s="290">
        <v>41</v>
      </c>
    </row>
    <row r="395" spans="1:4" ht="15.75" customHeight="1" x14ac:dyDescent="0.25">
      <c r="A395" s="307" t="s">
        <v>198</v>
      </c>
      <c r="B395" s="290">
        <v>134</v>
      </c>
      <c r="C395" s="290">
        <v>134</v>
      </c>
      <c r="D395" s="290">
        <v>120</v>
      </c>
    </row>
    <row r="396" spans="1:4" ht="15.75" customHeight="1" x14ac:dyDescent="0.25">
      <c r="A396" s="485" t="s">
        <v>199</v>
      </c>
      <c r="B396" s="486"/>
      <c r="C396" s="486"/>
      <c r="D396" s="486"/>
    </row>
    <row r="397" spans="1:4" ht="15.75" customHeight="1" x14ac:dyDescent="0.25">
      <c r="A397" s="307" t="s">
        <v>200</v>
      </c>
      <c r="B397" s="290">
        <v>258</v>
      </c>
      <c r="C397" s="290">
        <v>210</v>
      </c>
      <c r="D397" s="290">
        <v>171</v>
      </c>
    </row>
    <row r="398" spans="1:4" ht="15.75" customHeight="1" x14ac:dyDescent="0.25">
      <c r="A398" s="68"/>
    </row>
    <row r="399" spans="1:4" ht="15.75" customHeight="1" x14ac:dyDescent="0.25">
      <c r="A399" s="306" t="s">
        <v>224</v>
      </c>
    </row>
    <row r="400" spans="1:4" ht="15.75" customHeight="1" x14ac:dyDescent="0.25">
      <c r="A400" s="313" t="s">
        <v>208</v>
      </c>
    </row>
    <row r="401" spans="1:4" ht="15.75" customHeight="1" x14ac:dyDescent="0.25">
      <c r="A401" s="285" t="s">
        <v>191</v>
      </c>
      <c r="B401" s="285" t="s">
        <v>202</v>
      </c>
      <c r="C401" s="285" t="s">
        <v>203</v>
      </c>
      <c r="D401" s="285" t="s">
        <v>204</v>
      </c>
    </row>
    <row r="402" spans="1:4" ht="15.75" customHeight="1" x14ac:dyDescent="0.25">
      <c r="A402" s="485" t="s">
        <v>192</v>
      </c>
      <c r="B402" s="486"/>
      <c r="C402" s="486"/>
      <c r="D402" s="486"/>
    </row>
    <row r="403" spans="1:4" ht="15.75" customHeight="1" x14ac:dyDescent="0.25">
      <c r="A403" s="307" t="s">
        <v>193</v>
      </c>
      <c r="B403" s="290">
        <v>394</v>
      </c>
      <c r="C403" s="290">
        <v>292</v>
      </c>
      <c r="D403" s="290">
        <v>255</v>
      </c>
    </row>
    <row r="404" spans="1:4" ht="15.75" customHeight="1" x14ac:dyDescent="0.25">
      <c r="A404" s="307" t="s">
        <v>209</v>
      </c>
      <c r="B404" s="290">
        <v>80</v>
      </c>
      <c r="C404" s="290">
        <v>28</v>
      </c>
      <c r="D404" s="290">
        <v>22</v>
      </c>
    </row>
    <row r="405" spans="1:4" ht="15.75" customHeight="1" x14ac:dyDescent="0.25">
      <c r="A405" s="307" t="s">
        <v>231</v>
      </c>
      <c r="B405" s="290" t="s">
        <v>229</v>
      </c>
      <c r="C405" s="290">
        <v>33</v>
      </c>
      <c r="D405" s="290">
        <v>26</v>
      </c>
    </row>
    <row r="406" spans="1:4" ht="15.75" customHeight="1" x14ac:dyDescent="0.25">
      <c r="A406" s="307" t="s">
        <v>195</v>
      </c>
      <c r="B406" s="290">
        <v>11</v>
      </c>
      <c r="C406" s="290">
        <v>10</v>
      </c>
      <c r="D406" s="290">
        <v>9</v>
      </c>
    </row>
    <row r="407" spans="1:4" ht="15.75" customHeight="1" x14ac:dyDescent="0.25">
      <c r="A407" s="307" t="s">
        <v>196</v>
      </c>
      <c r="B407" s="290">
        <v>63</v>
      </c>
      <c r="C407" s="290">
        <v>18</v>
      </c>
      <c r="D407" s="290">
        <v>17</v>
      </c>
    </row>
    <row r="408" spans="1:4" ht="15.75" customHeight="1" x14ac:dyDescent="0.25">
      <c r="A408" s="307" t="s">
        <v>197</v>
      </c>
      <c r="B408" s="290">
        <v>24</v>
      </c>
      <c r="C408" s="290">
        <v>24</v>
      </c>
      <c r="D408" s="290">
        <v>20</v>
      </c>
    </row>
    <row r="409" spans="1:4" ht="15.75" customHeight="1" x14ac:dyDescent="0.25">
      <c r="A409" s="307" t="s">
        <v>226</v>
      </c>
      <c r="B409" s="290">
        <v>45</v>
      </c>
      <c r="C409" s="290">
        <v>45</v>
      </c>
      <c r="D409" s="290">
        <v>41</v>
      </c>
    </row>
    <row r="410" spans="1:4" ht="15.75" customHeight="1" x14ac:dyDescent="0.25">
      <c r="A410" s="307" t="s">
        <v>198</v>
      </c>
      <c r="B410" s="290">
        <v>134</v>
      </c>
      <c r="C410" s="290">
        <v>134</v>
      </c>
      <c r="D410" s="290">
        <v>120</v>
      </c>
    </row>
    <row r="411" spans="1:4" ht="15.75" customHeight="1" x14ac:dyDescent="0.25">
      <c r="A411" s="485" t="s">
        <v>199</v>
      </c>
      <c r="B411" s="486"/>
      <c r="C411" s="486"/>
      <c r="D411" s="486"/>
    </row>
    <row r="412" spans="1:4" ht="15.75" customHeight="1" x14ac:dyDescent="0.25">
      <c r="A412" s="307" t="s">
        <v>200</v>
      </c>
      <c r="B412" s="290">
        <v>137</v>
      </c>
      <c r="C412" s="290">
        <v>101</v>
      </c>
      <c r="D412" s="290">
        <v>89</v>
      </c>
    </row>
    <row r="413" spans="1:4" ht="15.75" customHeight="1" x14ac:dyDescent="0.25">
      <c r="A413" s="68"/>
    </row>
    <row r="414" spans="1:4" ht="15.75" customHeight="1" x14ac:dyDescent="0.25">
      <c r="A414" s="306" t="s">
        <v>224</v>
      </c>
    </row>
    <row r="415" spans="1:4" ht="15.75" customHeight="1" x14ac:dyDescent="0.25">
      <c r="A415" s="313" t="s">
        <v>211</v>
      </c>
    </row>
    <row r="416" spans="1:4" ht="15.75" customHeight="1" x14ac:dyDescent="0.25">
      <c r="A416" s="285" t="s">
        <v>191</v>
      </c>
      <c r="B416" s="285" t="s">
        <v>202</v>
      </c>
      <c r="C416" s="285" t="s">
        <v>203</v>
      </c>
      <c r="D416" s="285" t="s">
        <v>204</v>
      </c>
    </row>
    <row r="417" spans="1:4" ht="15.75" customHeight="1" x14ac:dyDescent="0.25">
      <c r="A417" s="485" t="s">
        <v>192</v>
      </c>
      <c r="B417" s="486"/>
      <c r="C417" s="486"/>
      <c r="D417" s="486"/>
    </row>
    <row r="418" spans="1:4" ht="15.75" customHeight="1" x14ac:dyDescent="0.25">
      <c r="A418" s="307" t="s">
        <v>193</v>
      </c>
      <c r="B418" s="290">
        <v>393</v>
      </c>
      <c r="C418" s="290">
        <v>293</v>
      </c>
      <c r="D418" s="290">
        <v>253</v>
      </c>
    </row>
    <row r="419" spans="1:4" ht="15.75" customHeight="1" x14ac:dyDescent="0.25">
      <c r="A419" s="307" t="s">
        <v>209</v>
      </c>
      <c r="B419" s="290">
        <v>76</v>
      </c>
      <c r="C419" s="290">
        <v>21</v>
      </c>
      <c r="D419" s="290">
        <v>19</v>
      </c>
    </row>
    <row r="420" spans="1:4" ht="15.75" customHeight="1" x14ac:dyDescent="0.25">
      <c r="A420" s="307" t="s">
        <v>231</v>
      </c>
      <c r="B420" s="290" t="s">
        <v>230</v>
      </c>
      <c r="C420" s="290">
        <v>42</v>
      </c>
      <c r="D420" s="290">
        <v>29</v>
      </c>
    </row>
    <row r="421" spans="1:4" ht="15.75" customHeight="1" x14ac:dyDescent="0.25">
      <c r="A421" s="307" t="s">
        <v>195</v>
      </c>
      <c r="B421" s="290">
        <v>10</v>
      </c>
      <c r="C421" s="290">
        <v>9</v>
      </c>
      <c r="D421" s="290">
        <v>9</v>
      </c>
    </row>
    <row r="422" spans="1:4" ht="15.75" customHeight="1" x14ac:dyDescent="0.25">
      <c r="A422" s="307" t="s">
        <v>196</v>
      </c>
      <c r="B422" s="290">
        <v>61</v>
      </c>
      <c r="C422" s="290">
        <v>18</v>
      </c>
      <c r="D422" s="290">
        <v>15</v>
      </c>
    </row>
    <row r="423" spans="1:4" ht="15.75" customHeight="1" x14ac:dyDescent="0.25">
      <c r="A423" s="307" t="s">
        <v>197</v>
      </c>
      <c r="B423" s="290">
        <v>24</v>
      </c>
      <c r="C423" s="290">
        <v>24</v>
      </c>
      <c r="D423" s="290">
        <v>20</v>
      </c>
    </row>
    <row r="424" spans="1:4" ht="15.75" customHeight="1" x14ac:dyDescent="0.25">
      <c r="A424" s="307" t="s">
        <v>226</v>
      </c>
      <c r="B424" s="290">
        <v>45</v>
      </c>
      <c r="C424" s="290">
        <v>45</v>
      </c>
      <c r="D424" s="290">
        <v>41</v>
      </c>
    </row>
    <row r="425" spans="1:4" ht="15.75" customHeight="1" x14ac:dyDescent="0.25">
      <c r="A425" s="307" t="s">
        <v>198</v>
      </c>
      <c r="B425" s="290">
        <v>134</v>
      </c>
      <c r="C425" s="290">
        <v>134</v>
      </c>
      <c r="D425" s="290">
        <v>120</v>
      </c>
    </row>
    <row r="426" spans="1:4" ht="15.75" customHeight="1" x14ac:dyDescent="0.25">
      <c r="A426" s="485" t="s">
        <v>199</v>
      </c>
      <c r="B426" s="486"/>
      <c r="C426" s="486"/>
      <c r="D426" s="486"/>
    </row>
    <row r="427" spans="1:4" ht="15.75" customHeight="1" x14ac:dyDescent="0.25">
      <c r="A427" s="307" t="s">
        <v>200</v>
      </c>
      <c r="B427" s="290">
        <v>126</v>
      </c>
      <c r="C427" s="290">
        <v>94</v>
      </c>
      <c r="D427" s="290">
        <v>81</v>
      </c>
    </row>
    <row r="428" spans="1:4" ht="15.75" customHeight="1" x14ac:dyDescent="0.25">
      <c r="A428" s="310"/>
      <c r="B428" s="311"/>
      <c r="C428" s="311"/>
      <c r="D428" s="311"/>
    </row>
    <row r="429" spans="1:4" ht="15.75" customHeight="1" x14ac:dyDescent="0.25">
      <c r="A429" s="306" t="s">
        <v>224</v>
      </c>
      <c r="B429" s="311"/>
      <c r="C429" s="311"/>
      <c r="D429" s="311"/>
    </row>
    <row r="430" spans="1:4" ht="15.75" customHeight="1" x14ac:dyDescent="0.25">
      <c r="A430" s="314" t="s">
        <v>213</v>
      </c>
    </row>
    <row r="431" spans="1:4" ht="15.75" customHeight="1" x14ac:dyDescent="0.25">
      <c r="A431" s="285"/>
      <c r="B431" s="285" t="s">
        <v>172</v>
      </c>
      <c r="C431" s="285" t="s">
        <v>175</v>
      </c>
      <c r="D431" s="285" t="s">
        <v>176</v>
      </c>
    </row>
    <row r="432" spans="1:4" ht="15.75" customHeight="1" x14ac:dyDescent="0.25">
      <c r="A432" s="487" t="s">
        <v>192</v>
      </c>
      <c r="B432" s="486"/>
      <c r="C432" s="486"/>
      <c r="D432" s="486"/>
    </row>
    <row r="433" spans="1:4" ht="15.75" customHeight="1" x14ac:dyDescent="0.25">
      <c r="A433" s="287" t="s">
        <v>193</v>
      </c>
      <c r="B433" s="288">
        <v>394</v>
      </c>
      <c r="C433" s="288">
        <v>288</v>
      </c>
      <c r="D433" s="288">
        <v>253</v>
      </c>
    </row>
    <row r="434" spans="1:4" ht="15.75" customHeight="1" x14ac:dyDescent="0.25">
      <c r="A434" s="287" t="s">
        <v>209</v>
      </c>
      <c r="B434" s="290">
        <v>82</v>
      </c>
      <c r="C434" s="290">
        <v>27</v>
      </c>
      <c r="D434" s="290">
        <v>19</v>
      </c>
    </row>
    <row r="435" spans="1:4" ht="15.75" customHeight="1" x14ac:dyDescent="0.25">
      <c r="A435" s="287" t="s">
        <v>231</v>
      </c>
      <c r="B435" s="290">
        <v>30</v>
      </c>
      <c r="C435" s="290">
        <v>29</v>
      </c>
      <c r="D435" s="290">
        <v>26</v>
      </c>
    </row>
    <row r="436" spans="1:4" ht="15.75" customHeight="1" x14ac:dyDescent="0.25">
      <c r="A436" s="287" t="s">
        <v>195</v>
      </c>
      <c r="B436" s="290">
        <v>12</v>
      </c>
      <c r="C436" s="290">
        <v>9</v>
      </c>
      <c r="D436" s="290">
        <v>8</v>
      </c>
    </row>
    <row r="437" spans="1:4" ht="15.75" customHeight="1" x14ac:dyDescent="0.25">
      <c r="A437" s="287" t="s">
        <v>196</v>
      </c>
      <c r="B437" s="290">
        <v>67</v>
      </c>
      <c r="C437" s="290">
        <v>20</v>
      </c>
      <c r="D437" s="290">
        <v>18</v>
      </c>
    </row>
    <row r="438" spans="1:4" ht="15.75" customHeight="1" x14ac:dyDescent="0.25">
      <c r="A438" s="287" t="s">
        <v>197</v>
      </c>
      <c r="B438" s="290">
        <v>24</v>
      </c>
      <c r="C438" s="290">
        <v>24</v>
      </c>
      <c r="D438" s="290">
        <v>21</v>
      </c>
    </row>
    <row r="439" spans="1:4" ht="15.75" customHeight="1" x14ac:dyDescent="0.25">
      <c r="A439" s="287" t="s">
        <v>226</v>
      </c>
      <c r="B439" s="290">
        <v>45</v>
      </c>
      <c r="C439" s="290">
        <v>45</v>
      </c>
      <c r="D439" s="290">
        <v>41</v>
      </c>
    </row>
    <row r="440" spans="1:4" ht="15.75" customHeight="1" x14ac:dyDescent="0.25">
      <c r="A440" s="287" t="s">
        <v>198</v>
      </c>
      <c r="B440" s="290">
        <v>134</v>
      </c>
      <c r="C440" s="290">
        <v>134</v>
      </c>
      <c r="D440" s="290">
        <v>120</v>
      </c>
    </row>
    <row r="441" spans="1:4" ht="15.75" customHeight="1" x14ac:dyDescent="0.25">
      <c r="A441" s="487" t="s">
        <v>199</v>
      </c>
      <c r="B441" s="486"/>
      <c r="C441" s="486"/>
      <c r="D441" s="486"/>
    </row>
    <row r="442" spans="1:4" ht="15.75" customHeight="1" x14ac:dyDescent="0.25">
      <c r="A442" s="287" t="s">
        <v>200</v>
      </c>
      <c r="B442" s="289">
        <v>253</v>
      </c>
      <c r="C442" s="289">
        <v>184</v>
      </c>
      <c r="D442" s="289">
        <v>161</v>
      </c>
    </row>
    <row r="443" spans="1:4" ht="15.75" customHeight="1" x14ac:dyDescent="0.25">
      <c r="A443" s="322"/>
      <c r="B443" s="323"/>
      <c r="C443" s="323"/>
      <c r="D443" s="323"/>
    </row>
    <row r="444" spans="1:4" ht="15.75" customHeight="1" x14ac:dyDescent="0.25">
      <c r="A444" s="68" t="s">
        <v>224</v>
      </c>
    </row>
    <row r="445" spans="1:4" ht="15.75" customHeight="1" x14ac:dyDescent="0.25">
      <c r="A445" s="314" t="s">
        <v>215</v>
      </c>
    </row>
    <row r="446" spans="1:4" ht="15.75" customHeight="1" x14ac:dyDescent="0.25">
      <c r="A446" s="285"/>
      <c r="B446" s="285" t="s">
        <v>172</v>
      </c>
      <c r="C446" s="285" t="s">
        <v>175</v>
      </c>
      <c r="D446" s="285" t="s">
        <v>176</v>
      </c>
    </row>
    <row r="447" spans="1:4" ht="15.75" customHeight="1" x14ac:dyDescent="0.25">
      <c r="A447" s="487" t="s">
        <v>192</v>
      </c>
      <c r="B447" s="486"/>
      <c r="C447" s="486"/>
      <c r="D447" s="486"/>
    </row>
    <row r="448" spans="1:4" ht="15.75" customHeight="1" x14ac:dyDescent="0.25">
      <c r="A448" s="287" t="s">
        <v>193</v>
      </c>
      <c r="B448" s="288">
        <v>525</v>
      </c>
      <c r="C448" s="288">
        <v>334</v>
      </c>
      <c r="D448" s="288">
        <v>290</v>
      </c>
    </row>
    <row r="449" spans="1:4" ht="15.75" customHeight="1" x14ac:dyDescent="0.25">
      <c r="A449" s="287" t="s">
        <v>209</v>
      </c>
      <c r="B449" s="290">
        <v>190</v>
      </c>
      <c r="C449" s="290">
        <v>61</v>
      </c>
      <c r="D449" s="290">
        <v>54</v>
      </c>
    </row>
    <row r="450" spans="1:4" ht="15.75" customHeight="1" x14ac:dyDescent="0.25">
      <c r="A450" s="287" t="s">
        <v>231</v>
      </c>
      <c r="B450" s="290">
        <v>43</v>
      </c>
      <c r="C450" s="290">
        <v>38</v>
      </c>
      <c r="D450" s="290">
        <v>27</v>
      </c>
    </row>
    <row r="451" spans="1:4" ht="15.75" customHeight="1" x14ac:dyDescent="0.25">
      <c r="A451" s="287" t="s">
        <v>195</v>
      </c>
      <c r="B451" s="290">
        <v>11</v>
      </c>
      <c r="C451" s="290">
        <v>8</v>
      </c>
      <c r="D451" s="290">
        <v>8</v>
      </c>
    </row>
    <row r="452" spans="1:4" ht="15.75" customHeight="1" x14ac:dyDescent="0.25">
      <c r="A452" s="287" t="s">
        <v>196</v>
      </c>
      <c r="B452" s="290">
        <v>78</v>
      </c>
      <c r="C452" s="290">
        <v>24</v>
      </c>
      <c r="D452" s="290">
        <v>20</v>
      </c>
    </row>
    <row r="453" spans="1:4" ht="15.75" customHeight="1" x14ac:dyDescent="0.25">
      <c r="A453" s="287" t="s">
        <v>197</v>
      </c>
      <c r="B453" s="290">
        <v>24</v>
      </c>
      <c r="C453" s="290">
        <v>24</v>
      </c>
      <c r="D453" s="290">
        <v>20</v>
      </c>
    </row>
    <row r="454" spans="1:4" ht="15.75" customHeight="1" x14ac:dyDescent="0.25">
      <c r="A454" s="287" t="s">
        <v>226</v>
      </c>
      <c r="B454" s="290">
        <v>45</v>
      </c>
      <c r="C454" s="290">
        <v>45</v>
      </c>
      <c r="D454" s="290">
        <v>41</v>
      </c>
    </row>
    <row r="455" spans="1:4" ht="15.75" customHeight="1" x14ac:dyDescent="0.25">
      <c r="A455" s="287" t="s">
        <v>198</v>
      </c>
      <c r="B455" s="290">
        <v>134</v>
      </c>
      <c r="C455" s="290">
        <v>134</v>
      </c>
      <c r="D455" s="290">
        <v>120</v>
      </c>
    </row>
    <row r="456" spans="1:4" ht="15.75" customHeight="1" x14ac:dyDescent="0.25">
      <c r="A456" s="487" t="s">
        <v>199</v>
      </c>
      <c r="B456" s="486"/>
      <c r="C456" s="486"/>
      <c r="D456" s="486"/>
    </row>
    <row r="457" spans="1:4" ht="15.75" customHeight="1" x14ac:dyDescent="0.25">
      <c r="A457" s="287" t="s">
        <v>200</v>
      </c>
      <c r="B457" s="289">
        <v>437</v>
      </c>
      <c r="C457" s="289">
        <v>278</v>
      </c>
      <c r="D457" s="289">
        <v>241</v>
      </c>
    </row>
    <row r="458" spans="1:4" ht="15.75" customHeight="1" x14ac:dyDescent="0.25">
      <c r="A458" s="316"/>
    </row>
    <row r="459" spans="1:4" ht="15.75" customHeight="1" x14ac:dyDescent="0.25">
      <c r="A459" s="319" t="s">
        <v>694</v>
      </c>
    </row>
    <row r="460" spans="1:4" ht="15.75" customHeight="1" x14ac:dyDescent="0.25">
      <c r="A460" s="286"/>
      <c r="B460" s="285" t="s">
        <v>172</v>
      </c>
      <c r="C460" s="285" t="s">
        <v>175</v>
      </c>
      <c r="D460" s="285" t="s">
        <v>176</v>
      </c>
    </row>
    <row r="461" spans="1:4" ht="15.75" customHeight="1" x14ac:dyDescent="0.25">
      <c r="A461" s="485" t="s">
        <v>177</v>
      </c>
      <c r="B461" s="486"/>
      <c r="C461" s="486"/>
      <c r="D461" s="486"/>
    </row>
    <row r="462" spans="1:4" ht="15.75" customHeight="1" x14ac:dyDescent="0.25">
      <c r="A462" s="307" t="s">
        <v>695</v>
      </c>
      <c r="B462" s="290">
        <v>35</v>
      </c>
      <c r="C462" s="290">
        <v>35</v>
      </c>
      <c r="D462" s="290">
        <v>35</v>
      </c>
    </row>
    <row r="463" spans="1:4" ht="15.75" customHeight="1" x14ac:dyDescent="0.25">
      <c r="A463" s="485" t="s">
        <v>181</v>
      </c>
      <c r="B463" s="486"/>
      <c r="C463" s="486"/>
      <c r="D463" s="486"/>
    </row>
    <row r="464" spans="1:4" ht="15.75" customHeight="1" x14ac:dyDescent="0.25">
      <c r="A464" s="307" t="s">
        <v>182</v>
      </c>
      <c r="B464" s="290">
        <v>2319</v>
      </c>
      <c r="C464" s="290">
        <v>2319</v>
      </c>
      <c r="D464" s="290">
        <v>2335</v>
      </c>
    </row>
    <row r="465" spans="1:4" ht="15.75" customHeight="1" x14ac:dyDescent="0.25">
      <c r="A465" s="307" t="s">
        <v>183</v>
      </c>
      <c r="B465" s="290">
        <v>1148</v>
      </c>
      <c r="C465" s="290">
        <v>1148</v>
      </c>
      <c r="D465" s="290">
        <v>1148</v>
      </c>
    </row>
    <row r="466" spans="1:4" ht="15.75" customHeight="1" x14ac:dyDescent="0.25">
      <c r="A466" s="307" t="s">
        <v>184</v>
      </c>
      <c r="B466" s="290">
        <v>574</v>
      </c>
      <c r="C466" s="290">
        <v>574</v>
      </c>
      <c r="D466" s="290">
        <v>574</v>
      </c>
    </row>
    <row r="467" spans="1:4" ht="15.75" customHeight="1" x14ac:dyDescent="0.25">
      <c r="A467" s="307" t="s">
        <v>185</v>
      </c>
      <c r="B467" s="290">
        <v>52</v>
      </c>
      <c r="C467" s="290">
        <v>52</v>
      </c>
      <c r="D467" s="290">
        <v>44</v>
      </c>
    </row>
    <row r="468" spans="1:4" ht="15.75" customHeight="1" x14ac:dyDescent="0.25">
      <c r="A468" s="307" t="s">
        <v>186</v>
      </c>
      <c r="B468" s="290">
        <v>105</v>
      </c>
      <c r="C468" s="290">
        <v>105</v>
      </c>
      <c r="D468" s="290">
        <v>105</v>
      </c>
    </row>
    <row r="469" spans="1:4" ht="15.75" customHeight="1" x14ac:dyDescent="0.25">
      <c r="A469" s="307" t="s">
        <v>187</v>
      </c>
      <c r="B469" s="290">
        <v>193</v>
      </c>
      <c r="C469" s="290">
        <v>193</v>
      </c>
      <c r="D469" s="290">
        <v>193</v>
      </c>
    </row>
    <row r="470" spans="1:4" ht="15.75" customHeight="1" x14ac:dyDescent="0.25">
      <c r="A470" s="307" t="s">
        <v>188</v>
      </c>
      <c r="B470" s="290">
        <v>247</v>
      </c>
      <c r="C470" s="290">
        <v>247</v>
      </c>
      <c r="D470" s="290">
        <v>247</v>
      </c>
    </row>
    <row r="471" spans="1:4" ht="15.75" customHeight="1" x14ac:dyDescent="0.25">
      <c r="A471" s="307" t="s">
        <v>216</v>
      </c>
      <c r="B471" s="290" t="s">
        <v>164</v>
      </c>
      <c r="C471" s="290" t="s">
        <v>164</v>
      </c>
      <c r="D471" s="290">
        <v>24</v>
      </c>
    </row>
    <row r="472" spans="1:4" ht="15.75" customHeight="1" x14ac:dyDescent="0.25">
      <c r="A472" s="68"/>
    </row>
    <row r="473" spans="1:4" ht="15.75" customHeight="1" x14ac:dyDescent="0.25">
      <c r="A473" s="306" t="s">
        <v>232</v>
      </c>
    </row>
    <row r="474" spans="1:4" ht="15.75" customHeight="1" x14ac:dyDescent="0.25">
      <c r="A474" s="313" t="s">
        <v>190</v>
      </c>
    </row>
    <row r="475" spans="1:4" ht="15.75" customHeight="1" x14ac:dyDescent="0.25">
      <c r="A475" s="285" t="s">
        <v>191</v>
      </c>
      <c r="B475" s="285" t="s">
        <v>202</v>
      </c>
      <c r="C475" s="285" t="s">
        <v>203</v>
      </c>
      <c r="D475" s="285" t="s">
        <v>204</v>
      </c>
    </row>
    <row r="476" spans="1:4" ht="15.75" customHeight="1" x14ac:dyDescent="0.25">
      <c r="A476" s="485" t="s">
        <v>192</v>
      </c>
      <c r="B476" s="486"/>
      <c r="C476" s="486"/>
      <c r="D476" s="486"/>
    </row>
    <row r="477" spans="1:4" ht="15.75" customHeight="1" x14ac:dyDescent="0.25">
      <c r="A477" s="307" t="s">
        <v>193</v>
      </c>
      <c r="B477" s="290">
        <v>34</v>
      </c>
      <c r="C477" s="290">
        <v>24</v>
      </c>
      <c r="D477" s="290">
        <v>21</v>
      </c>
    </row>
    <row r="478" spans="1:4" ht="15.75" customHeight="1" x14ac:dyDescent="0.25">
      <c r="A478" s="307" t="s">
        <v>209</v>
      </c>
      <c r="B478" s="290" t="s">
        <v>218</v>
      </c>
      <c r="C478" s="290" t="s">
        <v>218</v>
      </c>
      <c r="D478" s="290" t="s">
        <v>218</v>
      </c>
    </row>
    <row r="479" spans="1:4" ht="15.75" customHeight="1" x14ac:dyDescent="0.25">
      <c r="A479" s="307" t="s">
        <v>233</v>
      </c>
      <c r="B479" s="290">
        <v>17</v>
      </c>
      <c r="C479" s="290">
        <v>7</v>
      </c>
      <c r="D479" s="290">
        <v>6</v>
      </c>
    </row>
    <row r="480" spans="1:4" ht="15.75" customHeight="1" x14ac:dyDescent="0.25">
      <c r="A480" s="307" t="s">
        <v>196</v>
      </c>
      <c r="B480" s="290">
        <v>4</v>
      </c>
      <c r="C480" s="290">
        <v>4</v>
      </c>
      <c r="D480" s="290">
        <v>3</v>
      </c>
    </row>
    <row r="481" spans="1:4" ht="15.75" customHeight="1" x14ac:dyDescent="0.25">
      <c r="A481" s="307" t="s">
        <v>197</v>
      </c>
      <c r="B481" s="290">
        <v>5</v>
      </c>
      <c r="C481" s="290">
        <v>5</v>
      </c>
      <c r="D481" s="290">
        <v>4</v>
      </c>
    </row>
    <row r="482" spans="1:4" ht="15.75" customHeight="1" x14ac:dyDescent="0.25">
      <c r="A482" s="307" t="s">
        <v>226</v>
      </c>
      <c r="B482" s="290">
        <v>6</v>
      </c>
      <c r="C482" s="290">
        <v>6</v>
      </c>
      <c r="D482" s="290">
        <v>6</v>
      </c>
    </row>
    <row r="483" spans="1:4" ht="15.75" customHeight="1" x14ac:dyDescent="0.25">
      <c r="A483" s="307" t="s">
        <v>198</v>
      </c>
      <c r="B483" s="290">
        <v>2</v>
      </c>
      <c r="C483" s="290">
        <v>2</v>
      </c>
      <c r="D483" s="290">
        <v>2</v>
      </c>
    </row>
    <row r="484" spans="1:4" ht="15.75" customHeight="1" x14ac:dyDescent="0.25">
      <c r="A484" s="485" t="s">
        <v>199</v>
      </c>
      <c r="B484" s="486"/>
      <c r="C484" s="486"/>
      <c r="D484" s="486"/>
    </row>
    <row r="485" spans="1:4" ht="15.75" customHeight="1" x14ac:dyDescent="0.25">
      <c r="A485" s="307" t="s">
        <v>200</v>
      </c>
      <c r="B485" s="290">
        <v>8</v>
      </c>
      <c r="C485" s="290">
        <v>8</v>
      </c>
      <c r="D485" s="290">
        <v>8</v>
      </c>
    </row>
    <row r="486" spans="1:4" ht="15.75" customHeight="1" x14ac:dyDescent="0.25">
      <c r="A486" s="68"/>
    </row>
    <row r="487" spans="1:4" ht="15.75" customHeight="1" x14ac:dyDescent="0.25">
      <c r="A487" s="306" t="s">
        <v>232</v>
      </c>
    </row>
    <row r="488" spans="1:4" ht="15.75" customHeight="1" x14ac:dyDescent="0.25">
      <c r="A488" s="313" t="s">
        <v>201</v>
      </c>
    </row>
    <row r="489" spans="1:4" ht="15.75" customHeight="1" x14ac:dyDescent="0.25">
      <c r="A489" s="285" t="s">
        <v>191</v>
      </c>
      <c r="B489" s="285" t="s">
        <v>202</v>
      </c>
      <c r="C489" s="285" t="s">
        <v>203</v>
      </c>
      <c r="D489" s="285" t="s">
        <v>204</v>
      </c>
    </row>
    <row r="490" spans="1:4" ht="15.75" customHeight="1" x14ac:dyDescent="0.25">
      <c r="A490" s="485" t="s">
        <v>192</v>
      </c>
      <c r="B490" s="486"/>
      <c r="C490" s="486"/>
      <c r="D490" s="486"/>
    </row>
    <row r="491" spans="1:4" ht="15.75" customHeight="1" x14ac:dyDescent="0.25">
      <c r="A491" s="307" t="s">
        <v>193</v>
      </c>
      <c r="B491" s="290">
        <v>37</v>
      </c>
      <c r="C491" s="290">
        <v>24</v>
      </c>
      <c r="D491" s="290">
        <v>22</v>
      </c>
    </row>
    <row r="492" spans="1:4" ht="15.75" customHeight="1" x14ac:dyDescent="0.25">
      <c r="A492" s="307" t="s">
        <v>209</v>
      </c>
      <c r="B492" s="290" t="s">
        <v>218</v>
      </c>
      <c r="C492" s="290" t="s">
        <v>218</v>
      </c>
      <c r="D492" s="290" t="s">
        <v>218</v>
      </c>
    </row>
    <row r="493" spans="1:4" ht="15.75" customHeight="1" x14ac:dyDescent="0.25">
      <c r="A493" s="307" t="s">
        <v>233</v>
      </c>
      <c r="B493" s="290">
        <v>21</v>
      </c>
      <c r="C493" s="290">
        <v>8</v>
      </c>
      <c r="D493" s="290">
        <v>7</v>
      </c>
    </row>
    <row r="494" spans="1:4" ht="15.75" customHeight="1" x14ac:dyDescent="0.25">
      <c r="A494" s="307" t="s">
        <v>196</v>
      </c>
      <c r="B494" s="290">
        <v>3</v>
      </c>
      <c r="C494" s="290">
        <v>3</v>
      </c>
      <c r="D494" s="290">
        <v>3</v>
      </c>
    </row>
    <row r="495" spans="1:4" ht="15.75" customHeight="1" x14ac:dyDescent="0.25">
      <c r="A495" s="307" t="s">
        <v>197</v>
      </c>
      <c r="B495" s="290">
        <v>5</v>
      </c>
      <c r="C495" s="290">
        <v>5</v>
      </c>
      <c r="D495" s="290">
        <v>4</v>
      </c>
    </row>
    <row r="496" spans="1:4" ht="15.75" customHeight="1" x14ac:dyDescent="0.25">
      <c r="A496" s="307" t="s">
        <v>226</v>
      </c>
      <c r="B496" s="290">
        <v>6</v>
      </c>
      <c r="C496" s="290">
        <v>6</v>
      </c>
      <c r="D496" s="290">
        <v>6</v>
      </c>
    </row>
    <row r="497" spans="1:4" ht="15.75" customHeight="1" x14ac:dyDescent="0.25">
      <c r="A497" s="307" t="s">
        <v>198</v>
      </c>
      <c r="B497" s="290">
        <v>2</v>
      </c>
      <c r="C497" s="290">
        <v>2</v>
      </c>
      <c r="D497" s="290">
        <v>2</v>
      </c>
    </row>
    <row r="498" spans="1:4" ht="15.75" customHeight="1" x14ac:dyDescent="0.25">
      <c r="A498" s="485" t="s">
        <v>199</v>
      </c>
      <c r="B498" s="486"/>
      <c r="C498" s="486"/>
      <c r="D498" s="486"/>
    </row>
    <row r="499" spans="1:4" ht="15.75" customHeight="1" x14ac:dyDescent="0.25">
      <c r="A499" s="307" t="s">
        <v>200</v>
      </c>
      <c r="B499" s="290">
        <v>3</v>
      </c>
      <c r="C499" s="290">
        <v>3</v>
      </c>
      <c r="D499" s="290" t="s">
        <v>234</v>
      </c>
    </row>
    <row r="500" spans="1:4" ht="15.75" customHeight="1" x14ac:dyDescent="0.25">
      <c r="A500" s="68"/>
    </row>
    <row r="501" spans="1:4" ht="15.75" customHeight="1" x14ac:dyDescent="0.25">
      <c r="A501" s="306" t="s">
        <v>232</v>
      </c>
    </row>
    <row r="502" spans="1:4" ht="15.75" customHeight="1" x14ac:dyDescent="0.25">
      <c r="A502" s="313" t="s">
        <v>206</v>
      </c>
    </row>
    <row r="503" spans="1:4" ht="15.75" customHeight="1" x14ac:dyDescent="0.25">
      <c r="A503" s="285" t="s">
        <v>191</v>
      </c>
      <c r="B503" s="285" t="s">
        <v>202</v>
      </c>
      <c r="C503" s="285" t="s">
        <v>203</v>
      </c>
      <c r="D503" s="285" t="s">
        <v>204</v>
      </c>
    </row>
    <row r="504" spans="1:4" ht="15.75" customHeight="1" x14ac:dyDescent="0.25">
      <c r="A504" s="485" t="s">
        <v>192</v>
      </c>
      <c r="B504" s="486"/>
      <c r="C504" s="486"/>
      <c r="D504" s="486"/>
    </row>
    <row r="505" spans="1:4" ht="15.75" customHeight="1" x14ac:dyDescent="0.25">
      <c r="A505" s="307" t="s">
        <v>193</v>
      </c>
      <c r="B505" s="290">
        <v>44</v>
      </c>
      <c r="C505" s="290">
        <v>28</v>
      </c>
      <c r="D505" s="290">
        <v>24</v>
      </c>
    </row>
    <row r="506" spans="1:4" ht="15.75" customHeight="1" x14ac:dyDescent="0.25">
      <c r="A506" s="307" t="s">
        <v>209</v>
      </c>
      <c r="B506" s="290" t="s">
        <v>218</v>
      </c>
      <c r="C506" s="290" t="s">
        <v>218</v>
      </c>
      <c r="D506" s="290" t="s">
        <v>218</v>
      </c>
    </row>
    <row r="507" spans="1:4" ht="15.75" customHeight="1" x14ac:dyDescent="0.25">
      <c r="A507" s="307" t="s">
        <v>233</v>
      </c>
      <c r="B507" s="290">
        <v>29</v>
      </c>
      <c r="C507" s="290">
        <v>13</v>
      </c>
      <c r="D507" s="290">
        <v>10</v>
      </c>
    </row>
    <row r="508" spans="1:4" ht="15.75" customHeight="1" x14ac:dyDescent="0.25">
      <c r="A508" s="307" t="s">
        <v>196</v>
      </c>
      <c r="B508" s="290">
        <v>2</v>
      </c>
      <c r="C508" s="290">
        <v>2</v>
      </c>
      <c r="D508" s="290">
        <v>2</v>
      </c>
    </row>
    <row r="509" spans="1:4" ht="15.75" customHeight="1" x14ac:dyDescent="0.25">
      <c r="A509" s="307" t="s">
        <v>197</v>
      </c>
      <c r="B509" s="290">
        <v>5</v>
      </c>
      <c r="C509" s="290">
        <v>5</v>
      </c>
      <c r="D509" s="290">
        <v>4</v>
      </c>
    </row>
    <row r="510" spans="1:4" ht="15.75" customHeight="1" x14ac:dyDescent="0.25">
      <c r="A510" s="307" t="s">
        <v>226</v>
      </c>
      <c r="B510" s="290">
        <v>6</v>
      </c>
      <c r="C510" s="290">
        <v>6</v>
      </c>
      <c r="D510" s="290">
        <v>6</v>
      </c>
    </row>
    <row r="511" spans="1:4" ht="15.75" customHeight="1" x14ac:dyDescent="0.25">
      <c r="A511" s="307" t="s">
        <v>198</v>
      </c>
      <c r="B511" s="290">
        <v>2</v>
      </c>
      <c r="C511" s="290">
        <v>2</v>
      </c>
      <c r="D511" s="290">
        <v>2</v>
      </c>
    </row>
    <row r="512" spans="1:4" ht="15.75" customHeight="1" x14ac:dyDescent="0.25">
      <c r="A512" s="485" t="s">
        <v>199</v>
      </c>
      <c r="B512" s="486"/>
      <c r="C512" s="486"/>
      <c r="D512" s="486"/>
    </row>
    <row r="513" spans="1:4" ht="15.75" customHeight="1" x14ac:dyDescent="0.25">
      <c r="A513" s="307" t="s">
        <v>200</v>
      </c>
      <c r="B513" s="290">
        <v>10</v>
      </c>
      <c r="C513" s="290">
        <v>10</v>
      </c>
      <c r="D513" s="290" t="s">
        <v>235</v>
      </c>
    </row>
    <row r="514" spans="1:4" ht="15.75" customHeight="1" x14ac:dyDescent="0.25">
      <c r="A514" s="68"/>
    </row>
    <row r="515" spans="1:4" s="253" customFormat="1" ht="15.75" customHeight="1" x14ac:dyDescent="0.3">
      <c r="A515" s="306" t="s">
        <v>232</v>
      </c>
    </row>
    <row r="516" spans="1:4" ht="15.75" customHeight="1" x14ac:dyDescent="0.25">
      <c r="A516" s="313" t="s">
        <v>208</v>
      </c>
    </row>
    <row r="517" spans="1:4" ht="15.75" customHeight="1" x14ac:dyDescent="0.25">
      <c r="A517" s="285" t="s">
        <v>191</v>
      </c>
      <c r="B517" s="285" t="s">
        <v>202</v>
      </c>
      <c r="C517" s="321" t="s">
        <v>203</v>
      </c>
      <c r="D517" s="321" t="s">
        <v>204</v>
      </c>
    </row>
    <row r="518" spans="1:4" ht="15.75" customHeight="1" x14ac:dyDescent="0.25">
      <c r="A518" s="485" t="s">
        <v>192</v>
      </c>
      <c r="B518" s="486"/>
      <c r="C518" s="486"/>
      <c r="D518" s="486"/>
    </row>
    <row r="519" spans="1:4" ht="15.75" customHeight="1" x14ac:dyDescent="0.25">
      <c r="A519" s="307" t="s">
        <v>193</v>
      </c>
      <c r="B519" s="290">
        <v>32</v>
      </c>
      <c r="C519" s="290">
        <v>26</v>
      </c>
      <c r="D519" s="290">
        <v>19</v>
      </c>
    </row>
    <row r="520" spans="1:4" ht="15.75" customHeight="1" x14ac:dyDescent="0.25">
      <c r="A520" s="307" t="s">
        <v>209</v>
      </c>
      <c r="B520" s="290">
        <v>3</v>
      </c>
      <c r="C520" s="290">
        <v>4</v>
      </c>
      <c r="D520" s="290">
        <v>2</v>
      </c>
    </row>
    <row r="521" spans="1:4" ht="15.75" customHeight="1" x14ac:dyDescent="0.25">
      <c r="A521" s="307" t="s">
        <v>233</v>
      </c>
      <c r="B521" s="290">
        <v>11</v>
      </c>
      <c r="C521" s="290">
        <v>4</v>
      </c>
      <c r="D521" s="290">
        <v>1</v>
      </c>
    </row>
    <row r="522" spans="1:4" ht="15.75" customHeight="1" x14ac:dyDescent="0.25">
      <c r="A522" s="307" t="s">
        <v>196</v>
      </c>
      <c r="B522" s="290">
        <v>5</v>
      </c>
      <c r="C522" s="290">
        <v>5</v>
      </c>
      <c r="D522" s="290">
        <v>4</v>
      </c>
    </row>
    <row r="523" spans="1:4" ht="15.75" customHeight="1" x14ac:dyDescent="0.25">
      <c r="A523" s="307" t="s">
        <v>197</v>
      </c>
      <c r="B523" s="290">
        <v>5</v>
      </c>
      <c r="C523" s="290">
        <v>5</v>
      </c>
      <c r="D523" s="290">
        <v>4</v>
      </c>
    </row>
    <row r="524" spans="1:4" ht="15.75" customHeight="1" x14ac:dyDescent="0.25">
      <c r="A524" s="307" t="s">
        <v>226</v>
      </c>
      <c r="B524" s="290">
        <v>6</v>
      </c>
      <c r="C524" s="290">
        <v>6</v>
      </c>
      <c r="D524" s="290">
        <v>6</v>
      </c>
    </row>
    <row r="525" spans="1:4" ht="15.75" customHeight="1" x14ac:dyDescent="0.25">
      <c r="A525" s="307" t="s">
        <v>198</v>
      </c>
      <c r="B525" s="290">
        <v>2</v>
      </c>
      <c r="C525" s="290">
        <v>2</v>
      </c>
      <c r="D525" s="290">
        <v>2</v>
      </c>
    </row>
    <row r="526" spans="1:4" ht="15.75" customHeight="1" x14ac:dyDescent="0.25">
      <c r="A526" s="485" t="s">
        <v>199</v>
      </c>
      <c r="B526" s="486"/>
      <c r="C526" s="486"/>
      <c r="D526" s="486"/>
    </row>
    <row r="527" spans="1:4" ht="15.75" customHeight="1" x14ac:dyDescent="0.25">
      <c r="A527" s="307" t="s">
        <v>200</v>
      </c>
      <c r="B527" s="290">
        <v>7</v>
      </c>
      <c r="C527" s="290">
        <v>7</v>
      </c>
      <c r="D527" s="290">
        <v>7</v>
      </c>
    </row>
    <row r="528" spans="1:4" ht="15.75" customHeight="1" x14ac:dyDescent="0.25">
      <c r="A528" s="68"/>
    </row>
    <row r="529" spans="1:4" ht="15.75" customHeight="1" x14ac:dyDescent="0.25">
      <c r="A529" s="306" t="s">
        <v>232</v>
      </c>
    </row>
    <row r="530" spans="1:4" ht="15.75" customHeight="1" x14ac:dyDescent="0.25">
      <c r="A530" s="313" t="s">
        <v>211</v>
      </c>
    </row>
    <row r="531" spans="1:4" ht="15.75" customHeight="1" x14ac:dyDescent="0.25">
      <c r="A531" s="285" t="s">
        <v>191</v>
      </c>
      <c r="B531" s="285" t="s">
        <v>202</v>
      </c>
      <c r="C531" s="285" t="s">
        <v>203</v>
      </c>
      <c r="D531" s="285" t="s">
        <v>204</v>
      </c>
    </row>
    <row r="532" spans="1:4" ht="15.75" customHeight="1" x14ac:dyDescent="0.25">
      <c r="A532" s="485" t="s">
        <v>192</v>
      </c>
      <c r="B532" s="486"/>
      <c r="C532" s="486"/>
      <c r="D532" s="486"/>
    </row>
    <row r="533" spans="1:4" ht="15.75" customHeight="1" x14ac:dyDescent="0.25">
      <c r="A533" s="307" t="s">
        <v>193</v>
      </c>
      <c r="B533" s="290">
        <v>35</v>
      </c>
      <c r="C533" s="290">
        <v>27</v>
      </c>
      <c r="D533" s="290">
        <v>20</v>
      </c>
    </row>
    <row r="534" spans="1:4" ht="15.75" customHeight="1" x14ac:dyDescent="0.25">
      <c r="A534" s="307" t="s">
        <v>209</v>
      </c>
      <c r="B534" s="290">
        <v>4</v>
      </c>
      <c r="C534" s="290">
        <v>5</v>
      </c>
      <c r="D534" s="290">
        <v>2</v>
      </c>
    </row>
    <row r="535" spans="1:4" ht="15.75" customHeight="1" x14ac:dyDescent="0.25">
      <c r="A535" s="307" t="s">
        <v>233</v>
      </c>
      <c r="B535" s="290">
        <v>13</v>
      </c>
      <c r="C535" s="290">
        <v>4</v>
      </c>
      <c r="D535" s="290">
        <v>2</v>
      </c>
    </row>
    <row r="536" spans="1:4" ht="15.75" customHeight="1" x14ac:dyDescent="0.25">
      <c r="A536" s="307" t="s">
        <v>196</v>
      </c>
      <c r="B536" s="290">
        <v>5</v>
      </c>
      <c r="C536" s="290">
        <v>5</v>
      </c>
      <c r="D536" s="290">
        <v>4</v>
      </c>
    </row>
    <row r="537" spans="1:4" ht="15.75" customHeight="1" x14ac:dyDescent="0.25">
      <c r="A537" s="307" t="s">
        <v>197</v>
      </c>
      <c r="B537" s="290">
        <v>5</v>
      </c>
      <c r="C537" s="290">
        <v>5</v>
      </c>
      <c r="D537" s="290">
        <v>4</v>
      </c>
    </row>
    <row r="538" spans="1:4" ht="15.75" customHeight="1" x14ac:dyDescent="0.25">
      <c r="A538" s="307" t="s">
        <v>226</v>
      </c>
      <c r="B538" s="290">
        <v>6</v>
      </c>
      <c r="C538" s="290">
        <v>6</v>
      </c>
      <c r="D538" s="290">
        <v>6</v>
      </c>
    </row>
    <row r="539" spans="1:4" ht="15.75" customHeight="1" x14ac:dyDescent="0.25">
      <c r="A539" s="307" t="s">
        <v>198</v>
      </c>
      <c r="B539" s="290">
        <v>2</v>
      </c>
      <c r="C539" s="290">
        <v>2</v>
      </c>
      <c r="D539" s="290">
        <v>2</v>
      </c>
    </row>
    <row r="540" spans="1:4" ht="15.75" customHeight="1" x14ac:dyDescent="0.25">
      <c r="A540" s="485" t="s">
        <v>199</v>
      </c>
      <c r="B540" s="486"/>
      <c r="C540" s="486"/>
      <c r="D540" s="486"/>
    </row>
    <row r="541" spans="1:4" ht="15.75" customHeight="1" x14ac:dyDescent="0.25">
      <c r="A541" s="307" t="s">
        <v>200</v>
      </c>
      <c r="B541" s="290">
        <v>7</v>
      </c>
      <c r="C541" s="290">
        <v>7</v>
      </c>
      <c r="D541" s="290" t="s">
        <v>236</v>
      </c>
    </row>
    <row r="542" spans="1:4" ht="15.75" customHeight="1" x14ac:dyDescent="0.25">
      <c r="A542" s="310"/>
      <c r="B542" s="311"/>
      <c r="C542" s="311"/>
      <c r="D542" s="311"/>
    </row>
    <row r="543" spans="1:4" ht="15.75" customHeight="1" x14ac:dyDescent="0.25">
      <c r="A543" s="306" t="s">
        <v>232</v>
      </c>
      <c r="B543" s="311"/>
      <c r="C543" s="311"/>
      <c r="D543" s="311"/>
    </row>
    <row r="544" spans="1:4" ht="15.75" customHeight="1" x14ac:dyDescent="0.25">
      <c r="A544" s="314" t="s">
        <v>213</v>
      </c>
    </row>
    <row r="545" spans="1:4" ht="15.75" customHeight="1" x14ac:dyDescent="0.25">
      <c r="A545" s="285"/>
      <c r="B545" s="285" t="s">
        <v>172</v>
      </c>
      <c r="C545" s="285" t="s">
        <v>175</v>
      </c>
      <c r="D545" s="285" t="s">
        <v>176</v>
      </c>
    </row>
    <row r="546" spans="1:4" ht="15.75" customHeight="1" x14ac:dyDescent="0.25">
      <c r="A546" s="487" t="s">
        <v>192</v>
      </c>
      <c r="B546" s="486"/>
      <c r="C546" s="486"/>
      <c r="D546" s="486"/>
    </row>
    <row r="547" spans="1:4" ht="15.75" customHeight="1" x14ac:dyDescent="0.25">
      <c r="A547" s="287" t="s">
        <v>193</v>
      </c>
      <c r="B547" s="288">
        <v>26</v>
      </c>
      <c r="C547" s="288">
        <v>21</v>
      </c>
      <c r="D547" s="288">
        <v>18</v>
      </c>
    </row>
    <row r="548" spans="1:4" ht="15.75" customHeight="1" x14ac:dyDescent="0.25">
      <c r="A548" s="287" t="s">
        <v>209</v>
      </c>
      <c r="B548" s="290">
        <v>1</v>
      </c>
      <c r="C548" s="290">
        <v>2</v>
      </c>
      <c r="D548" s="290">
        <v>1</v>
      </c>
    </row>
    <row r="549" spans="1:4" ht="15.75" customHeight="1" x14ac:dyDescent="0.25">
      <c r="A549" s="287" t="s">
        <v>233</v>
      </c>
      <c r="B549" s="290">
        <v>7</v>
      </c>
      <c r="C549" s="290">
        <v>1</v>
      </c>
      <c r="D549" s="290">
        <v>1</v>
      </c>
    </row>
    <row r="550" spans="1:4" ht="15.75" customHeight="1" x14ac:dyDescent="0.25">
      <c r="A550" s="287" t="s">
        <v>196</v>
      </c>
      <c r="B550" s="290">
        <v>5</v>
      </c>
      <c r="C550" s="290">
        <v>5</v>
      </c>
      <c r="D550" s="290">
        <v>4</v>
      </c>
    </row>
    <row r="551" spans="1:4" ht="15.75" customHeight="1" x14ac:dyDescent="0.25">
      <c r="A551" s="287" t="s">
        <v>197</v>
      </c>
      <c r="B551" s="290">
        <v>5</v>
      </c>
      <c r="C551" s="290">
        <v>5</v>
      </c>
      <c r="D551" s="290">
        <v>4</v>
      </c>
    </row>
    <row r="552" spans="1:4" ht="15.75" customHeight="1" x14ac:dyDescent="0.25">
      <c r="A552" s="287" t="s">
        <v>226</v>
      </c>
      <c r="B552" s="290">
        <v>6</v>
      </c>
      <c r="C552" s="290">
        <v>6</v>
      </c>
      <c r="D552" s="290">
        <v>6</v>
      </c>
    </row>
    <row r="553" spans="1:4" ht="15.75" customHeight="1" x14ac:dyDescent="0.25">
      <c r="A553" s="287" t="s">
        <v>198</v>
      </c>
      <c r="B553" s="290">
        <v>2</v>
      </c>
      <c r="C553" s="290">
        <v>2</v>
      </c>
      <c r="D553" s="290">
        <v>2</v>
      </c>
    </row>
    <row r="554" spans="1:4" ht="15.75" customHeight="1" x14ac:dyDescent="0.25">
      <c r="A554" s="487" t="s">
        <v>199</v>
      </c>
      <c r="B554" s="486"/>
      <c r="C554" s="486"/>
      <c r="D554" s="486"/>
    </row>
    <row r="555" spans="1:4" ht="15.75" customHeight="1" x14ac:dyDescent="0.25">
      <c r="A555" s="287" t="s">
        <v>200</v>
      </c>
      <c r="B555" s="289">
        <v>12</v>
      </c>
      <c r="C555" s="289">
        <v>13</v>
      </c>
      <c r="D555" s="289">
        <v>12</v>
      </c>
    </row>
    <row r="556" spans="1:4" ht="15.75" customHeight="1" x14ac:dyDescent="0.25">
      <c r="A556" s="322"/>
      <c r="B556" s="323"/>
      <c r="C556" s="323"/>
      <c r="D556" s="323"/>
    </row>
    <row r="557" spans="1:4" ht="15.75" customHeight="1" x14ac:dyDescent="0.25">
      <c r="A557" s="68" t="s">
        <v>232</v>
      </c>
    </row>
    <row r="558" spans="1:4" ht="15.75" customHeight="1" x14ac:dyDescent="0.25">
      <c r="A558" s="314" t="s">
        <v>215</v>
      </c>
    </row>
    <row r="559" spans="1:4" ht="15.75" customHeight="1" x14ac:dyDescent="0.25">
      <c r="A559" s="285"/>
      <c r="B559" s="285" t="s">
        <v>172</v>
      </c>
      <c r="C559" s="285" t="s">
        <v>175</v>
      </c>
      <c r="D559" s="285" t="s">
        <v>176</v>
      </c>
    </row>
    <row r="560" spans="1:4" ht="15.75" customHeight="1" x14ac:dyDescent="0.25">
      <c r="A560" s="487" t="s">
        <v>192</v>
      </c>
      <c r="B560" s="486"/>
      <c r="C560" s="486"/>
      <c r="D560" s="486"/>
    </row>
    <row r="561" spans="1:4" ht="15.75" customHeight="1" x14ac:dyDescent="0.25">
      <c r="A561" s="287" t="s">
        <v>193</v>
      </c>
      <c r="B561" s="288">
        <v>28</v>
      </c>
      <c r="C561" s="288">
        <v>25</v>
      </c>
      <c r="D561" s="288">
        <v>23</v>
      </c>
    </row>
    <row r="562" spans="1:4" ht="15.75" customHeight="1" x14ac:dyDescent="0.25">
      <c r="A562" s="287" t="s">
        <v>209</v>
      </c>
      <c r="B562" s="290">
        <v>6</v>
      </c>
      <c r="C562" s="290">
        <v>4</v>
      </c>
      <c r="D562" s="290">
        <v>4</v>
      </c>
    </row>
    <row r="563" spans="1:4" ht="15.75" customHeight="1" x14ac:dyDescent="0.25">
      <c r="A563" s="287" t="s">
        <v>233</v>
      </c>
      <c r="B563" s="290">
        <v>4</v>
      </c>
      <c r="C563" s="290">
        <v>3</v>
      </c>
      <c r="D563" s="290">
        <v>3</v>
      </c>
    </row>
    <row r="564" spans="1:4" ht="15.75" customHeight="1" x14ac:dyDescent="0.25">
      <c r="A564" s="287" t="s">
        <v>196</v>
      </c>
      <c r="B564" s="290">
        <v>4</v>
      </c>
      <c r="C564" s="290">
        <v>4</v>
      </c>
      <c r="D564" s="290">
        <v>4</v>
      </c>
    </row>
    <row r="565" spans="1:4" ht="15.75" customHeight="1" x14ac:dyDescent="0.25">
      <c r="A565" s="287" t="s">
        <v>197</v>
      </c>
      <c r="B565" s="290">
        <v>5</v>
      </c>
      <c r="C565" s="290">
        <v>5</v>
      </c>
      <c r="D565" s="290">
        <v>4</v>
      </c>
    </row>
    <row r="566" spans="1:4" ht="15.75" customHeight="1" x14ac:dyDescent="0.25">
      <c r="A566" s="287" t="s">
        <v>226</v>
      </c>
      <c r="B566" s="290">
        <v>6</v>
      </c>
      <c r="C566" s="290">
        <v>6</v>
      </c>
      <c r="D566" s="290">
        <v>6</v>
      </c>
    </row>
    <row r="567" spans="1:4" ht="15.75" customHeight="1" x14ac:dyDescent="0.25">
      <c r="A567" s="287" t="s">
        <v>198</v>
      </c>
      <c r="B567" s="290">
        <v>3</v>
      </c>
      <c r="C567" s="290">
        <v>3</v>
      </c>
      <c r="D567" s="290">
        <v>2</v>
      </c>
    </row>
    <row r="568" spans="1:4" ht="15.75" customHeight="1" x14ac:dyDescent="0.25">
      <c r="A568" s="487" t="s">
        <v>199</v>
      </c>
      <c r="B568" s="486"/>
      <c r="C568" s="486"/>
      <c r="D568" s="486"/>
    </row>
    <row r="569" spans="1:4" ht="15.75" customHeight="1" x14ac:dyDescent="0.25">
      <c r="A569" s="287" t="s">
        <v>200</v>
      </c>
      <c r="B569" s="289">
        <v>23</v>
      </c>
      <c r="C569" s="289">
        <v>21</v>
      </c>
      <c r="D569" s="289">
        <v>19</v>
      </c>
    </row>
    <row r="570" spans="1:4" ht="15.75" customHeight="1" x14ac:dyDescent="0.25">
      <c r="A570" s="315"/>
    </row>
    <row r="571" spans="1:4" ht="15.75" customHeight="1" x14ac:dyDescent="0.25">
      <c r="A571" s="319" t="s">
        <v>696</v>
      </c>
    </row>
    <row r="572" spans="1:4" ht="15.75" customHeight="1" x14ac:dyDescent="0.25">
      <c r="A572" s="286"/>
      <c r="B572" s="285" t="s">
        <v>172</v>
      </c>
      <c r="C572" s="321" t="s">
        <v>175</v>
      </c>
      <c r="D572" s="321" t="s">
        <v>176</v>
      </c>
    </row>
    <row r="573" spans="1:4" ht="15.75" customHeight="1" x14ac:dyDescent="0.25">
      <c r="A573" s="485" t="s">
        <v>177</v>
      </c>
      <c r="B573" s="486"/>
      <c r="C573" s="486"/>
      <c r="D573" s="486"/>
    </row>
    <row r="574" spans="1:4" ht="15.75" customHeight="1" x14ac:dyDescent="0.25">
      <c r="A574" s="307" t="s">
        <v>688</v>
      </c>
      <c r="B574" s="290">
        <v>838</v>
      </c>
      <c r="C574" s="290">
        <v>620</v>
      </c>
      <c r="D574" s="290">
        <v>620</v>
      </c>
    </row>
    <row r="575" spans="1:4" ht="15.75" customHeight="1" x14ac:dyDescent="0.25">
      <c r="A575" s="485" t="s">
        <v>181</v>
      </c>
      <c r="B575" s="486"/>
      <c r="C575" s="486"/>
      <c r="D575" s="486"/>
    </row>
    <row r="576" spans="1:4" ht="15.75" customHeight="1" x14ac:dyDescent="0.25">
      <c r="A576" s="307" t="s">
        <v>182</v>
      </c>
      <c r="B576" s="290">
        <v>2129</v>
      </c>
      <c r="C576" s="290">
        <v>2146</v>
      </c>
      <c r="D576" s="290">
        <v>2146</v>
      </c>
    </row>
    <row r="577" spans="1:4" ht="15.75" customHeight="1" x14ac:dyDescent="0.25">
      <c r="A577" s="307" t="s">
        <v>183</v>
      </c>
      <c r="B577" s="290">
        <v>1148</v>
      </c>
      <c r="C577" s="290">
        <v>1148</v>
      </c>
      <c r="D577" s="290">
        <v>1148</v>
      </c>
    </row>
    <row r="578" spans="1:4" ht="15.75" customHeight="1" x14ac:dyDescent="0.25">
      <c r="A578" s="307" t="s">
        <v>184</v>
      </c>
      <c r="B578" s="290">
        <v>383</v>
      </c>
      <c r="C578" s="290">
        <v>383</v>
      </c>
      <c r="D578" s="290">
        <v>383</v>
      </c>
    </row>
    <row r="579" spans="1:4" ht="15.75" customHeight="1" x14ac:dyDescent="0.25">
      <c r="A579" s="307" t="s">
        <v>185</v>
      </c>
      <c r="B579" s="290">
        <v>159</v>
      </c>
      <c r="C579" s="290">
        <v>159</v>
      </c>
      <c r="D579" s="290">
        <v>159</v>
      </c>
    </row>
    <row r="580" spans="1:4" ht="15.75" customHeight="1" x14ac:dyDescent="0.25">
      <c r="A580" s="307" t="s">
        <v>186</v>
      </c>
      <c r="B580" s="290">
        <v>164</v>
      </c>
      <c r="C580" s="290">
        <v>164</v>
      </c>
      <c r="D580" s="290">
        <v>164</v>
      </c>
    </row>
    <row r="581" spans="1:4" ht="15.75" customHeight="1" x14ac:dyDescent="0.25">
      <c r="A581" s="307" t="s">
        <v>187</v>
      </c>
      <c r="B581" s="290">
        <v>199</v>
      </c>
      <c r="C581" s="290">
        <v>199</v>
      </c>
      <c r="D581" s="290">
        <v>199</v>
      </c>
    </row>
    <row r="582" spans="1:4" ht="15.75" customHeight="1" x14ac:dyDescent="0.25">
      <c r="A582" s="307" t="s">
        <v>188</v>
      </c>
      <c r="B582" s="290">
        <v>76</v>
      </c>
      <c r="C582" s="290">
        <v>76</v>
      </c>
      <c r="D582" s="290">
        <v>76</v>
      </c>
    </row>
    <row r="583" spans="1:4" ht="15.75" customHeight="1" x14ac:dyDescent="0.25">
      <c r="A583" s="307" t="s">
        <v>216</v>
      </c>
      <c r="B583" s="290" t="s">
        <v>164</v>
      </c>
      <c r="C583" s="290">
        <v>17</v>
      </c>
      <c r="D583" s="290">
        <v>17</v>
      </c>
    </row>
    <row r="584" spans="1:4" ht="15.75" customHeight="1" x14ac:dyDescent="0.25">
      <c r="A584" s="68"/>
    </row>
    <row r="585" spans="1:4" ht="15.75" customHeight="1" x14ac:dyDescent="0.25">
      <c r="A585" s="306" t="s">
        <v>237</v>
      </c>
    </row>
    <row r="586" spans="1:4" ht="15.75" customHeight="1" x14ac:dyDescent="0.25">
      <c r="A586" s="313" t="s">
        <v>190</v>
      </c>
    </row>
    <row r="587" spans="1:4" ht="15.75" customHeight="1" x14ac:dyDescent="0.25">
      <c r="A587" s="285" t="s">
        <v>191</v>
      </c>
      <c r="B587" s="285" t="s">
        <v>202</v>
      </c>
      <c r="C587" s="285" t="s">
        <v>203</v>
      </c>
      <c r="D587" s="285" t="s">
        <v>204</v>
      </c>
    </row>
    <row r="588" spans="1:4" ht="15.75" customHeight="1" x14ac:dyDescent="0.25">
      <c r="A588" s="485" t="s">
        <v>192</v>
      </c>
      <c r="B588" s="486"/>
      <c r="C588" s="486"/>
      <c r="D588" s="486"/>
    </row>
    <row r="589" spans="1:4" ht="15.75" customHeight="1" x14ac:dyDescent="0.25">
      <c r="A589" s="307" t="s">
        <v>193</v>
      </c>
      <c r="B589" s="290">
        <v>169</v>
      </c>
      <c r="C589" s="290">
        <v>111</v>
      </c>
      <c r="D589" s="290">
        <v>88</v>
      </c>
    </row>
    <row r="590" spans="1:4" ht="15.75" customHeight="1" x14ac:dyDescent="0.25">
      <c r="A590" s="307" t="s">
        <v>209</v>
      </c>
      <c r="B590" s="290" t="s">
        <v>218</v>
      </c>
      <c r="C590" s="290" t="s">
        <v>218</v>
      </c>
      <c r="D590" s="290" t="s">
        <v>218</v>
      </c>
    </row>
    <row r="591" spans="1:4" ht="15.75" customHeight="1" x14ac:dyDescent="0.25">
      <c r="A591" s="307" t="s">
        <v>238</v>
      </c>
      <c r="B591" s="290">
        <v>113</v>
      </c>
      <c r="C591" s="290">
        <v>55</v>
      </c>
      <c r="D591" s="290">
        <v>43</v>
      </c>
    </row>
    <row r="592" spans="1:4" ht="15.75" customHeight="1" x14ac:dyDescent="0.25">
      <c r="A592" s="307" t="s">
        <v>197</v>
      </c>
      <c r="B592" s="290">
        <v>14</v>
      </c>
      <c r="C592" s="290">
        <v>14</v>
      </c>
      <c r="D592" s="290">
        <v>11</v>
      </c>
    </row>
    <row r="593" spans="1:4" ht="15.75" customHeight="1" x14ac:dyDescent="0.25">
      <c r="A593" s="307" t="s">
        <v>198</v>
      </c>
      <c r="B593" s="290">
        <v>42</v>
      </c>
      <c r="C593" s="290">
        <v>42</v>
      </c>
      <c r="D593" s="290">
        <v>34</v>
      </c>
    </row>
    <row r="594" spans="1:4" ht="15.75" customHeight="1" x14ac:dyDescent="0.25">
      <c r="A594" s="485" t="s">
        <v>199</v>
      </c>
      <c r="B594" s="486"/>
      <c r="C594" s="486"/>
      <c r="D594" s="486"/>
    </row>
    <row r="595" spans="1:4" ht="15.75" customHeight="1" x14ac:dyDescent="0.25">
      <c r="A595" s="307" t="s">
        <v>200</v>
      </c>
      <c r="B595" s="290">
        <v>75</v>
      </c>
      <c r="C595" s="290">
        <v>49</v>
      </c>
      <c r="D595" s="290">
        <v>40</v>
      </c>
    </row>
    <row r="596" spans="1:4" ht="15.75" customHeight="1" x14ac:dyDescent="0.25">
      <c r="A596" s="308"/>
      <c r="B596" s="309"/>
      <c r="C596" s="309"/>
      <c r="D596" s="309"/>
    </row>
    <row r="597" spans="1:4" ht="15.75" customHeight="1" x14ac:dyDescent="0.3">
      <c r="A597" s="271" t="s">
        <v>237</v>
      </c>
    </row>
    <row r="598" spans="1:4" ht="15.75" customHeight="1" x14ac:dyDescent="0.25">
      <c r="A598" s="313" t="s">
        <v>201</v>
      </c>
    </row>
    <row r="599" spans="1:4" ht="15.75" customHeight="1" x14ac:dyDescent="0.25">
      <c r="A599" s="285" t="s">
        <v>191</v>
      </c>
      <c r="B599" s="285" t="s">
        <v>202</v>
      </c>
      <c r="C599" s="285" t="s">
        <v>203</v>
      </c>
      <c r="D599" s="285" t="s">
        <v>204</v>
      </c>
    </row>
    <row r="600" spans="1:4" ht="15.75" customHeight="1" x14ac:dyDescent="0.25">
      <c r="A600" s="485" t="s">
        <v>192</v>
      </c>
      <c r="B600" s="486"/>
      <c r="C600" s="486"/>
      <c r="D600" s="486"/>
    </row>
    <row r="601" spans="1:4" ht="15.75" customHeight="1" x14ac:dyDescent="0.25">
      <c r="A601" s="307" t="s">
        <v>193</v>
      </c>
      <c r="B601" s="290">
        <v>200</v>
      </c>
      <c r="C601" s="290">
        <v>125</v>
      </c>
      <c r="D601" s="290">
        <v>99</v>
      </c>
    </row>
    <row r="602" spans="1:4" ht="15.75" customHeight="1" x14ac:dyDescent="0.25">
      <c r="A602" s="307" t="s">
        <v>209</v>
      </c>
      <c r="B602" s="290">
        <v>0</v>
      </c>
      <c r="C602" s="290">
        <v>0</v>
      </c>
      <c r="D602" s="290">
        <v>0</v>
      </c>
    </row>
    <row r="603" spans="1:4" ht="15.75" customHeight="1" x14ac:dyDescent="0.25">
      <c r="A603" s="307" t="s">
        <v>238</v>
      </c>
      <c r="B603" s="290">
        <v>143</v>
      </c>
      <c r="C603" s="290">
        <v>68</v>
      </c>
      <c r="D603" s="290">
        <v>54</v>
      </c>
    </row>
    <row r="604" spans="1:4" ht="15.75" customHeight="1" x14ac:dyDescent="0.25">
      <c r="A604" s="307" t="s">
        <v>197</v>
      </c>
      <c r="B604" s="290">
        <v>14</v>
      </c>
      <c r="C604" s="290">
        <v>14</v>
      </c>
      <c r="D604" s="290">
        <v>11</v>
      </c>
    </row>
    <row r="605" spans="1:4" ht="15.75" customHeight="1" x14ac:dyDescent="0.25">
      <c r="A605" s="307" t="s">
        <v>198</v>
      </c>
      <c r="B605" s="290">
        <v>43</v>
      </c>
      <c r="C605" s="290">
        <v>43</v>
      </c>
      <c r="D605" s="290">
        <v>34</v>
      </c>
    </row>
    <row r="606" spans="1:4" ht="15.75" customHeight="1" x14ac:dyDescent="0.25">
      <c r="A606" s="485" t="s">
        <v>199</v>
      </c>
      <c r="B606" s="486"/>
      <c r="C606" s="486"/>
      <c r="D606" s="486"/>
    </row>
    <row r="607" spans="1:4" ht="15.75" customHeight="1" x14ac:dyDescent="0.25">
      <c r="A607" s="307" t="s">
        <v>200</v>
      </c>
      <c r="B607" s="290">
        <v>38</v>
      </c>
      <c r="C607" s="290">
        <v>23</v>
      </c>
      <c r="D607" s="290">
        <v>19</v>
      </c>
    </row>
    <row r="608" spans="1:4" ht="15.75" customHeight="1" x14ac:dyDescent="0.25">
      <c r="A608" s="308"/>
      <c r="B608" s="309"/>
      <c r="C608" s="309"/>
      <c r="D608" s="309"/>
    </row>
    <row r="609" spans="1:4" ht="15.75" customHeight="1" x14ac:dyDescent="0.25">
      <c r="A609" s="306" t="s">
        <v>237</v>
      </c>
    </row>
    <row r="610" spans="1:4" ht="15.75" customHeight="1" x14ac:dyDescent="0.25">
      <c r="A610" s="313" t="s">
        <v>208</v>
      </c>
    </row>
    <row r="611" spans="1:4" ht="15.75" customHeight="1" x14ac:dyDescent="0.25">
      <c r="A611" s="285" t="s">
        <v>191</v>
      </c>
      <c r="B611" s="285" t="s">
        <v>202</v>
      </c>
      <c r="C611" s="285" t="s">
        <v>203</v>
      </c>
      <c r="D611" s="285" t="s">
        <v>204</v>
      </c>
    </row>
    <row r="612" spans="1:4" ht="15.75" customHeight="1" x14ac:dyDescent="0.25">
      <c r="A612" s="485" t="s">
        <v>192</v>
      </c>
      <c r="B612" s="486"/>
      <c r="C612" s="486"/>
      <c r="D612" s="486"/>
    </row>
    <row r="613" spans="1:4" ht="15.75" customHeight="1" x14ac:dyDescent="0.25">
      <c r="A613" s="307" t="s">
        <v>193</v>
      </c>
      <c r="B613" s="290">
        <v>125</v>
      </c>
      <c r="C613" s="290">
        <v>91</v>
      </c>
      <c r="D613" s="290">
        <v>73</v>
      </c>
    </row>
    <row r="614" spans="1:4" ht="15.75" customHeight="1" x14ac:dyDescent="0.25">
      <c r="A614" s="307" t="s">
        <v>209</v>
      </c>
      <c r="B614" s="290">
        <v>7</v>
      </c>
      <c r="C614" s="290">
        <v>6</v>
      </c>
      <c r="D614" s="290">
        <v>5</v>
      </c>
    </row>
    <row r="615" spans="1:4" ht="15.75" customHeight="1" x14ac:dyDescent="0.25">
      <c r="A615" s="307" t="s">
        <v>238</v>
      </c>
      <c r="B615" s="290">
        <v>62</v>
      </c>
      <c r="C615" s="290">
        <v>29</v>
      </c>
      <c r="D615" s="290">
        <v>23</v>
      </c>
    </row>
    <row r="616" spans="1:4" ht="15.75" customHeight="1" x14ac:dyDescent="0.25">
      <c r="A616" s="307" t="s">
        <v>197</v>
      </c>
      <c r="B616" s="290">
        <v>14</v>
      </c>
      <c r="C616" s="290">
        <v>14</v>
      </c>
      <c r="D616" s="290">
        <v>11</v>
      </c>
    </row>
    <row r="617" spans="1:4" ht="15.75" customHeight="1" x14ac:dyDescent="0.25">
      <c r="A617" s="307" t="s">
        <v>198</v>
      </c>
      <c r="B617" s="290">
        <v>42</v>
      </c>
      <c r="C617" s="290">
        <v>42</v>
      </c>
      <c r="D617" s="290">
        <v>34</v>
      </c>
    </row>
    <row r="618" spans="1:4" ht="15.75" customHeight="1" x14ac:dyDescent="0.25">
      <c r="A618" s="485" t="s">
        <v>199</v>
      </c>
      <c r="B618" s="486"/>
      <c r="C618" s="486"/>
      <c r="D618" s="486"/>
    </row>
    <row r="619" spans="1:4" ht="15.75" customHeight="1" x14ac:dyDescent="0.25">
      <c r="A619" s="307" t="s">
        <v>200</v>
      </c>
      <c r="B619" s="290">
        <v>46</v>
      </c>
      <c r="C619" s="290">
        <v>33</v>
      </c>
      <c r="D619" s="290">
        <v>26</v>
      </c>
    </row>
    <row r="620" spans="1:4" ht="15.75" customHeight="1" x14ac:dyDescent="0.25">
      <c r="A620" s="308"/>
      <c r="B620" s="309"/>
      <c r="C620" s="309"/>
      <c r="D620" s="309"/>
    </row>
    <row r="621" spans="1:4" ht="15.75" customHeight="1" x14ac:dyDescent="0.3">
      <c r="A621" s="271" t="s">
        <v>237</v>
      </c>
    </row>
    <row r="622" spans="1:4" ht="15.75" customHeight="1" x14ac:dyDescent="0.25">
      <c r="A622" s="313" t="s">
        <v>206</v>
      </c>
    </row>
    <row r="623" spans="1:4" ht="15.75" customHeight="1" x14ac:dyDescent="0.25">
      <c r="A623" s="285" t="s">
        <v>191</v>
      </c>
      <c r="B623" s="285" t="s">
        <v>202</v>
      </c>
      <c r="C623" s="285" t="s">
        <v>203</v>
      </c>
      <c r="D623" s="285" t="s">
        <v>204</v>
      </c>
    </row>
    <row r="624" spans="1:4" ht="15.75" customHeight="1" x14ac:dyDescent="0.25">
      <c r="A624" s="485" t="s">
        <v>192</v>
      </c>
      <c r="B624" s="486"/>
      <c r="C624" s="486"/>
      <c r="D624" s="486"/>
    </row>
    <row r="625" spans="1:4" ht="15.75" customHeight="1" x14ac:dyDescent="0.25">
      <c r="A625" s="307" t="s">
        <v>193</v>
      </c>
      <c r="B625" s="290">
        <v>197</v>
      </c>
      <c r="C625" s="290">
        <v>125</v>
      </c>
      <c r="D625" s="290">
        <v>100</v>
      </c>
    </row>
    <row r="626" spans="1:4" ht="15.75" customHeight="1" x14ac:dyDescent="0.25">
      <c r="A626" s="307" t="s">
        <v>209</v>
      </c>
      <c r="B626" s="290" t="s">
        <v>218</v>
      </c>
      <c r="C626" s="290" t="s">
        <v>218</v>
      </c>
      <c r="D626" s="290" t="s">
        <v>218</v>
      </c>
    </row>
    <row r="627" spans="1:4" ht="15.75" customHeight="1" x14ac:dyDescent="0.25">
      <c r="A627" s="307" t="s">
        <v>238</v>
      </c>
      <c r="B627" s="290">
        <v>141</v>
      </c>
      <c r="C627" s="290">
        <v>69</v>
      </c>
      <c r="D627" s="290">
        <v>55</v>
      </c>
    </row>
    <row r="628" spans="1:4" ht="15.75" customHeight="1" x14ac:dyDescent="0.25">
      <c r="A628" s="307" t="s">
        <v>197</v>
      </c>
      <c r="B628" s="290">
        <v>14</v>
      </c>
      <c r="C628" s="290">
        <v>14</v>
      </c>
      <c r="D628" s="290">
        <v>11</v>
      </c>
    </row>
    <row r="629" spans="1:4" ht="15.75" customHeight="1" x14ac:dyDescent="0.25">
      <c r="A629" s="307" t="s">
        <v>198</v>
      </c>
      <c r="B629" s="290">
        <v>42</v>
      </c>
      <c r="C629" s="290">
        <v>42</v>
      </c>
      <c r="D629" s="290">
        <v>34</v>
      </c>
    </row>
    <row r="630" spans="1:4" ht="15.75" customHeight="1" x14ac:dyDescent="0.25">
      <c r="A630" s="485" t="s">
        <v>199</v>
      </c>
      <c r="B630" s="486"/>
      <c r="C630" s="486"/>
      <c r="D630" s="486"/>
    </row>
    <row r="631" spans="1:4" ht="15.75" customHeight="1" x14ac:dyDescent="0.25">
      <c r="A631" s="307" t="s">
        <v>200</v>
      </c>
      <c r="B631" s="290">
        <v>126</v>
      </c>
      <c r="C631" s="290">
        <v>80</v>
      </c>
      <c r="D631" s="290">
        <v>64</v>
      </c>
    </row>
    <row r="632" spans="1:4" ht="15.75" customHeight="1" x14ac:dyDescent="0.25">
      <c r="A632" s="310"/>
      <c r="B632" s="311"/>
      <c r="C632" s="311"/>
      <c r="D632" s="311"/>
    </row>
    <row r="633" spans="1:4" ht="15.75" customHeight="1" x14ac:dyDescent="0.3">
      <c r="A633" s="271" t="s">
        <v>237</v>
      </c>
      <c r="B633" s="311"/>
      <c r="C633" s="311"/>
      <c r="D633" s="311"/>
    </row>
    <row r="634" spans="1:4" ht="15.75" customHeight="1" x14ac:dyDescent="0.25">
      <c r="A634" s="314" t="s">
        <v>215</v>
      </c>
    </row>
    <row r="635" spans="1:4" ht="15.75" customHeight="1" x14ac:dyDescent="0.25">
      <c r="A635" s="285"/>
      <c r="B635" s="285" t="s">
        <v>172</v>
      </c>
      <c r="C635" s="285" t="s">
        <v>175</v>
      </c>
      <c r="D635" s="285" t="s">
        <v>176</v>
      </c>
    </row>
    <row r="636" spans="1:4" ht="15.75" customHeight="1" x14ac:dyDescent="0.25">
      <c r="A636" s="487" t="s">
        <v>192</v>
      </c>
      <c r="B636" s="486"/>
      <c r="C636" s="486"/>
      <c r="D636" s="486"/>
    </row>
    <row r="637" spans="1:4" ht="15.75" customHeight="1" x14ac:dyDescent="0.25">
      <c r="A637" s="287" t="s">
        <v>193</v>
      </c>
      <c r="B637" s="288">
        <v>118</v>
      </c>
      <c r="C637" s="288">
        <v>95</v>
      </c>
      <c r="D637" s="288">
        <v>75</v>
      </c>
    </row>
    <row r="638" spans="1:4" ht="15.75" customHeight="1" x14ac:dyDescent="0.25">
      <c r="A638" s="287" t="s">
        <v>209</v>
      </c>
      <c r="B638" s="290">
        <v>1</v>
      </c>
      <c r="C638" s="290">
        <v>1</v>
      </c>
      <c r="D638" s="290">
        <v>1</v>
      </c>
    </row>
    <row r="639" spans="1:4" ht="15.75" customHeight="1" x14ac:dyDescent="0.25">
      <c r="A639" s="287" t="s">
        <v>238</v>
      </c>
      <c r="B639" s="290">
        <v>69</v>
      </c>
      <c r="C639" s="290">
        <v>46</v>
      </c>
      <c r="D639" s="290">
        <v>36</v>
      </c>
    </row>
    <row r="640" spans="1:4" ht="15.75" customHeight="1" x14ac:dyDescent="0.25">
      <c r="A640" s="287" t="s">
        <v>197</v>
      </c>
      <c r="B640" s="290">
        <v>14</v>
      </c>
      <c r="C640" s="290">
        <v>14</v>
      </c>
      <c r="D640" s="290">
        <v>11</v>
      </c>
    </row>
    <row r="641" spans="1:4" ht="15.75" customHeight="1" x14ac:dyDescent="0.25">
      <c r="A641" s="287" t="s">
        <v>198</v>
      </c>
      <c r="B641" s="290">
        <v>34</v>
      </c>
      <c r="C641" s="290">
        <v>34</v>
      </c>
      <c r="D641" s="290">
        <v>27</v>
      </c>
    </row>
    <row r="642" spans="1:4" ht="15.75" customHeight="1" x14ac:dyDescent="0.25">
      <c r="A642" s="487" t="s">
        <v>199</v>
      </c>
      <c r="B642" s="486"/>
      <c r="C642" s="486"/>
      <c r="D642" s="486"/>
    </row>
    <row r="643" spans="1:4" ht="15.75" customHeight="1" x14ac:dyDescent="0.25">
      <c r="A643" s="287" t="s">
        <v>200</v>
      </c>
      <c r="B643" s="289">
        <v>97</v>
      </c>
      <c r="C643" s="289">
        <v>78</v>
      </c>
      <c r="D643" s="289">
        <v>61</v>
      </c>
    </row>
    <row r="644" spans="1:4" ht="15.75" customHeight="1" x14ac:dyDescent="0.25">
      <c r="A644" s="310"/>
      <c r="B644" s="311"/>
      <c r="C644" s="311"/>
      <c r="D644" s="311"/>
    </row>
    <row r="645" spans="1:4" s="253" customFormat="1" ht="15.75" customHeight="1" x14ac:dyDescent="0.3">
      <c r="A645" s="319" t="s">
        <v>697</v>
      </c>
    </row>
    <row r="646" spans="1:4" ht="15.75" customHeight="1" x14ac:dyDescent="0.25">
      <c r="A646" s="286"/>
      <c r="B646" s="285" t="s">
        <v>172</v>
      </c>
      <c r="C646" s="285" t="s">
        <v>175</v>
      </c>
      <c r="D646" s="285" t="s">
        <v>176</v>
      </c>
    </row>
    <row r="647" spans="1:4" ht="15.75" customHeight="1" x14ac:dyDescent="0.25">
      <c r="A647" s="485" t="s">
        <v>177</v>
      </c>
      <c r="B647" s="486"/>
      <c r="C647" s="486"/>
      <c r="D647" s="486"/>
    </row>
    <row r="648" spans="1:4" ht="15.75" customHeight="1" x14ac:dyDescent="0.25">
      <c r="A648" s="307" t="s">
        <v>698</v>
      </c>
      <c r="B648" s="290">
        <v>2052</v>
      </c>
      <c r="C648" s="290">
        <v>2213</v>
      </c>
      <c r="D648" s="290">
        <v>2162</v>
      </c>
    </row>
    <row r="649" spans="1:4" ht="15.75" customHeight="1" x14ac:dyDescent="0.25">
      <c r="A649" s="485" t="s">
        <v>181</v>
      </c>
      <c r="B649" s="486"/>
      <c r="C649" s="486"/>
      <c r="D649" s="486"/>
    </row>
    <row r="650" spans="1:4" ht="15.75" customHeight="1" x14ac:dyDescent="0.25">
      <c r="A650" s="307" t="s">
        <v>182</v>
      </c>
      <c r="B650" s="290">
        <v>1700</v>
      </c>
      <c r="C650" s="290">
        <v>1700</v>
      </c>
      <c r="D650" s="290">
        <v>1700</v>
      </c>
    </row>
    <row r="651" spans="1:4" ht="15.75" customHeight="1" x14ac:dyDescent="0.25">
      <c r="A651" s="307" t="s">
        <v>183</v>
      </c>
      <c r="B651" s="290">
        <v>1148</v>
      </c>
      <c r="C651" s="290">
        <v>1148</v>
      </c>
      <c r="D651" s="290">
        <v>1148</v>
      </c>
    </row>
    <row r="652" spans="1:4" ht="15.75" customHeight="1" x14ac:dyDescent="0.25">
      <c r="A652" s="307" t="s">
        <v>184</v>
      </c>
      <c r="B652" s="290">
        <v>52</v>
      </c>
      <c r="C652" s="290">
        <v>52</v>
      </c>
      <c r="D652" s="290">
        <v>52</v>
      </c>
    </row>
    <row r="653" spans="1:4" ht="15.75" customHeight="1" x14ac:dyDescent="0.25">
      <c r="A653" s="307" t="s">
        <v>185</v>
      </c>
      <c r="B653" s="290">
        <v>130</v>
      </c>
      <c r="C653" s="290">
        <v>130</v>
      </c>
      <c r="D653" s="290">
        <v>130</v>
      </c>
    </row>
    <row r="654" spans="1:4" ht="15.75" customHeight="1" x14ac:dyDescent="0.25">
      <c r="A654" s="307" t="s">
        <v>186</v>
      </c>
      <c r="B654" s="290">
        <v>87</v>
      </c>
      <c r="C654" s="290">
        <v>87</v>
      </c>
      <c r="D654" s="290">
        <v>87</v>
      </c>
    </row>
    <row r="655" spans="1:4" ht="15.75" customHeight="1" x14ac:dyDescent="0.25">
      <c r="A655" s="307" t="s">
        <v>187</v>
      </c>
      <c r="B655" s="290">
        <v>199</v>
      </c>
      <c r="C655" s="290">
        <v>199</v>
      </c>
      <c r="D655" s="290">
        <v>199</v>
      </c>
    </row>
    <row r="656" spans="1:4" ht="15.75" customHeight="1" x14ac:dyDescent="0.25">
      <c r="A656" s="307" t="s">
        <v>188</v>
      </c>
      <c r="B656" s="290">
        <v>68</v>
      </c>
      <c r="C656" s="290">
        <v>68</v>
      </c>
      <c r="D656" s="290">
        <v>68</v>
      </c>
    </row>
    <row r="657" spans="1:4" ht="15.75" customHeight="1" x14ac:dyDescent="0.25">
      <c r="A657" s="307" t="s">
        <v>239</v>
      </c>
      <c r="B657" s="290">
        <v>16</v>
      </c>
      <c r="C657" s="290">
        <v>16</v>
      </c>
      <c r="D657" s="290">
        <v>16</v>
      </c>
    </row>
    <row r="658" spans="1:4" ht="15.75" customHeight="1" x14ac:dyDescent="0.25">
      <c r="A658" s="68"/>
    </row>
    <row r="659" spans="1:4" ht="15.75" customHeight="1" x14ac:dyDescent="0.25">
      <c r="A659" s="306" t="s">
        <v>240</v>
      </c>
    </row>
    <row r="660" spans="1:4" ht="15.75" customHeight="1" x14ac:dyDescent="0.25">
      <c r="A660" s="313" t="s">
        <v>190</v>
      </c>
    </row>
    <row r="661" spans="1:4" ht="15.75" customHeight="1" x14ac:dyDescent="0.25">
      <c r="A661" s="285" t="s">
        <v>191</v>
      </c>
      <c r="B661" s="285" t="s">
        <v>202</v>
      </c>
      <c r="C661" s="285" t="s">
        <v>203</v>
      </c>
      <c r="D661" s="285" t="s">
        <v>204</v>
      </c>
    </row>
    <row r="662" spans="1:4" ht="15.75" customHeight="1" x14ac:dyDescent="0.25">
      <c r="A662" s="485" t="s">
        <v>192</v>
      </c>
      <c r="B662" s="486"/>
      <c r="C662" s="486"/>
      <c r="D662" s="486"/>
    </row>
    <row r="663" spans="1:4" ht="15.75" customHeight="1" x14ac:dyDescent="0.25">
      <c r="A663" s="307" t="s">
        <v>193</v>
      </c>
      <c r="B663" s="290">
        <v>253</v>
      </c>
      <c r="C663" s="290">
        <v>212</v>
      </c>
      <c r="D663" s="290">
        <v>179</v>
      </c>
    </row>
    <row r="664" spans="1:4" ht="15.75" customHeight="1" x14ac:dyDescent="0.25">
      <c r="A664" s="307" t="s">
        <v>209</v>
      </c>
      <c r="B664" s="290" t="s">
        <v>218</v>
      </c>
      <c r="C664" s="290" t="s">
        <v>218</v>
      </c>
      <c r="D664" s="290" t="s">
        <v>218</v>
      </c>
    </row>
    <row r="665" spans="1:4" ht="15.75" customHeight="1" x14ac:dyDescent="0.25">
      <c r="A665" s="307" t="s">
        <v>238</v>
      </c>
      <c r="B665" s="290">
        <v>73</v>
      </c>
      <c r="C665" s="290">
        <v>44</v>
      </c>
      <c r="D665" s="290">
        <v>36</v>
      </c>
    </row>
    <row r="666" spans="1:4" ht="15.75" customHeight="1" x14ac:dyDescent="0.25">
      <c r="A666" s="307" t="s">
        <v>195</v>
      </c>
      <c r="B666" s="290">
        <v>47</v>
      </c>
      <c r="C666" s="290">
        <v>47</v>
      </c>
      <c r="D666" s="290">
        <v>43</v>
      </c>
    </row>
    <row r="667" spans="1:4" ht="15.75" customHeight="1" x14ac:dyDescent="0.25">
      <c r="A667" s="307" t="s">
        <v>196</v>
      </c>
      <c r="B667" s="290">
        <v>26</v>
      </c>
      <c r="C667" s="290">
        <v>18</v>
      </c>
      <c r="D667" s="290">
        <v>7</v>
      </c>
    </row>
    <row r="668" spans="1:4" ht="15.75" customHeight="1" x14ac:dyDescent="0.25">
      <c r="A668" s="307" t="s">
        <v>197</v>
      </c>
      <c r="B668" s="290">
        <v>25</v>
      </c>
      <c r="C668" s="290">
        <v>21</v>
      </c>
      <c r="D668" s="290">
        <v>19</v>
      </c>
    </row>
    <row r="669" spans="1:4" ht="15.75" customHeight="1" x14ac:dyDescent="0.25">
      <c r="A669" s="307" t="s">
        <v>226</v>
      </c>
      <c r="B669" s="290">
        <v>77</v>
      </c>
      <c r="C669" s="290">
        <v>77</v>
      </c>
      <c r="D669" s="290">
        <v>69</v>
      </c>
    </row>
    <row r="670" spans="1:4" ht="15.75" customHeight="1" x14ac:dyDescent="0.25">
      <c r="A670" s="307" t="s">
        <v>198</v>
      </c>
      <c r="B670" s="290">
        <v>5</v>
      </c>
      <c r="C670" s="290">
        <v>5</v>
      </c>
      <c r="D670" s="290">
        <v>5</v>
      </c>
    </row>
    <row r="671" spans="1:4" ht="15.75" customHeight="1" x14ac:dyDescent="0.25">
      <c r="A671" s="485" t="s">
        <v>199</v>
      </c>
      <c r="B671" s="486"/>
      <c r="C671" s="486"/>
      <c r="D671" s="486"/>
    </row>
    <row r="672" spans="1:4" ht="15.75" customHeight="1" x14ac:dyDescent="0.25">
      <c r="A672" s="307" t="s">
        <v>200</v>
      </c>
      <c r="B672" s="290">
        <v>113</v>
      </c>
      <c r="C672" s="290">
        <v>95</v>
      </c>
      <c r="D672" s="290">
        <v>80</v>
      </c>
    </row>
    <row r="673" spans="1:4" ht="15.75" customHeight="1" x14ac:dyDescent="0.25">
      <c r="A673" s="68"/>
    </row>
    <row r="674" spans="1:4" ht="15.75" customHeight="1" x14ac:dyDescent="0.25">
      <c r="A674" s="306" t="s">
        <v>240</v>
      </c>
    </row>
    <row r="675" spans="1:4" ht="15.75" customHeight="1" x14ac:dyDescent="0.25">
      <c r="A675" s="313" t="s">
        <v>208</v>
      </c>
    </row>
    <row r="676" spans="1:4" ht="15.75" customHeight="1" x14ac:dyDescent="0.25">
      <c r="A676" s="285" t="s">
        <v>191</v>
      </c>
      <c r="B676" s="285" t="s">
        <v>202</v>
      </c>
      <c r="C676" s="285" t="s">
        <v>203</v>
      </c>
      <c r="D676" s="285" t="s">
        <v>204</v>
      </c>
    </row>
    <row r="677" spans="1:4" ht="15.75" customHeight="1" x14ac:dyDescent="0.25">
      <c r="A677" s="485" t="s">
        <v>192</v>
      </c>
      <c r="B677" s="486"/>
      <c r="C677" s="486"/>
      <c r="D677" s="486"/>
    </row>
    <row r="678" spans="1:4" ht="15.75" customHeight="1" x14ac:dyDescent="0.25">
      <c r="A678" s="307" t="s">
        <v>193</v>
      </c>
      <c r="B678" s="290">
        <v>249</v>
      </c>
      <c r="C678" s="290">
        <v>219</v>
      </c>
      <c r="D678" s="290">
        <v>176</v>
      </c>
    </row>
    <row r="679" spans="1:4" ht="15.75" customHeight="1" x14ac:dyDescent="0.25">
      <c r="A679" s="307" t="s">
        <v>209</v>
      </c>
      <c r="B679" s="290">
        <v>2</v>
      </c>
      <c r="C679" s="290">
        <v>0</v>
      </c>
      <c r="D679" s="290">
        <v>0</v>
      </c>
    </row>
    <row r="680" spans="1:4" ht="15.75" customHeight="1" x14ac:dyDescent="0.25">
      <c r="A680" s="307" t="s">
        <v>238</v>
      </c>
      <c r="B680" s="290">
        <v>49</v>
      </c>
      <c r="C680" s="290">
        <v>36</v>
      </c>
      <c r="D680" s="290">
        <v>25</v>
      </c>
    </row>
    <row r="681" spans="1:4" ht="15.75" customHeight="1" x14ac:dyDescent="0.25">
      <c r="A681" s="307" t="s">
        <v>195</v>
      </c>
      <c r="B681" s="290">
        <v>47</v>
      </c>
      <c r="C681" s="290">
        <v>47</v>
      </c>
      <c r="D681" s="290">
        <v>43</v>
      </c>
    </row>
    <row r="682" spans="1:4" ht="15.75" customHeight="1" x14ac:dyDescent="0.25">
      <c r="A682" s="307" t="s">
        <v>196</v>
      </c>
      <c r="B682" s="290">
        <v>45</v>
      </c>
      <c r="C682" s="290">
        <v>34</v>
      </c>
      <c r="D682" s="290">
        <v>16</v>
      </c>
    </row>
    <row r="683" spans="1:4" ht="15.75" customHeight="1" x14ac:dyDescent="0.25">
      <c r="A683" s="307" t="s">
        <v>197</v>
      </c>
      <c r="B683" s="290">
        <v>25</v>
      </c>
      <c r="C683" s="290">
        <v>21</v>
      </c>
      <c r="D683" s="290">
        <v>19</v>
      </c>
    </row>
    <row r="684" spans="1:4" ht="15.75" customHeight="1" x14ac:dyDescent="0.25">
      <c r="A684" s="307" t="s">
        <v>226</v>
      </c>
      <c r="B684" s="290">
        <v>77</v>
      </c>
      <c r="C684" s="290">
        <v>77</v>
      </c>
      <c r="D684" s="290">
        <v>69</v>
      </c>
    </row>
    <row r="685" spans="1:4" ht="15.75" customHeight="1" x14ac:dyDescent="0.25">
      <c r="A685" s="307" t="s">
        <v>198</v>
      </c>
      <c r="B685" s="290">
        <v>4</v>
      </c>
      <c r="C685" s="290">
        <v>4</v>
      </c>
      <c r="D685" s="290">
        <v>4</v>
      </c>
    </row>
    <row r="686" spans="1:4" ht="15.75" customHeight="1" x14ac:dyDescent="0.25">
      <c r="A686" s="485" t="s">
        <v>199</v>
      </c>
      <c r="B686" s="486"/>
      <c r="C686" s="486"/>
      <c r="D686" s="486"/>
    </row>
    <row r="687" spans="1:4" ht="15.75" customHeight="1" x14ac:dyDescent="0.25">
      <c r="A687" s="307" t="s">
        <v>200</v>
      </c>
      <c r="B687" s="290">
        <v>91</v>
      </c>
      <c r="C687" s="290">
        <v>80</v>
      </c>
      <c r="D687" s="290">
        <v>64</v>
      </c>
    </row>
    <row r="688" spans="1:4" ht="15.75" customHeight="1" x14ac:dyDescent="0.25">
      <c r="A688" s="310"/>
      <c r="B688" s="311"/>
      <c r="C688" s="311"/>
      <c r="D688" s="311"/>
    </row>
    <row r="689" spans="1:4" ht="15.75" customHeight="1" x14ac:dyDescent="0.25">
      <c r="A689" s="306" t="s">
        <v>240</v>
      </c>
      <c r="B689" s="311"/>
      <c r="C689" s="311"/>
      <c r="D689" s="311"/>
    </row>
    <row r="690" spans="1:4" ht="15.75" customHeight="1" x14ac:dyDescent="0.25">
      <c r="A690" s="314" t="s">
        <v>215</v>
      </c>
    </row>
    <row r="691" spans="1:4" ht="15.75" customHeight="1" x14ac:dyDescent="0.25">
      <c r="A691" s="285"/>
      <c r="B691" s="285" t="s">
        <v>172</v>
      </c>
      <c r="C691" s="285" t="s">
        <v>175</v>
      </c>
      <c r="D691" s="285" t="s">
        <v>176</v>
      </c>
    </row>
    <row r="692" spans="1:4" ht="15.75" customHeight="1" x14ac:dyDescent="0.25">
      <c r="A692" s="487" t="s">
        <v>192</v>
      </c>
      <c r="B692" s="486"/>
      <c r="C692" s="486"/>
      <c r="D692" s="486"/>
    </row>
    <row r="693" spans="1:4" ht="15.75" customHeight="1" x14ac:dyDescent="0.25">
      <c r="A693" s="287" t="s">
        <v>193</v>
      </c>
      <c r="B693" s="288">
        <v>266</v>
      </c>
      <c r="C693" s="288">
        <v>232</v>
      </c>
      <c r="D693" s="288">
        <v>182</v>
      </c>
    </row>
    <row r="694" spans="1:4" ht="15.75" customHeight="1" x14ac:dyDescent="0.25">
      <c r="A694" s="287" t="s">
        <v>209</v>
      </c>
      <c r="B694" s="290">
        <v>10</v>
      </c>
      <c r="C694" s="290">
        <v>6</v>
      </c>
      <c r="D694" s="290">
        <v>4</v>
      </c>
    </row>
    <row r="695" spans="1:4" ht="15.75" customHeight="1" x14ac:dyDescent="0.25">
      <c r="A695" s="287" t="s">
        <v>238</v>
      </c>
      <c r="B695" s="290">
        <v>47</v>
      </c>
      <c r="C695" s="290">
        <v>34</v>
      </c>
      <c r="D695" s="290">
        <v>23</v>
      </c>
    </row>
    <row r="696" spans="1:4" ht="15.75" customHeight="1" x14ac:dyDescent="0.25">
      <c r="A696" s="287" t="s">
        <v>195</v>
      </c>
      <c r="B696" s="290">
        <v>47</v>
      </c>
      <c r="C696" s="290">
        <v>47</v>
      </c>
      <c r="D696" s="290">
        <v>43</v>
      </c>
    </row>
    <row r="697" spans="1:4" ht="15.75" customHeight="1" x14ac:dyDescent="0.25">
      <c r="A697" s="287" t="s">
        <v>196</v>
      </c>
      <c r="B697" s="290">
        <v>55</v>
      </c>
      <c r="C697" s="290">
        <v>42</v>
      </c>
      <c r="D697" s="290">
        <v>20</v>
      </c>
    </row>
    <row r="698" spans="1:4" ht="15.75" customHeight="1" x14ac:dyDescent="0.25">
      <c r="A698" s="287" t="s">
        <v>197</v>
      </c>
      <c r="B698" s="290">
        <v>25</v>
      </c>
      <c r="C698" s="290">
        <v>21</v>
      </c>
      <c r="D698" s="290">
        <v>19</v>
      </c>
    </row>
    <row r="699" spans="1:4" ht="15.75" customHeight="1" x14ac:dyDescent="0.25">
      <c r="A699" s="287" t="s">
        <v>226</v>
      </c>
      <c r="B699" s="290">
        <v>77</v>
      </c>
      <c r="C699" s="290">
        <v>77</v>
      </c>
      <c r="D699" s="290">
        <v>69</v>
      </c>
    </row>
    <row r="700" spans="1:4" ht="15.75" customHeight="1" x14ac:dyDescent="0.25">
      <c r="A700" s="287" t="s">
        <v>198</v>
      </c>
      <c r="B700" s="290">
        <v>5</v>
      </c>
      <c r="C700" s="290">
        <v>5</v>
      </c>
      <c r="D700" s="290">
        <v>4</v>
      </c>
    </row>
    <row r="701" spans="1:4" ht="15.75" customHeight="1" x14ac:dyDescent="0.25">
      <c r="A701" s="487" t="s">
        <v>199</v>
      </c>
      <c r="B701" s="486"/>
      <c r="C701" s="486"/>
      <c r="D701" s="486"/>
    </row>
    <row r="702" spans="1:4" ht="15.75" customHeight="1" x14ac:dyDescent="0.25">
      <c r="A702" s="287" t="s">
        <v>200</v>
      </c>
      <c r="B702" s="289">
        <v>219</v>
      </c>
      <c r="C702" s="289">
        <v>191</v>
      </c>
      <c r="D702" s="289">
        <v>150</v>
      </c>
    </row>
    <row r="703" spans="1:4" ht="15.75" customHeight="1" x14ac:dyDescent="0.25">
      <c r="A703" s="310"/>
      <c r="B703" s="311"/>
      <c r="C703" s="311"/>
      <c r="D703" s="311"/>
    </row>
    <row r="704" spans="1:4" s="253" customFormat="1" ht="15.75" customHeight="1" x14ac:dyDescent="0.3">
      <c r="A704" s="319" t="s">
        <v>699</v>
      </c>
    </row>
    <row r="705" spans="1:4" ht="15.75" customHeight="1" x14ac:dyDescent="0.25">
      <c r="A705" s="286"/>
      <c r="B705" s="285" t="s">
        <v>172</v>
      </c>
      <c r="C705" s="285" t="s">
        <v>175</v>
      </c>
      <c r="D705" s="285" t="s">
        <v>176</v>
      </c>
    </row>
    <row r="706" spans="1:4" ht="15.75" customHeight="1" x14ac:dyDescent="0.25">
      <c r="A706" s="485" t="s">
        <v>177</v>
      </c>
      <c r="B706" s="486"/>
      <c r="C706" s="486"/>
      <c r="D706" s="486"/>
    </row>
    <row r="707" spans="1:4" ht="15.75" customHeight="1" x14ac:dyDescent="0.25">
      <c r="A707" s="307" t="s">
        <v>689</v>
      </c>
      <c r="B707" s="290" t="s">
        <v>241</v>
      </c>
      <c r="C707" s="290" t="s">
        <v>242</v>
      </c>
      <c r="D707" s="290" t="s">
        <v>243</v>
      </c>
    </row>
    <row r="708" spans="1:4" ht="15.75" customHeight="1" x14ac:dyDescent="0.25">
      <c r="A708" s="485" t="s">
        <v>181</v>
      </c>
      <c r="B708" s="486"/>
      <c r="C708" s="486"/>
      <c r="D708" s="486"/>
    </row>
    <row r="709" spans="1:4" ht="15.75" customHeight="1" x14ac:dyDescent="0.25">
      <c r="A709" s="307" t="s">
        <v>182</v>
      </c>
      <c r="B709" s="290">
        <v>1852</v>
      </c>
      <c r="C709" s="290">
        <v>1852</v>
      </c>
      <c r="D709" s="290">
        <v>1852</v>
      </c>
    </row>
    <row r="710" spans="1:4" ht="15.75" customHeight="1" x14ac:dyDescent="0.25">
      <c r="A710" s="307" t="s">
        <v>183</v>
      </c>
      <c r="B710" s="290">
        <v>1148</v>
      </c>
      <c r="C710" s="290">
        <v>1148</v>
      </c>
      <c r="D710" s="290">
        <v>1148</v>
      </c>
    </row>
    <row r="711" spans="1:4" ht="15.75" customHeight="1" x14ac:dyDescent="0.25">
      <c r="A711" s="307" t="s">
        <v>184</v>
      </c>
      <c r="B711" s="290">
        <v>230</v>
      </c>
      <c r="C711" s="290">
        <v>230</v>
      </c>
      <c r="D711" s="290">
        <v>230</v>
      </c>
    </row>
    <row r="712" spans="1:4" ht="15.75" customHeight="1" x14ac:dyDescent="0.25">
      <c r="A712" s="307" t="s">
        <v>185</v>
      </c>
      <c r="B712" s="290">
        <v>73</v>
      </c>
      <c r="C712" s="290">
        <v>73</v>
      </c>
      <c r="D712" s="290">
        <v>73</v>
      </c>
    </row>
    <row r="713" spans="1:4" ht="15.75" customHeight="1" x14ac:dyDescent="0.25">
      <c r="A713" s="307" t="s">
        <v>186</v>
      </c>
      <c r="B713" s="290">
        <v>37</v>
      </c>
      <c r="C713" s="290">
        <v>37</v>
      </c>
      <c r="D713" s="290">
        <v>37</v>
      </c>
    </row>
    <row r="714" spans="1:4" ht="15.75" customHeight="1" x14ac:dyDescent="0.25">
      <c r="A714" s="307" t="s">
        <v>187</v>
      </c>
      <c r="B714" s="290">
        <v>199</v>
      </c>
      <c r="C714" s="290">
        <v>199</v>
      </c>
      <c r="D714" s="290">
        <v>199</v>
      </c>
    </row>
    <row r="715" spans="1:4" ht="15.75" customHeight="1" x14ac:dyDescent="0.25">
      <c r="A715" s="307" t="s">
        <v>188</v>
      </c>
      <c r="B715" s="290">
        <v>165</v>
      </c>
      <c r="C715" s="290">
        <v>165</v>
      </c>
      <c r="D715" s="290">
        <v>165</v>
      </c>
    </row>
    <row r="716" spans="1:4" ht="15.75" customHeight="1" x14ac:dyDescent="0.25">
      <c r="A716" s="307" t="s">
        <v>239</v>
      </c>
      <c r="B716" s="290" t="s">
        <v>164</v>
      </c>
      <c r="C716" s="290" t="s">
        <v>164</v>
      </c>
      <c r="D716" s="290" t="s">
        <v>164</v>
      </c>
    </row>
    <row r="717" spans="1:4" ht="15.75" customHeight="1" x14ac:dyDescent="0.25">
      <c r="A717" s="68"/>
    </row>
    <row r="718" spans="1:4" ht="15.75" customHeight="1" x14ac:dyDescent="0.25">
      <c r="A718" s="306" t="s">
        <v>244</v>
      </c>
    </row>
    <row r="719" spans="1:4" ht="15.75" customHeight="1" x14ac:dyDescent="0.25">
      <c r="A719" s="313" t="s">
        <v>190</v>
      </c>
    </row>
    <row r="720" spans="1:4" ht="15.75" customHeight="1" x14ac:dyDescent="0.25">
      <c r="A720" s="285" t="s">
        <v>191</v>
      </c>
      <c r="B720" s="285" t="s">
        <v>202</v>
      </c>
      <c r="C720" s="285" t="s">
        <v>203</v>
      </c>
      <c r="D720" s="285" t="s">
        <v>204</v>
      </c>
    </row>
    <row r="721" spans="1:4" ht="15.75" customHeight="1" x14ac:dyDescent="0.25">
      <c r="A721" s="485" t="s">
        <v>192</v>
      </c>
      <c r="B721" s="486"/>
      <c r="C721" s="486"/>
      <c r="D721" s="486"/>
    </row>
    <row r="722" spans="1:4" ht="15.75" customHeight="1" x14ac:dyDescent="0.25">
      <c r="A722" s="307" t="s">
        <v>193</v>
      </c>
      <c r="B722" s="290">
        <v>217</v>
      </c>
      <c r="C722" s="290">
        <v>168</v>
      </c>
      <c r="D722" s="290">
        <v>129</v>
      </c>
    </row>
    <row r="723" spans="1:4" ht="15.75" customHeight="1" x14ac:dyDescent="0.25">
      <c r="A723" s="307" t="s">
        <v>209</v>
      </c>
      <c r="B723" s="290" t="s">
        <v>218</v>
      </c>
      <c r="C723" s="290" t="s">
        <v>218</v>
      </c>
      <c r="D723" s="290" t="s">
        <v>218</v>
      </c>
    </row>
    <row r="724" spans="1:4" ht="15.75" customHeight="1" x14ac:dyDescent="0.25">
      <c r="A724" s="307" t="s">
        <v>238</v>
      </c>
      <c r="B724" s="290">
        <v>48</v>
      </c>
      <c r="C724" s="290">
        <v>34</v>
      </c>
      <c r="D724" s="290">
        <v>25</v>
      </c>
    </row>
    <row r="725" spans="1:4" ht="15.75" customHeight="1" x14ac:dyDescent="0.25">
      <c r="A725" s="307" t="s">
        <v>196</v>
      </c>
      <c r="B725" s="290">
        <v>14</v>
      </c>
      <c r="C725" s="290">
        <v>14</v>
      </c>
      <c r="D725" s="290">
        <v>8</v>
      </c>
    </row>
    <row r="726" spans="1:4" ht="15.75" customHeight="1" x14ac:dyDescent="0.25">
      <c r="A726" s="307" t="s">
        <v>197</v>
      </c>
      <c r="B726" s="290">
        <v>62</v>
      </c>
      <c r="C726" s="290">
        <v>26</v>
      </c>
      <c r="D726" s="290">
        <v>21</v>
      </c>
    </row>
    <row r="727" spans="1:4" ht="15.75" customHeight="1" x14ac:dyDescent="0.25">
      <c r="A727" s="307" t="s">
        <v>245</v>
      </c>
      <c r="B727" s="290">
        <v>11</v>
      </c>
      <c r="C727" s="290">
        <v>12</v>
      </c>
      <c r="D727" s="290">
        <v>9</v>
      </c>
    </row>
    <row r="728" spans="1:4" ht="15.75" customHeight="1" x14ac:dyDescent="0.25">
      <c r="A728" s="307" t="s">
        <v>226</v>
      </c>
      <c r="B728" s="290">
        <v>45</v>
      </c>
      <c r="C728" s="290">
        <v>45</v>
      </c>
      <c r="D728" s="290">
        <v>36</v>
      </c>
    </row>
    <row r="729" spans="1:4" ht="15.75" customHeight="1" x14ac:dyDescent="0.25">
      <c r="A729" s="307" t="s">
        <v>198</v>
      </c>
      <c r="B729" s="290">
        <v>37</v>
      </c>
      <c r="C729" s="290">
        <v>37</v>
      </c>
      <c r="D729" s="290">
        <v>30</v>
      </c>
    </row>
    <row r="730" spans="1:4" ht="15.75" customHeight="1" x14ac:dyDescent="0.25">
      <c r="A730" s="485" t="s">
        <v>199</v>
      </c>
      <c r="B730" s="486"/>
      <c r="C730" s="486"/>
      <c r="D730" s="486"/>
    </row>
    <row r="731" spans="1:4" ht="15.75" customHeight="1" x14ac:dyDescent="0.25">
      <c r="A731" s="307" t="s">
        <v>200</v>
      </c>
      <c r="B731" s="290">
        <v>94</v>
      </c>
      <c r="C731" s="290">
        <v>75</v>
      </c>
      <c r="D731" s="290">
        <v>57</v>
      </c>
    </row>
    <row r="732" spans="1:4" ht="15.75" customHeight="1" x14ac:dyDescent="0.25">
      <c r="A732" s="68"/>
    </row>
    <row r="733" spans="1:4" ht="15.75" customHeight="1" x14ac:dyDescent="0.25">
      <c r="A733" s="306" t="s">
        <v>244</v>
      </c>
    </row>
    <row r="734" spans="1:4" ht="15.75" customHeight="1" x14ac:dyDescent="0.25">
      <c r="A734" s="313" t="s">
        <v>208</v>
      </c>
    </row>
    <row r="735" spans="1:4" ht="15.75" customHeight="1" x14ac:dyDescent="0.25">
      <c r="A735" s="285" t="s">
        <v>191</v>
      </c>
      <c r="B735" s="285" t="s">
        <v>202</v>
      </c>
      <c r="C735" s="285" t="s">
        <v>203</v>
      </c>
      <c r="D735" s="285" t="s">
        <v>204</v>
      </c>
    </row>
    <row r="736" spans="1:4" ht="15.75" customHeight="1" x14ac:dyDescent="0.25">
      <c r="A736" s="485" t="s">
        <v>192</v>
      </c>
      <c r="B736" s="486"/>
      <c r="C736" s="486"/>
      <c r="D736" s="486"/>
    </row>
    <row r="737" spans="1:4" ht="15.75" customHeight="1" x14ac:dyDescent="0.25">
      <c r="A737" s="307" t="s">
        <v>193</v>
      </c>
      <c r="B737" s="290">
        <v>241</v>
      </c>
      <c r="C737" s="290">
        <v>181</v>
      </c>
      <c r="D737" s="290">
        <v>137</v>
      </c>
    </row>
    <row r="738" spans="1:4" ht="15.75" customHeight="1" x14ac:dyDescent="0.25">
      <c r="A738" s="307" t="s">
        <v>209</v>
      </c>
      <c r="B738" s="290">
        <v>26</v>
      </c>
      <c r="C738" s="290">
        <v>11</v>
      </c>
      <c r="D738" s="290">
        <v>10</v>
      </c>
    </row>
    <row r="739" spans="1:4" ht="15.75" customHeight="1" x14ac:dyDescent="0.25">
      <c r="A739" s="307" t="s">
        <v>238</v>
      </c>
      <c r="B739" s="290">
        <v>31</v>
      </c>
      <c r="C739" s="290">
        <v>22</v>
      </c>
      <c r="D739" s="290">
        <v>14</v>
      </c>
    </row>
    <row r="740" spans="1:4" ht="15.75" customHeight="1" x14ac:dyDescent="0.25">
      <c r="A740" s="307" t="s">
        <v>196</v>
      </c>
      <c r="B740" s="290">
        <v>29</v>
      </c>
      <c r="C740" s="290">
        <v>29</v>
      </c>
      <c r="D740" s="290">
        <v>16</v>
      </c>
    </row>
    <row r="741" spans="1:4" ht="15.75" customHeight="1" x14ac:dyDescent="0.25">
      <c r="A741" s="307" t="s">
        <v>197</v>
      </c>
      <c r="B741" s="290">
        <v>62</v>
      </c>
      <c r="C741" s="290">
        <v>26</v>
      </c>
      <c r="D741" s="290">
        <v>21</v>
      </c>
    </row>
    <row r="742" spans="1:4" ht="15.75" customHeight="1" x14ac:dyDescent="0.25">
      <c r="A742" s="307" t="s">
        <v>245</v>
      </c>
      <c r="B742" s="290">
        <v>11</v>
      </c>
      <c r="C742" s="290">
        <v>11</v>
      </c>
      <c r="D742" s="290">
        <v>10</v>
      </c>
    </row>
    <row r="743" spans="1:4" ht="15.75" customHeight="1" x14ac:dyDescent="0.25">
      <c r="A743" s="307" t="s">
        <v>226</v>
      </c>
      <c r="B743" s="290">
        <v>45</v>
      </c>
      <c r="C743" s="290">
        <v>45</v>
      </c>
      <c r="D743" s="290">
        <v>36</v>
      </c>
    </row>
    <row r="744" spans="1:4" ht="15.75" customHeight="1" x14ac:dyDescent="0.25">
      <c r="A744" s="307" t="s">
        <v>198</v>
      </c>
      <c r="B744" s="290">
        <v>37</v>
      </c>
      <c r="C744" s="290">
        <v>37</v>
      </c>
      <c r="D744" s="290">
        <v>30</v>
      </c>
    </row>
    <row r="745" spans="1:4" ht="15.75" customHeight="1" x14ac:dyDescent="0.25">
      <c r="A745" s="485" t="s">
        <v>199</v>
      </c>
      <c r="B745" s="486"/>
      <c r="C745" s="486"/>
      <c r="D745" s="486"/>
    </row>
    <row r="746" spans="1:4" ht="15.75" customHeight="1" x14ac:dyDescent="0.25">
      <c r="A746" s="307" t="s">
        <v>200</v>
      </c>
      <c r="B746" s="290">
        <v>88</v>
      </c>
      <c r="C746" s="290">
        <v>66</v>
      </c>
      <c r="D746" s="290">
        <v>50</v>
      </c>
    </row>
    <row r="747" spans="1:4" ht="15.75" customHeight="1" x14ac:dyDescent="0.25"/>
    <row r="748" spans="1:4" ht="15.75" customHeight="1" x14ac:dyDescent="0.25">
      <c r="A748" s="306" t="s">
        <v>244</v>
      </c>
    </row>
    <row r="749" spans="1:4" ht="15.75" customHeight="1" x14ac:dyDescent="0.25">
      <c r="A749" s="314" t="s">
        <v>215</v>
      </c>
    </row>
    <row r="750" spans="1:4" ht="15.75" customHeight="1" x14ac:dyDescent="0.25">
      <c r="A750" s="285"/>
      <c r="B750" s="285" t="s">
        <v>172</v>
      </c>
      <c r="C750" s="285" t="s">
        <v>175</v>
      </c>
      <c r="D750" s="285" t="s">
        <v>176</v>
      </c>
    </row>
    <row r="751" spans="1:4" ht="15.75" customHeight="1" x14ac:dyDescent="0.25">
      <c r="A751" s="487" t="s">
        <v>192</v>
      </c>
      <c r="B751" s="486"/>
      <c r="C751" s="486"/>
      <c r="D751" s="486"/>
    </row>
    <row r="752" spans="1:4" ht="15.75" customHeight="1" x14ac:dyDescent="0.25">
      <c r="A752" s="287" t="s">
        <v>193</v>
      </c>
      <c r="B752" s="288">
        <v>228</v>
      </c>
      <c r="C752" s="288">
        <v>186</v>
      </c>
      <c r="D752" s="288">
        <v>139</v>
      </c>
    </row>
    <row r="753" spans="1:4" ht="15.75" customHeight="1" x14ac:dyDescent="0.25">
      <c r="A753" s="287" t="s">
        <v>209</v>
      </c>
      <c r="B753" s="290">
        <v>2</v>
      </c>
      <c r="C753" s="290">
        <v>4</v>
      </c>
      <c r="D753" s="290">
        <v>4</v>
      </c>
    </row>
    <row r="754" spans="1:4" ht="15.75" customHeight="1" x14ac:dyDescent="0.25">
      <c r="A754" s="287" t="s">
        <v>238</v>
      </c>
      <c r="B754" s="290">
        <v>34</v>
      </c>
      <c r="C754" s="290">
        <v>26</v>
      </c>
      <c r="D754" s="290">
        <v>18</v>
      </c>
    </row>
    <row r="755" spans="1:4" ht="15.75" customHeight="1" x14ac:dyDescent="0.25">
      <c r="A755" s="287" t="s">
        <v>196</v>
      </c>
      <c r="B755" s="290">
        <v>37</v>
      </c>
      <c r="C755" s="290">
        <v>37</v>
      </c>
      <c r="D755" s="290">
        <v>21</v>
      </c>
    </row>
    <row r="756" spans="1:4" ht="15.75" customHeight="1" x14ac:dyDescent="0.25">
      <c r="A756" s="287" t="s">
        <v>197</v>
      </c>
      <c r="B756" s="290">
        <v>62</v>
      </c>
      <c r="C756" s="290">
        <v>26</v>
      </c>
      <c r="D756" s="290">
        <v>21</v>
      </c>
    </row>
    <row r="757" spans="1:4" ht="15.75" customHeight="1" x14ac:dyDescent="0.25">
      <c r="A757" s="287" t="s">
        <v>245</v>
      </c>
      <c r="B757" s="290">
        <v>11</v>
      </c>
      <c r="C757" s="290">
        <v>11</v>
      </c>
      <c r="D757" s="290">
        <v>9</v>
      </c>
    </row>
    <row r="758" spans="1:4" ht="15.75" customHeight="1" x14ac:dyDescent="0.25">
      <c r="A758" s="287" t="s">
        <v>226</v>
      </c>
      <c r="B758" s="290">
        <v>45</v>
      </c>
      <c r="C758" s="290">
        <v>45</v>
      </c>
      <c r="D758" s="290">
        <v>36</v>
      </c>
    </row>
    <row r="759" spans="1:4" ht="15.75" customHeight="1" x14ac:dyDescent="0.25">
      <c r="A759" s="287" t="s">
        <v>198</v>
      </c>
      <c r="B759" s="290">
        <v>37</v>
      </c>
      <c r="C759" s="290">
        <v>37</v>
      </c>
      <c r="D759" s="290">
        <v>30</v>
      </c>
    </row>
    <row r="760" spans="1:4" ht="15.75" customHeight="1" x14ac:dyDescent="0.25">
      <c r="A760" s="487" t="s">
        <v>199</v>
      </c>
      <c r="B760" s="486"/>
      <c r="C760" s="486"/>
      <c r="D760" s="486"/>
    </row>
    <row r="761" spans="1:4" ht="15.75" customHeight="1" x14ac:dyDescent="0.25">
      <c r="A761" s="287" t="s">
        <v>200</v>
      </c>
      <c r="B761" s="289">
        <v>188</v>
      </c>
      <c r="C761" s="289">
        <v>153</v>
      </c>
      <c r="D761" s="289">
        <v>114</v>
      </c>
    </row>
  </sheetData>
  <mergeCells count="111">
    <mergeCell ref="A13:A15"/>
    <mergeCell ref="A16:A18"/>
    <mergeCell ref="A19:A21"/>
    <mergeCell ref="A22:A24"/>
    <mergeCell ref="A25:A27"/>
    <mergeCell ref="A28:A30"/>
    <mergeCell ref="A31:A33"/>
    <mergeCell ref="A40:D40"/>
    <mergeCell ref="A43:D43"/>
    <mergeCell ref="A55:D55"/>
    <mergeCell ref="A62:D62"/>
    <mergeCell ref="A68:D68"/>
    <mergeCell ref="A75:D75"/>
    <mergeCell ref="A81:D81"/>
    <mergeCell ref="A88:D88"/>
    <mergeCell ref="A94:D94"/>
    <mergeCell ref="A102:D102"/>
    <mergeCell ref="A108:D108"/>
    <mergeCell ref="A116:D116"/>
    <mergeCell ref="A122:D122"/>
    <mergeCell ref="A130:D130"/>
    <mergeCell ref="A136:D136"/>
    <mergeCell ref="A144:D144"/>
    <mergeCell ref="A150:D150"/>
    <mergeCell ref="A152:D152"/>
    <mergeCell ref="A165:D165"/>
    <mergeCell ref="A172:D172"/>
    <mergeCell ref="A178:D178"/>
    <mergeCell ref="A185:D185"/>
    <mergeCell ref="A191:D191"/>
    <mergeCell ref="A198:D198"/>
    <mergeCell ref="A204:D204"/>
    <mergeCell ref="A211:D211"/>
    <mergeCell ref="A217:D217"/>
    <mergeCell ref="A224:D224"/>
    <mergeCell ref="A229:D229"/>
    <mergeCell ref="A231:D231"/>
    <mergeCell ref="A242:D242"/>
    <mergeCell ref="A411:D411"/>
    <mergeCell ref="A417:D417"/>
    <mergeCell ref="A250:D250"/>
    <mergeCell ref="A256:D256"/>
    <mergeCell ref="A264:D264"/>
    <mergeCell ref="A270:D270"/>
    <mergeCell ref="A278:D278"/>
    <mergeCell ref="A284:D284"/>
    <mergeCell ref="A365:D365"/>
    <mergeCell ref="A372:D372"/>
    <mergeCell ref="A292:D292"/>
    <mergeCell ref="A298:D298"/>
    <mergeCell ref="A306:D306"/>
    <mergeCell ref="A312:D312"/>
    <mergeCell ref="A320:D320"/>
    <mergeCell ref="A326:D326"/>
    <mergeCell ref="A334:D334"/>
    <mergeCell ref="A381:D381"/>
    <mergeCell ref="A387:D387"/>
    <mergeCell ref="A340:D340"/>
    <mergeCell ref="A343:D343"/>
    <mergeCell ref="A356:D356"/>
    <mergeCell ref="A476:D476"/>
    <mergeCell ref="A484:D484"/>
    <mergeCell ref="A490:D490"/>
    <mergeCell ref="A498:D498"/>
    <mergeCell ref="A504:D504"/>
    <mergeCell ref="A512:D512"/>
    <mergeCell ref="A518:D518"/>
    <mergeCell ref="A526:D526"/>
    <mergeCell ref="A532:D532"/>
    <mergeCell ref="A540:D540"/>
    <mergeCell ref="A546:D546"/>
    <mergeCell ref="A554:D554"/>
    <mergeCell ref="A560:D560"/>
    <mergeCell ref="A568:D568"/>
    <mergeCell ref="A573:D573"/>
    <mergeCell ref="A575:D575"/>
    <mergeCell ref="A588:D588"/>
    <mergeCell ref="A594:D594"/>
    <mergeCell ref="A600:D600"/>
    <mergeCell ref="A606:D606"/>
    <mergeCell ref="A612:D612"/>
    <mergeCell ref="A618:D618"/>
    <mergeCell ref="A624:D624"/>
    <mergeCell ref="A630:D630"/>
    <mergeCell ref="A636:D636"/>
    <mergeCell ref="A642:D642"/>
    <mergeCell ref="A647:D647"/>
    <mergeCell ref="A649:D649"/>
    <mergeCell ref="A662:D662"/>
    <mergeCell ref="A671:D671"/>
    <mergeCell ref="A677:D677"/>
    <mergeCell ref="A730:D730"/>
    <mergeCell ref="A736:D736"/>
    <mergeCell ref="A745:D745"/>
    <mergeCell ref="A751:D751"/>
    <mergeCell ref="A760:D760"/>
    <mergeCell ref="A686:D686"/>
    <mergeCell ref="A692:D692"/>
    <mergeCell ref="A701:D701"/>
    <mergeCell ref="A706:D706"/>
    <mergeCell ref="A708:D708"/>
    <mergeCell ref="A721:D721"/>
    <mergeCell ref="A463:D463"/>
    <mergeCell ref="A396:D396"/>
    <mergeCell ref="A402:D402"/>
    <mergeCell ref="A426:D426"/>
    <mergeCell ref="A432:D432"/>
    <mergeCell ref="A441:D441"/>
    <mergeCell ref="A447:D447"/>
    <mergeCell ref="A456:D456"/>
    <mergeCell ref="A461:D461"/>
  </mergeCells>
  <pageMargins left="0.7" right="0.7" top="0.75" bottom="0.75" header="0" footer="0"/>
  <pageSetup paperSize="9" orientation="portrai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74"/>
  <sheetViews>
    <sheetView workbookViewId="0">
      <pane xSplit="1" ySplit="2" topLeftCell="B45" activePane="bottomRight" state="frozen"/>
      <selection pane="topRight" activeCell="B1" sqref="B1"/>
      <selection pane="bottomLeft" activeCell="A3" sqref="A3"/>
      <selection pane="bottomRight" activeCell="J15" sqref="J15"/>
    </sheetView>
  </sheetViews>
  <sheetFormatPr baseColWidth="10" defaultColWidth="11" defaultRowHeight="14" x14ac:dyDescent="0.3"/>
  <cols>
    <col min="1" max="1" width="31" customWidth="1"/>
    <col min="2" max="2" width="17.08203125" customWidth="1"/>
    <col min="3" max="3" width="17.08203125" bestFit="1" customWidth="1"/>
    <col min="4" max="4" width="12.33203125" customWidth="1"/>
    <col min="5" max="5" width="15.58203125" customWidth="1"/>
    <col min="6" max="7" width="12.83203125" customWidth="1"/>
    <col min="8" max="8" width="14.83203125" style="127" customWidth="1"/>
    <col min="9" max="9" width="12.08203125" customWidth="1"/>
    <col min="10" max="10" width="15.5" customWidth="1"/>
    <col min="11" max="12" width="12.08203125" customWidth="1"/>
    <col min="13" max="13" width="14.08203125" customWidth="1"/>
    <col min="14" max="14" width="12.33203125" customWidth="1"/>
    <col min="15" max="15" width="13.58203125" bestFit="1" customWidth="1"/>
    <col min="16" max="16" width="15" bestFit="1" customWidth="1"/>
    <col min="17" max="17" width="13.83203125" customWidth="1"/>
    <col min="18" max="18" width="16" customWidth="1"/>
    <col min="19" max="19" width="12" customWidth="1"/>
    <col min="20" max="20" width="13.58203125" bestFit="1" customWidth="1"/>
    <col min="21" max="21" width="14.58203125" customWidth="1"/>
    <col min="22" max="22" width="14.08203125" hidden="1" customWidth="1"/>
    <col min="23" max="23" width="16" hidden="1" customWidth="1"/>
    <col min="24" max="24" width="12" customWidth="1"/>
    <col min="25" max="25" width="13.58203125" bestFit="1" customWidth="1"/>
    <col min="26" max="26" width="14.58203125" customWidth="1"/>
    <col min="27" max="28" width="12.08203125" customWidth="1"/>
    <col min="29" max="29" width="16.08203125" style="147" customWidth="1"/>
    <col min="30" max="30" width="15.08203125" customWidth="1"/>
    <col min="31" max="31" width="15" customWidth="1"/>
    <col min="32" max="33" width="12.08203125" customWidth="1"/>
    <col min="34" max="34" width="16.08203125" style="147" customWidth="1"/>
    <col min="35" max="16384" width="11" style="151"/>
  </cols>
  <sheetData>
    <row r="1" spans="1:34" s="149" customFormat="1" ht="43" customHeight="1" x14ac:dyDescent="0.3">
      <c r="A1" s="126" t="s">
        <v>542</v>
      </c>
      <c r="B1" s="498" t="s">
        <v>546</v>
      </c>
      <c r="C1" s="498"/>
      <c r="D1" s="495" t="s">
        <v>55</v>
      </c>
      <c r="E1" s="496"/>
      <c r="F1" s="495" t="s">
        <v>51</v>
      </c>
      <c r="G1" s="497"/>
      <c r="H1" s="496"/>
      <c r="I1" s="495" t="s">
        <v>763</v>
      </c>
      <c r="J1" s="496"/>
      <c r="K1" s="495" t="s">
        <v>46</v>
      </c>
      <c r="L1" s="497"/>
      <c r="M1" s="496"/>
      <c r="N1" s="495" t="s">
        <v>53</v>
      </c>
      <c r="O1" s="497"/>
      <c r="P1" s="496"/>
      <c r="Q1" s="495" t="s">
        <v>52</v>
      </c>
      <c r="R1" s="496"/>
      <c r="S1" s="495" t="s">
        <v>48</v>
      </c>
      <c r="T1" s="497"/>
      <c r="U1" s="496"/>
      <c r="V1" s="495" t="s">
        <v>566</v>
      </c>
      <c r="W1" s="496"/>
      <c r="X1" s="495" t="s">
        <v>657</v>
      </c>
      <c r="Y1" s="497"/>
      <c r="Z1" s="496"/>
      <c r="AA1" s="495" t="s">
        <v>648</v>
      </c>
      <c r="AB1" s="497"/>
      <c r="AC1" s="496"/>
      <c r="AD1" s="495" t="s">
        <v>54</v>
      </c>
      <c r="AE1" s="496"/>
      <c r="AF1" s="495" t="s">
        <v>50</v>
      </c>
      <c r="AG1" s="497"/>
      <c r="AH1" s="496"/>
    </row>
    <row r="2" spans="1:34" s="150" customFormat="1" ht="31" x14ac:dyDescent="0.3">
      <c r="A2" s="128" t="s">
        <v>545</v>
      </c>
      <c r="B2" s="128" t="s">
        <v>543</v>
      </c>
      <c r="C2" s="128" t="s">
        <v>544</v>
      </c>
      <c r="D2" s="133" t="s">
        <v>576</v>
      </c>
      <c r="E2" s="134" t="s">
        <v>547</v>
      </c>
      <c r="F2" s="133" t="s">
        <v>550</v>
      </c>
      <c r="G2" s="139" t="s">
        <v>576</v>
      </c>
      <c r="H2" s="134" t="s">
        <v>547</v>
      </c>
      <c r="I2" s="133" t="s">
        <v>576</v>
      </c>
      <c r="J2" s="134" t="s">
        <v>547</v>
      </c>
      <c r="K2" s="133" t="s">
        <v>550</v>
      </c>
      <c r="L2" s="139" t="s">
        <v>576</v>
      </c>
      <c r="M2" s="134" t="s">
        <v>547</v>
      </c>
      <c r="N2" s="133" t="s">
        <v>560</v>
      </c>
      <c r="O2" s="139" t="s">
        <v>576</v>
      </c>
      <c r="P2" s="134" t="s">
        <v>547</v>
      </c>
      <c r="Q2" s="133" t="s">
        <v>576</v>
      </c>
      <c r="R2" s="134" t="s">
        <v>547</v>
      </c>
      <c r="S2" s="133" t="s">
        <v>561</v>
      </c>
      <c r="T2" s="139" t="s">
        <v>576</v>
      </c>
      <c r="U2" s="134" t="s">
        <v>547</v>
      </c>
      <c r="V2" s="133" t="s">
        <v>576</v>
      </c>
      <c r="W2" s="134" t="s">
        <v>547</v>
      </c>
      <c r="X2" s="133" t="s">
        <v>561</v>
      </c>
      <c r="Y2" s="139" t="s">
        <v>576</v>
      </c>
      <c r="Z2" s="134" t="s">
        <v>547</v>
      </c>
      <c r="AA2" s="133" t="s">
        <v>561</v>
      </c>
      <c r="AB2" s="139" t="s">
        <v>576</v>
      </c>
      <c r="AC2" s="134" t="s">
        <v>547</v>
      </c>
      <c r="AD2" s="133" t="s">
        <v>576</v>
      </c>
      <c r="AE2" s="134" t="s">
        <v>547</v>
      </c>
      <c r="AF2" s="133" t="s">
        <v>561</v>
      </c>
      <c r="AG2" s="139" t="s">
        <v>576</v>
      </c>
      <c r="AH2" s="134" t="s">
        <v>547</v>
      </c>
    </row>
    <row r="3" spans="1:34" x14ac:dyDescent="0.3">
      <c r="A3" t="s">
        <v>470</v>
      </c>
      <c r="B3" s="132">
        <f>'Fuel factors'!D17</f>
        <v>7.4496000000000007E-2</v>
      </c>
      <c r="C3" s="132">
        <f t="shared" ref="C3:C27" si="0">B3/TOEperGJ</f>
        <v>3.1189985231356103</v>
      </c>
      <c r="D3" s="135">
        <v>7231000</v>
      </c>
      <c r="E3" s="136">
        <f>D3*B3</f>
        <v>538680.576</v>
      </c>
      <c r="F3" s="135">
        <v>90</v>
      </c>
      <c r="G3" s="140">
        <f t="shared" ref="G3:G27" si="1">F3*1000/TOEperGJ</f>
        <v>3768119.99412324</v>
      </c>
      <c r="H3" s="136">
        <f>G3*B3</f>
        <v>280709.8670822049</v>
      </c>
      <c r="I3" s="135">
        <v>1381000</v>
      </c>
      <c r="J3" s="136">
        <f>+I3*B3</f>
        <v>102878.97600000001</v>
      </c>
      <c r="K3" s="135"/>
      <c r="L3" s="140">
        <f t="shared" ref="L3:L27" si="2">K3*1000/TOEperGJ</f>
        <v>0</v>
      </c>
      <c r="M3" s="136">
        <f t="shared" ref="M3:M13" si="3">K3*C3*1000</f>
        <v>0</v>
      </c>
      <c r="N3" s="135"/>
      <c r="O3" s="140">
        <f t="shared" ref="O3:O27" si="4">N3*0.136*1000/TOEperGJ</f>
        <v>0</v>
      </c>
      <c r="P3" s="136">
        <f t="shared" ref="P3:P13" si="5">O3*B3</f>
        <v>0</v>
      </c>
      <c r="Q3" s="135"/>
      <c r="R3" s="136">
        <f t="shared" ref="R3:R13" si="6">Q3*B3</f>
        <v>0</v>
      </c>
      <c r="S3" s="135">
        <v>54.32667</v>
      </c>
      <c r="T3" s="140"/>
      <c r="U3" s="136">
        <f t="shared" ref="U3:U13" si="7">T3*B3</f>
        <v>0</v>
      </c>
      <c r="V3" s="135">
        <v>48505000</v>
      </c>
      <c r="W3" s="136">
        <f t="shared" ref="W3:W27" si="8">V3*B3</f>
        <v>3613428.4800000004</v>
      </c>
      <c r="X3" s="135"/>
      <c r="Y3" s="140"/>
      <c r="Z3" s="136">
        <f t="shared" ref="Z3:Z13" si="9">Y3*B3</f>
        <v>0</v>
      </c>
      <c r="AA3" s="135">
        <v>13.309461009457801</v>
      </c>
      <c r="AB3" s="140">
        <f t="shared" ref="AB3:AB27" si="10">AA3*1000/TOEperGJ</f>
        <v>557240.51267490687</v>
      </c>
      <c r="AC3" s="136">
        <f t="shared" ref="AC3:AC13" si="11">AB3*B3</f>
        <v>41512.189232229866</v>
      </c>
      <c r="AD3" s="135"/>
      <c r="AE3" s="136">
        <f t="shared" ref="AE3:AE13" si="12">AD3*B3</f>
        <v>0</v>
      </c>
      <c r="AF3" s="135">
        <v>64</v>
      </c>
      <c r="AG3" s="140">
        <f t="shared" ref="AG3:AG27" si="13">AF3*1000/TOEperGJ</f>
        <v>2679551.9958209707</v>
      </c>
      <c r="AH3" s="136">
        <f t="shared" ref="AH3:AH13" si="14">AG3*B3</f>
        <v>199615.90548067907</v>
      </c>
    </row>
    <row r="4" spans="1:34" x14ac:dyDescent="0.3">
      <c r="A4" t="s">
        <v>485</v>
      </c>
      <c r="B4" s="132">
        <f>'Fuel factors'!D27</f>
        <v>6.9696000000000008E-2</v>
      </c>
      <c r="C4" s="132">
        <f t="shared" si="0"/>
        <v>2.9180321234490374</v>
      </c>
      <c r="D4" s="135"/>
      <c r="E4" s="136">
        <f t="shared" ref="E4:E27" si="15">D4*B4*1000</f>
        <v>0</v>
      </c>
      <c r="F4" s="135"/>
      <c r="G4" s="140">
        <f t="shared" si="1"/>
        <v>0</v>
      </c>
      <c r="H4" s="136">
        <f t="shared" ref="H4:H27" si="16">G4*B4</f>
        <v>0</v>
      </c>
      <c r="I4" s="135">
        <v>218000</v>
      </c>
      <c r="J4" s="136">
        <f t="shared" ref="J4:J27" si="17">+I4*B4</f>
        <v>15193.728000000001</v>
      </c>
      <c r="K4" s="135"/>
      <c r="L4" s="140">
        <f t="shared" si="2"/>
        <v>0</v>
      </c>
      <c r="M4" s="136">
        <f t="shared" si="3"/>
        <v>0</v>
      </c>
      <c r="N4" s="135">
        <f>3034+3566</f>
        <v>6600</v>
      </c>
      <c r="O4" s="140">
        <f t="shared" si="4"/>
        <v>37580716.741389111</v>
      </c>
      <c r="P4" s="136">
        <f t="shared" si="5"/>
        <v>2619225.6340078558</v>
      </c>
      <c r="Q4" s="135"/>
      <c r="R4" s="136">
        <f t="shared" si="6"/>
        <v>0</v>
      </c>
      <c r="S4" s="135"/>
      <c r="T4" s="140"/>
      <c r="U4" s="136">
        <f t="shared" si="7"/>
        <v>0</v>
      </c>
      <c r="V4" s="135"/>
      <c r="W4" s="136">
        <f t="shared" si="8"/>
        <v>0</v>
      </c>
      <c r="X4" s="135"/>
      <c r="Y4" s="140"/>
      <c r="Z4" s="136">
        <f t="shared" si="9"/>
        <v>0</v>
      </c>
      <c r="AA4" s="135">
        <v>51.801147329261219</v>
      </c>
      <c r="AB4" s="140">
        <f t="shared" si="10"/>
        <v>2168810.4329990321</v>
      </c>
      <c r="AC4" s="136">
        <f t="shared" si="11"/>
        <v>151157.41193830056</v>
      </c>
      <c r="AD4" s="135"/>
      <c r="AE4" s="136">
        <f t="shared" si="12"/>
        <v>0</v>
      </c>
      <c r="AF4" s="135"/>
      <c r="AG4" s="140">
        <f t="shared" si="13"/>
        <v>0</v>
      </c>
      <c r="AH4" s="136">
        <f t="shared" si="14"/>
        <v>0</v>
      </c>
    </row>
    <row r="5" spans="1:34" x14ac:dyDescent="0.3">
      <c r="A5" t="s">
        <v>265</v>
      </c>
      <c r="B5" s="132">
        <f>'Fuel factors'!D38</f>
        <v>5.6236000000000001E-2</v>
      </c>
      <c r="C5" s="132">
        <f t="shared" si="0"/>
        <v>2.354488844327939</v>
      </c>
      <c r="D5" s="135"/>
      <c r="E5" s="136">
        <f t="shared" si="15"/>
        <v>0</v>
      </c>
      <c r="F5" s="135">
        <v>9600</v>
      </c>
      <c r="G5" s="140">
        <f t="shared" si="1"/>
        <v>401932799.37314558</v>
      </c>
      <c r="H5" s="136">
        <f t="shared" si="16"/>
        <v>22603092.905548215</v>
      </c>
      <c r="I5" s="135"/>
      <c r="J5" s="136">
        <f t="shared" si="17"/>
        <v>0</v>
      </c>
      <c r="K5" s="135"/>
      <c r="L5" s="140">
        <f t="shared" si="2"/>
        <v>0</v>
      </c>
      <c r="M5" s="136">
        <f t="shared" si="3"/>
        <v>0</v>
      </c>
      <c r="N5" s="135">
        <v>235</v>
      </c>
      <c r="O5" s="140">
        <f t="shared" si="4"/>
        <v>1338101.2779130973</v>
      </c>
      <c r="P5" s="136">
        <f t="shared" si="5"/>
        <v>75249.463464720946</v>
      </c>
      <c r="Q5" s="135">
        <v>42380000</v>
      </c>
      <c r="R5" s="136">
        <f t="shared" si="6"/>
        <v>2383281.6800000002</v>
      </c>
      <c r="S5" s="135"/>
      <c r="T5" s="140"/>
      <c r="U5" s="136">
        <f t="shared" si="7"/>
        <v>0</v>
      </c>
      <c r="V5" s="135"/>
      <c r="W5" s="136">
        <f t="shared" si="8"/>
        <v>0</v>
      </c>
      <c r="X5" s="135"/>
      <c r="Y5" s="140"/>
      <c r="Z5" s="136">
        <f t="shared" si="9"/>
        <v>0</v>
      </c>
      <c r="AA5" s="135">
        <v>6.1116110890990321</v>
      </c>
      <c r="AB5" s="140">
        <f t="shared" si="10"/>
        <v>255880.93267932636</v>
      </c>
      <c r="AC5" s="136">
        <f t="shared" si="11"/>
        <v>14389.720130154597</v>
      </c>
      <c r="AD5" s="135"/>
      <c r="AE5" s="136">
        <f t="shared" si="12"/>
        <v>0</v>
      </c>
      <c r="AF5" s="135">
        <v>452</v>
      </c>
      <c r="AG5" s="140">
        <f t="shared" si="13"/>
        <v>18924335.970485605</v>
      </c>
      <c r="AH5" s="136">
        <f t="shared" si="14"/>
        <v>1064228.9576362285</v>
      </c>
    </row>
    <row r="6" spans="1:34" x14ac:dyDescent="0.3">
      <c r="A6" t="s">
        <v>496</v>
      </c>
      <c r="B6" s="132">
        <f>'Fuel factors'!D49</f>
        <v>6.4596000000000001E-2</v>
      </c>
      <c r="C6" s="132">
        <f t="shared" si="0"/>
        <v>2.7045053237820533</v>
      </c>
      <c r="D6" s="135"/>
      <c r="E6" s="136">
        <f t="shared" si="15"/>
        <v>0</v>
      </c>
      <c r="F6" s="135">
        <v>1250</v>
      </c>
      <c r="G6" s="140">
        <f t="shared" si="1"/>
        <v>52334999.918378331</v>
      </c>
      <c r="H6" s="136">
        <f t="shared" si="16"/>
        <v>3380631.6547275665</v>
      </c>
      <c r="I6" s="135"/>
      <c r="J6" s="136">
        <f t="shared" si="17"/>
        <v>0</v>
      </c>
      <c r="K6" s="135"/>
      <c r="L6" s="140">
        <f t="shared" si="2"/>
        <v>0</v>
      </c>
      <c r="M6" s="136">
        <f t="shared" si="3"/>
        <v>0</v>
      </c>
      <c r="N6" s="135"/>
      <c r="O6" s="140">
        <f t="shared" si="4"/>
        <v>0</v>
      </c>
      <c r="P6" s="136">
        <f t="shared" si="5"/>
        <v>0</v>
      </c>
      <c r="Q6" s="135"/>
      <c r="R6" s="136">
        <f t="shared" si="6"/>
        <v>0</v>
      </c>
      <c r="S6" s="135"/>
      <c r="T6" s="140"/>
      <c r="U6" s="136">
        <f t="shared" si="7"/>
        <v>0</v>
      </c>
      <c r="V6" s="135"/>
      <c r="W6" s="136">
        <f t="shared" si="8"/>
        <v>0</v>
      </c>
      <c r="X6" s="135"/>
      <c r="Y6" s="140"/>
      <c r="Z6" s="136">
        <f t="shared" si="9"/>
        <v>0</v>
      </c>
      <c r="AA6" s="135"/>
      <c r="AB6" s="140">
        <f t="shared" si="10"/>
        <v>0</v>
      </c>
      <c r="AC6" s="136">
        <f t="shared" si="11"/>
        <v>0</v>
      </c>
      <c r="AD6" s="135"/>
      <c r="AE6" s="136">
        <f t="shared" si="12"/>
        <v>0</v>
      </c>
      <c r="AF6" s="135"/>
      <c r="AG6" s="140">
        <f t="shared" si="13"/>
        <v>0</v>
      </c>
      <c r="AH6" s="136">
        <f t="shared" si="14"/>
        <v>0</v>
      </c>
    </row>
    <row r="7" spans="1:34" ht="14.5" x14ac:dyDescent="0.35">
      <c r="A7" t="s">
        <v>498</v>
      </c>
      <c r="B7" s="132">
        <f>'Fuel factors'!D59</f>
        <v>6.3236000000000001E-2</v>
      </c>
      <c r="C7" s="132">
        <f t="shared" si="0"/>
        <v>2.6475648438708577</v>
      </c>
      <c r="D7" s="135"/>
      <c r="E7" s="136">
        <f t="shared" si="15"/>
        <v>0</v>
      </c>
      <c r="F7" s="135"/>
      <c r="G7" s="140">
        <f t="shared" si="1"/>
        <v>0</v>
      </c>
      <c r="H7" s="136">
        <f t="shared" si="16"/>
        <v>0</v>
      </c>
      <c r="I7" s="135">
        <v>7206000</v>
      </c>
      <c r="J7" s="136">
        <f t="shared" si="17"/>
        <v>455678.61599999998</v>
      </c>
      <c r="K7" s="145"/>
      <c r="L7" s="140">
        <f t="shared" si="2"/>
        <v>0</v>
      </c>
      <c r="M7" s="136">
        <f t="shared" si="3"/>
        <v>0</v>
      </c>
      <c r="N7" s="145">
        <f>61819+1712</f>
        <v>63531</v>
      </c>
      <c r="O7" s="140">
        <f t="shared" si="4"/>
        <v>361748562.92381692</v>
      </c>
      <c r="P7" s="136">
        <f t="shared" si="5"/>
        <v>22875532.125050485</v>
      </c>
      <c r="Q7" s="135">
        <v>309740000</v>
      </c>
      <c r="R7" s="136">
        <f t="shared" si="6"/>
        <v>19586718.640000001</v>
      </c>
      <c r="S7" s="135">
        <v>2807.5718809999998</v>
      </c>
      <c r="T7" s="140">
        <f>S7*1000/TOEperGJ</f>
        <v>117547419.33038105</v>
      </c>
      <c r="U7" s="136">
        <f t="shared" si="7"/>
        <v>7433228.6087759761</v>
      </c>
      <c r="V7" s="135"/>
      <c r="W7" s="136">
        <f t="shared" si="8"/>
        <v>0</v>
      </c>
      <c r="X7" s="135">
        <v>136</v>
      </c>
      <c r="Y7" s="140">
        <f t="shared" ref="Y7:Y27" si="18">X7*1000/TOEperGJ</f>
        <v>5694047.9911195626</v>
      </c>
      <c r="Z7" s="136">
        <f t="shared" si="9"/>
        <v>360068.81876643666</v>
      </c>
      <c r="AA7" s="135">
        <v>11.157429537976403</v>
      </c>
      <c r="AB7" s="140">
        <f t="shared" si="10"/>
        <v>467139.25916744565</v>
      </c>
      <c r="AC7" s="136">
        <f t="shared" si="11"/>
        <v>29540.018192712592</v>
      </c>
      <c r="AD7" s="135">
        <v>16813100</v>
      </c>
      <c r="AE7" s="136">
        <f t="shared" si="12"/>
        <v>1063193.1916</v>
      </c>
      <c r="AF7" s="135">
        <v>626</v>
      </c>
      <c r="AG7" s="140">
        <f t="shared" si="13"/>
        <v>26209367.959123868</v>
      </c>
      <c r="AH7" s="136">
        <f t="shared" si="14"/>
        <v>1657375.592263157</v>
      </c>
    </row>
    <row r="8" spans="1:34" x14ac:dyDescent="0.3">
      <c r="A8" t="s">
        <v>500</v>
      </c>
      <c r="B8" s="132">
        <f>'Fuel factors'!D65</f>
        <v>7.1896000000000002E-2</v>
      </c>
      <c r="C8" s="132">
        <f t="shared" si="0"/>
        <v>3.0101417233053831</v>
      </c>
      <c r="D8" s="135"/>
      <c r="E8" s="136">
        <f t="shared" si="15"/>
        <v>0</v>
      </c>
      <c r="F8" s="135">
        <v>2</v>
      </c>
      <c r="G8" s="140">
        <f t="shared" si="1"/>
        <v>83735.999869405336</v>
      </c>
      <c r="H8" s="136">
        <f t="shared" si="16"/>
        <v>6020.2834466107661</v>
      </c>
      <c r="I8" s="135">
        <v>41000</v>
      </c>
      <c r="J8" s="136">
        <f t="shared" si="17"/>
        <v>2947.7359999999999</v>
      </c>
      <c r="K8" s="135">
        <v>45</v>
      </c>
      <c r="L8" s="140">
        <f t="shared" si="2"/>
        <v>1884059.99706162</v>
      </c>
      <c r="M8" s="136">
        <f t="shared" si="3"/>
        <v>135456.37754874222</v>
      </c>
      <c r="N8" s="135"/>
      <c r="O8" s="140">
        <f t="shared" si="4"/>
        <v>0</v>
      </c>
      <c r="P8" s="136">
        <f t="shared" si="5"/>
        <v>0</v>
      </c>
      <c r="Q8" s="135"/>
      <c r="R8" s="136">
        <f t="shared" si="6"/>
        <v>0</v>
      </c>
      <c r="S8" s="135"/>
      <c r="T8" s="140">
        <f t="shared" ref="T8:T27" si="19">S8*1000/TOEperGJ</f>
        <v>0</v>
      </c>
      <c r="U8" s="136">
        <f t="shared" si="7"/>
        <v>0</v>
      </c>
      <c r="V8" s="135"/>
      <c r="W8" s="136">
        <f t="shared" si="8"/>
        <v>0</v>
      </c>
      <c r="X8" s="135">
        <v>563</v>
      </c>
      <c r="Y8" s="140">
        <f t="shared" si="18"/>
        <v>23571683.963237602</v>
      </c>
      <c r="Z8" s="136">
        <f t="shared" si="9"/>
        <v>1694709.7902209307</v>
      </c>
      <c r="AA8" s="135"/>
      <c r="AB8" s="140">
        <f t="shared" si="10"/>
        <v>0</v>
      </c>
      <c r="AC8" s="136">
        <f t="shared" si="11"/>
        <v>0</v>
      </c>
      <c r="AD8" s="135">
        <v>8896500</v>
      </c>
      <c r="AE8" s="136">
        <f t="shared" si="12"/>
        <v>639622.76399999997</v>
      </c>
      <c r="AF8" s="135">
        <v>10</v>
      </c>
      <c r="AG8" s="140">
        <f t="shared" si="13"/>
        <v>418679.99934702669</v>
      </c>
      <c r="AH8" s="136">
        <f t="shared" si="14"/>
        <v>30101.417233053831</v>
      </c>
    </row>
    <row r="9" spans="1:34" x14ac:dyDescent="0.3">
      <c r="A9" t="s">
        <v>501</v>
      </c>
      <c r="B9" s="132">
        <f>'Fuel factors'!D71</f>
        <v>7.2296000000000013E-2</v>
      </c>
      <c r="C9" s="132">
        <f t="shared" si="0"/>
        <v>3.0268889232792646</v>
      </c>
      <c r="D9" s="135"/>
      <c r="E9" s="136">
        <f t="shared" si="15"/>
        <v>0</v>
      </c>
      <c r="F9" s="135"/>
      <c r="G9" s="140">
        <f t="shared" si="1"/>
        <v>0</v>
      </c>
      <c r="H9" s="136">
        <f t="shared" si="16"/>
        <v>0</v>
      </c>
      <c r="I9" s="135"/>
      <c r="J9" s="136">
        <f t="shared" si="17"/>
        <v>0</v>
      </c>
      <c r="K9" s="135">
        <v>13</v>
      </c>
      <c r="L9" s="140">
        <f t="shared" si="2"/>
        <v>544283.99915113463</v>
      </c>
      <c r="M9" s="136">
        <f t="shared" si="3"/>
        <v>39349.556002630445</v>
      </c>
      <c r="N9" s="135"/>
      <c r="O9" s="140">
        <f t="shared" si="4"/>
        <v>0</v>
      </c>
      <c r="P9" s="136">
        <f t="shared" si="5"/>
        <v>0</v>
      </c>
      <c r="Q9" s="135"/>
      <c r="R9" s="136">
        <f t="shared" si="6"/>
        <v>0</v>
      </c>
      <c r="S9" s="135"/>
      <c r="T9" s="140">
        <f t="shared" si="19"/>
        <v>0</v>
      </c>
      <c r="U9" s="136">
        <f t="shared" si="7"/>
        <v>0</v>
      </c>
      <c r="V9" s="135"/>
      <c r="W9" s="136">
        <f t="shared" si="8"/>
        <v>0</v>
      </c>
      <c r="X9" s="135"/>
      <c r="Y9" s="140">
        <f t="shared" si="18"/>
        <v>0</v>
      </c>
      <c r="Z9" s="136">
        <f t="shared" si="9"/>
        <v>0</v>
      </c>
      <c r="AA9" s="135">
        <v>24.451030050852577</v>
      </c>
      <c r="AB9" s="140">
        <f t="shared" si="10"/>
        <v>1023715.7245725086</v>
      </c>
      <c r="AC9" s="136">
        <f t="shared" si="11"/>
        <v>74010.552023694094</v>
      </c>
      <c r="AD9" s="135"/>
      <c r="AE9" s="136">
        <f t="shared" si="12"/>
        <v>0</v>
      </c>
      <c r="AF9" s="135"/>
      <c r="AG9" s="140">
        <f t="shared" si="13"/>
        <v>0</v>
      </c>
      <c r="AH9" s="136">
        <f t="shared" si="14"/>
        <v>0</v>
      </c>
    </row>
    <row r="10" spans="1:34" x14ac:dyDescent="0.3">
      <c r="A10" t="s">
        <v>502</v>
      </c>
      <c r="B10" s="132">
        <f>'Fuel factors'!D77</f>
        <v>0.10506499999999999</v>
      </c>
      <c r="C10" s="132">
        <f t="shared" si="0"/>
        <v>4.3988614131395352</v>
      </c>
      <c r="D10" s="135"/>
      <c r="E10" s="136">
        <f t="shared" si="15"/>
        <v>0</v>
      </c>
      <c r="F10" s="135"/>
      <c r="G10" s="140">
        <f t="shared" si="1"/>
        <v>0</v>
      </c>
      <c r="H10" s="136">
        <f t="shared" si="16"/>
        <v>0</v>
      </c>
      <c r="I10" s="135"/>
      <c r="J10" s="136">
        <f t="shared" si="17"/>
        <v>0</v>
      </c>
      <c r="K10" s="135"/>
      <c r="L10" s="140">
        <f t="shared" si="2"/>
        <v>0</v>
      </c>
      <c r="M10" s="136">
        <f t="shared" si="3"/>
        <v>0</v>
      </c>
      <c r="N10" s="135"/>
      <c r="O10" s="140">
        <f t="shared" si="4"/>
        <v>0</v>
      </c>
      <c r="P10" s="136">
        <f t="shared" si="5"/>
        <v>0</v>
      </c>
      <c r="Q10" s="135"/>
      <c r="R10" s="136">
        <f t="shared" si="6"/>
        <v>0</v>
      </c>
      <c r="S10" s="135"/>
      <c r="T10" s="140">
        <f t="shared" si="19"/>
        <v>0</v>
      </c>
      <c r="U10" s="136">
        <f t="shared" si="7"/>
        <v>0</v>
      </c>
      <c r="V10" s="135"/>
      <c r="W10" s="136">
        <f t="shared" si="8"/>
        <v>0</v>
      </c>
      <c r="X10" s="135"/>
      <c r="Y10" s="140">
        <f t="shared" si="18"/>
        <v>0</v>
      </c>
      <c r="Z10" s="136">
        <f t="shared" si="9"/>
        <v>0</v>
      </c>
      <c r="AA10" s="135"/>
      <c r="AB10" s="140">
        <f t="shared" si="10"/>
        <v>0</v>
      </c>
      <c r="AC10" s="136">
        <f t="shared" si="11"/>
        <v>0</v>
      </c>
      <c r="AD10" s="135"/>
      <c r="AE10" s="136">
        <f t="shared" si="12"/>
        <v>0</v>
      </c>
      <c r="AF10" s="135"/>
      <c r="AG10" s="140">
        <f t="shared" si="13"/>
        <v>0</v>
      </c>
      <c r="AH10" s="136">
        <f t="shared" si="14"/>
        <v>0</v>
      </c>
    </row>
    <row r="11" spans="1:34" x14ac:dyDescent="0.3">
      <c r="A11" t="s">
        <v>503</v>
      </c>
      <c r="B11" s="132">
        <f>'Fuel factors'!D83</f>
        <v>0.101365</v>
      </c>
      <c r="C11" s="132">
        <f t="shared" si="0"/>
        <v>4.2439498133811355</v>
      </c>
      <c r="D11" s="135"/>
      <c r="E11" s="136">
        <f t="shared" si="15"/>
        <v>0</v>
      </c>
      <c r="F11" s="135"/>
      <c r="G11" s="140">
        <f t="shared" si="1"/>
        <v>0</v>
      </c>
      <c r="H11" s="136">
        <f t="shared" si="16"/>
        <v>0</v>
      </c>
      <c r="I11" s="135"/>
      <c r="J11" s="136">
        <f t="shared" si="17"/>
        <v>0</v>
      </c>
      <c r="K11" s="135"/>
      <c r="L11" s="140">
        <f t="shared" si="2"/>
        <v>0</v>
      </c>
      <c r="M11" s="136">
        <f t="shared" si="3"/>
        <v>0</v>
      </c>
      <c r="N11" s="135"/>
      <c r="O11" s="140">
        <f t="shared" si="4"/>
        <v>0</v>
      </c>
      <c r="P11" s="136">
        <f t="shared" si="5"/>
        <v>0</v>
      </c>
      <c r="Q11" s="135"/>
      <c r="R11" s="136">
        <f t="shared" si="6"/>
        <v>0</v>
      </c>
      <c r="S11" s="135"/>
      <c r="T11" s="140">
        <f t="shared" si="19"/>
        <v>0</v>
      </c>
      <c r="U11" s="136">
        <f t="shared" si="7"/>
        <v>0</v>
      </c>
      <c r="V11" s="135"/>
      <c r="W11" s="136">
        <f t="shared" si="8"/>
        <v>0</v>
      </c>
      <c r="X11" s="135"/>
      <c r="Y11" s="140">
        <f t="shared" si="18"/>
        <v>0</v>
      </c>
      <c r="Z11" s="136">
        <f t="shared" si="9"/>
        <v>0</v>
      </c>
      <c r="AA11" s="135"/>
      <c r="AB11" s="140">
        <f t="shared" si="10"/>
        <v>0</v>
      </c>
      <c r="AC11" s="136">
        <f t="shared" si="11"/>
        <v>0</v>
      </c>
      <c r="AD11" s="135"/>
      <c r="AE11" s="136">
        <f t="shared" si="12"/>
        <v>0</v>
      </c>
      <c r="AF11" s="135"/>
      <c r="AG11" s="140">
        <f t="shared" si="13"/>
        <v>0</v>
      </c>
      <c r="AH11" s="136">
        <f t="shared" si="14"/>
        <v>0</v>
      </c>
    </row>
    <row r="12" spans="1:34" x14ac:dyDescent="0.3">
      <c r="A12" t="s">
        <v>504</v>
      </c>
      <c r="B12" s="132">
        <f>'Fuel factors'!D89</f>
        <v>0.104265</v>
      </c>
      <c r="C12" s="132">
        <f t="shared" si="0"/>
        <v>4.365367013191773</v>
      </c>
      <c r="D12" s="135"/>
      <c r="E12" s="136">
        <f t="shared" si="15"/>
        <v>0</v>
      </c>
      <c r="F12" s="135"/>
      <c r="G12" s="140">
        <f t="shared" si="1"/>
        <v>0</v>
      </c>
      <c r="H12" s="136">
        <f t="shared" si="16"/>
        <v>0</v>
      </c>
      <c r="I12" s="135"/>
      <c r="J12" s="136">
        <f t="shared" si="17"/>
        <v>0</v>
      </c>
      <c r="K12" s="135"/>
      <c r="L12" s="140">
        <f t="shared" si="2"/>
        <v>0</v>
      </c>
      <c r="M12" s="136">
        <f t="shared" si="3"/>
        <v>0</v>
      </c>
      <c r="N12" s="135"/>
      <c r="O12" s="140">
        <f t="shared" si="4"/>
        <v>0</v>
      </c>
      <c r="P12" s="136">
        <f t="shared" si="5"/>
        <v>0</v>
      </c>
      <c r="Q12" s="135"/>
      <c r="R12" s="136">
        <f t="shared" si="6"/>
        <v>0</v>
      </c>
      <c r="S12" s="135"/>
      <c r="T12" s="140">
        <f t="shared" si="19"/>
        <v>0</v>
      </c>
      <c r="U12" s="136">
        <f t="shared" si="7"/>
        <v>0</v>
      </c>
      <c r="V12" s="135"/>
      <c r="W12" s="136">
        <f t="shared" si="8"/>
        <v>0</v>
      </c>
      <c r="X12" s="135"/>
      <c r="Y12" s="140">
        <f t="shared" si="18"/>
        <v>0</v>
      </c>
      <c r="Z12" s="136">
        <f t="shared" si="9"/>
        <v>0</v>
      </c>
      <c r="AA12" s="135"/>
      <c r="AB12" s="140">
        <f t="shared" si="10"/>
        <v>0</v>
      </c>
      <c r="AC12" s="136">
        <f t="shared" si="11"/>
        <v>0</v>
      </c>
      <c r="AD12" s="135"/>
      <c r="AE12" s="136">
        <f t="shared" si="12"/>
        <v>0</v>
      </c>
      <c r="AF12" s="135"/>
      <c r="AG12" s="140">
        <f t="shared" si="13"/>
        <v>0</v>
      </c>
      <c r="AH12" s="136">
        <f t="shared" si="14"/>
        <v>0</v>
      </c>
    </row>
    <row r="13" spans="1:34" x14ac:dyDescent="0.3">
      <c r="A13" t="s">
        <v>505</v>
      </c>
      <c r="B13" s="132">
        <f>'Fuel factors'!D98</f>
        <v>0.11954000000000001</v>
      </c>
      <c r="C13" s="132">
        <f t="shared" si="0"/>
        <v>5.0049007121943569</v>
      </c>
      <c r="D13" s="135"/>
      <c r="E13" s="136">
        <f t="shared" si="15"/>
        <v>0</v>
      </c>
      <c r="F13" s="135">
        <v>132</v>
      </c>
      <c r="G13" s="140">
        <f t="shared" si="1"/>
        <v>5526575.9913807521</v>
      </c>
      <c r="H13" s="136">
        <f t="shared" si="16"/>
        <v>660646.89400965511</v>
      </c>
      <c r="I13" s="135">
        <v>5846000</v>
      </c>
      <c r="J13" s="136">
        <f t="shared" si="17"/>
        <v>698830.84000000008</v>
      </c>
      <c r="K13" s="135">
        <v>145</v>
      </c>
      <c r="L13" s="140">
        <f t="shared" si="2"/>
        <v>6070859.9905318869</v>
      </c>
      <c r="M13" s="136">
        <f t="shared" si="3"/>
        <v>725710.60326818179</v>
      </c>
      <c r="N13" s="135"/>
      <c r="O13" s="140">
        <f t="shared" si="4"/>
        <v>0</v>
      </c>
      <c r="P13" s="136">
        <f t="shared" si="5"/>
        <v>0</v>
      </c>
      <c r="Q13" s="135">
        <v>249080000</v>
      </c>
      <c r="R13" s="136">
        <f t="shared" si="6"/>
        <v>29775023.200000003</v>
      </c>
      <c r="S13" s="135">
        <v>1131.8787620000001</v>
      </c>
      <c r="T13" s="140">
        <f t="shared" si="19"/>
        <v>47389499.933507338</v>
      </c>
      <c r="U13" s="136">
        <f t="shared" si="7"/>
        <v>5664940.8220514674</v>
      </c>
      <c r="V13" s="135"/>
      <c r="W13" s="136">
        <f t="shared" si="8"/>
        <v>0</v>
      </c>
      <c r="X13" s="135"/>
      <c r="Y13" s="140">
        <f t="shared" si="18"/>
        <v>0</v>
      </c>
      <c r="Z13" s="136">
        <f t="shared" si="9"/>
        <v>0</v>
      </c>
      <c r="AA13" s="135"/>
      <c r="AB13" s="140">
        <f t="shared" si="10"/>
        <v>0</v>
      </c>
      <c r="AC13" s="136">
        <f t="shared" si="11"/>
        <v>0</v>
      </c>
      <c r="AD13" s="135">
        <v>82702000</v>
      </c>
      <c r="AE13" s="136">
        <f t="shared" si="12"/>
        <v>9886197.0800000001</v>
      </c>
      <c r="AF13" s="135">
        <v>558</v>
      </c>
      <c r="AG13" s="140">
        <f t="shared" si="13"/>
        <v>23362343.963564087</v>
      </c>
      <c r="AH13" s="136">
        <f t="shared" si="14"/>
        <v>2792734.5974044511</v>
      </c>
    </row>
    <row r="14" spans="1:34" x14ac:dyDescent="0.3">
      <c r="A14" t="s">
        <v>572</v>
      </c>
      <c r="B14" s="132">
        <v>0</v>
      </c>
      <c r="C14" s="132">
        <f t="shared" si="0"/>
        <v>0</v>
      </c>
      <c r="D14" s="135">
        <f>16897*1000</f>
        <v>16897000</v>
      </c>
      <c r="E14" s="136">
        <f>D14*B50*MWhperGJ</f>
        <v>201665.03774445938</v>
      </c>
      <c r="F14" s="135">
        <v>6268</v>
      </c>
      <c r="G14" s="140">
        <f t="shared" si="1"/>
        <v>262428623.5907163</v>
      </c>
      <c r="H14" s="136">
        <f>G14*B51*MWhperGJ</f>
        <v>25527937.03765909</v>
      </c>
      <c r="I14" s="135">
        <v>36521000</v>
      </c>
      <c r="J14" s="477">
        <f>I14*B52*MWhperGJ</f>
        <v>1472606.5084771353</v>
      </c>
      <c r="K14" s="135">
        <v>36</v>
      </c>
      <c r="L14" s="140">
        <f t="shared" si="2"/>
        <v>1507247.997649296</v>
      </c>
      <c r="M14" s="136">
        <f>L14*B53*MWhperGJ</f>
        <v>267475.11908777378</v>
      </c>
      <c r="N14" s="135">
        <f>62963+36516</f>
        <v>99479</v>
      </c>
      <c r="O14" s="140">
        <f t="shared" si="4"/>
        <v>566438200.10858297</v>
      </c>
      <c r="P14" s="136">
        <f>O14*B54*MWhperGJ</f>
        <v>100276963.94356063</v>
      </c>
      <c r="Q14" s="135">
        <v>345910000</v>
      </c>
      <c r="R14" s="136">
        <f>Q14*B55*MWhperGJ</f>
        <v>30711107.462681618</v>
      </c>
      <c r="S14" s="195">
        <v>1488</v>
      </c>
      <c r="T14" s="140">
        <f t="shared" si="19"/>
        <v>62299583.902837567</v>
      </c>
      <c r="U14" s="136">
        <f>T14*B56*MWhperGJ</f>
        <v>9528013.5620858427</v>
      </c>
      <c r="V14" s="135">
        <v>84050000</v>
      </c>
      <c r="W14" s="136">
        <f t="shared" si="8"/>
        <v>0</v>
      </c>
      <c r="X14" s="135">
        <v>1907</v>
      </c>
      <c r="Y14" s="140">
        <f t="shared" si="18"/>
        <v>79842275.875477985</v>
      </c>
      <c r="Z14" s="136">
        <f>Y14*B57*MWhperGJ</f>
        <v>8767392.9663750473</v>
      </c>
      <c r="AA14" s="135">
        <v>389.66228497780855</v>
      </c>
      <c r="AB14" s="140">
        <f t="shared" si="10"/>
        <v>16314380.522006979</v>
      </c>
      <c r="AC14" s="136">
        <f>AB14*B58*MWhperGJ</f>
        <v>3130517.7081977366</v>
      </c>
      <c r="AD14" s="135">
        <v>36223000</v>
      </c>
      <c r="AE14" s="136">
        <f>AD14*B59*MWhperGJ</f>
        <v>4710059.1733841477</v>
      </c>
      <c r="AF14" s="135">
        <v>900</v>
      </c>
      <c r="AG14" s="140">
        <f t="shared" si="13"/>
        <v>37681199.941232398</v>
      </c>
      <c r="AH14" s="136">
        <f>AG14*B60*MWhperGJ</f>
        <v>4229313.2684712326</v>
      </c>
    </row>
    <row r="15" spans="1:34" x14ac:dyDescent="0.3">
      <c r="A15" t="s">
        <v>512</v>
      </c>
      <c r="B15" s="132">
        <f>'Fuel factors'!D121</f>
        <v>0.11376499999999999</v>
      </c>
      <c r="C15" s="132">
        <f t="shared" si="0"/>
        <v>4.7631130125714485</v>
      </c>
      <c r="D15" s="135"/>
      <c r="E15" s="136">
        <f t="shared" si="15"/>
        <v>0</v>
      </c>
      <c r="F15" s="135"/>
      <c r="G15" s="140">
        <f t="shared" si="1"/>
        <v>0</v>
      </c>
      <c r="H15" s="136">
        <f t="shared" si="16"/>
        <v>0</v>
      </c>
      <c r="I15" s="135"/>
      <c r="J15" s="136">
        <f t="shared" si="17"/>
        <v>0</v>
      </c>
      <c r="K15" s="135"/>
      <c r="L15" s="140">
        <f t="shared" si="2"/>
        <v>0</v>
      </c>
      <c r="M15" s="136">
        <f t="shared" ref="M15:M27" si="20">K15*C15*1000</f>
        <v>0</v>
      </c>
      <c r="N15" s="135"/>
      <c r="O15" s="140">
        <f t="shared" si="4"/>
        <v>0</v>
      </c>
      <c r="P15" s="136">
        <f t="shared" ref="P15:P27" si="21">O15*B15</f>
        <v>0</v>
      </c>
      <c r="Q15" s="135"/>
      <c r="R15" s="136">
        <f t="shared" ref="R15:R27" si="22">Q15*B15</f>
        <v>0</v>
      </c>
      <c r="S15" s="135"/>
      <c r="T15" s="140">
        <f t="shared" si="19"/>
        <v>0</v>
      </c>
      <c r="U15" s="136">
        <f t="shared" ref="U15:U27" si="23">T15*B15</f>
        <v>0</v>
      </c>
      <c r="V15" s="135"/>
      <c r="W15" s="136">
        <f t="shared" si="8"/>
        <v>0</v>
      </c>
      <c r="X15" s="135"/>
      <c r="Y15" s="140">
        <f t="shared" si="18"/>
        <v>0</v>
      </c>
      <c r="Z15" s="136">
        <f t="shared" ref="Z15:Z27" si="24">Y15*B15</f>
        <v>0</v>
      </c>
      <c r="AA15" s="135"/>
      <c r="AB15" s="140">
        <f t="shared" si="10"/>
        <v>0</v>
      </c>
      <c r="AC15" s="136">
        <f t="shared" ref="AC15:AC27" si="25">AB15*B15</f>
        <v>0</v>
      </c>
      <c r="AD15" s="135"/>
      <c r="AE15" s="136">
        <f t="shared" ref="AE15:AE27" si="26">AD15*B15</f>
        <v>0</v>
      </c>
      <c r="AF15" s="135"/>
      <c r="AG15" s="140">
        <f t="shared" si="13"/>
        <v>0</v>
      </c>
      <c r="AH15" s="136">
        <f t="shared" ref="AH15:AH27" si="27">AG15*B15</f>
        <v>0</v>
      </c>
    </row>
    <row r="16" spans="1:34" x14ac:dyDescent="0.3">
      <c r="A16" t="s">
        <v>513</v>
      </c>
      <c r="B16" s="132">
        <f>'Fuel factors'!D129</f>
        <v>0.101365</v>
      </c>
      <c r="C16" s="132">
        <f t="shared" si="0"/>
        <v>4.2439498133811355</v>
      </c>
      <c r="D16" s="135"/>
      <c r="E16" s="136">
        <f t="shared" si="15"/>
        <v>0</v>
      </c>
      <c r="F16" s="135">
        <v>285</v>
      </c>
      <c r="G16" s="140">
        <f t="shared" si="1"/>
        <v>11932379.98139026</v>
      </c>
      <c r="H16" s="136">
        <f t="shared" si="16"/>
        <v>1209525.6968136237</v>
      </c>
      <c r="I16" s="135">
        <v>34000</v>
      </c>
      <c r="J16" s="136">
        <f t="shared" si="17"/>
        <v>3446.41</v>
      </c>
      <c r="K16" s="135">
        <v>40</v>
      </c>
      <c r="L16" s="140">
        <f t="shared" si="2"/>
        <v>1674719.9973881068</v>
      </c>
      <c r="M16" s="136">
        <f t="shared" si="20"/>
        <v>169757.99253524543</v>
      </c>
      <c r="N16" s="135"/>
      <c r="O16" s="140">
        <f t="shared" si="4"/>
        <v>0</v>
      </c>
      <c r="P16" s="136">
        <f t="shared" si="21"/>
        <v>0</v>
      </c>
      <c r="Q16" s="135"/>
      <c r="R16" s="136">
        <f t="shared" si="22"/>
        <v>0</v>
      </c>
      <c r="S16" s="135"/>
      <c r="T16" s="140">
        <f t="shared" si="19"/>
        <v>0</v>
      </c>
      <c r="U16" s="136">
        <f t="shared" si="23"/>
        <v>0</v>
      </c>
      <c r="V16" s="135"/>
      <c r="W16" s="136">
        <f t="shared" si="8"/>
        <v>0</v>
      </c>
      <c r="X16" s="135">
        <v>3157</v>
      </c>
      <c r="Y16" s="140">
        <f t="shared" si="18"/>
        <v>132177275.79385632</v>
      </c>
      <c r="Z16" s="136">
        <f t="shared" si="24"/>
        <v>13398149.560844246</v>
      </c>
      <c r="AA16" s="135"/>
      <c r="AB16" s="140">
        <f t="shared" si="10"/>
        <v>0</v>
      </c>
      <c r="AC16" s="136">
        <f t="shared" si="25"/>
        <v>0</v>
      </c>
      <c r="AD16" s="135"/>
      <c r="AE16" s="136">
        <f t="shared" si="26"/>
        <v>0</v>
      </c>
      <c r="AF16" s="135">
        <v>163</v>
      </c>
      <c r="AG16" s="140">
        <f t="shared" si="13"/>
        <v>6824483.9893565346</v>
      </c>
      <c r="AH16" s="136">
        <f t="shared" si="27"/>
        <v>691763.81958112505</v>
      </c>
    </row>
    <row r="17" spans="1:34" x14ac:dyDescent="0.3">
      <c r="A17" t="s">
        <v>517</v>
      </c>
      <c r="B17" s="132">
        <f>'Fuel factors'!D145</f>
        <v>0.104265</v>
      </c>
      <c r="C17" s="132">
        <f t="shared" si="0"/>
        <v>4.365367013191773</v>
      </c>
      <c r="D17" s="135"/>
      <c r="E17" s="136">
        <f t="shared" si="15"/>
        <v>0</v>
      </c>
      <c r="F17" s="135"/>
      <c r="G17" s="140">
        <f t="shared" si="1"/>
        <v>0</v>
      </c>
      <c r="H17" s="136">
        <f t="shared" si="16"/>
        <v>0</v>
      </c>
      <c r="I17" s="135"/>
      <c r="J17" s="136">
        <f t="shared" si="17"/>
        <v>0</v>
      </c>
      <c r="K17" s="135"/>
      <c r="L17" s="140">
        <f t="shared" si="2"/>
        <v>0</v>
      </c>
      <c r="M17" s="136">
        <f t="shared" si="20"/>
        <v>0</v>
      </c>
      <c r="N17" s="135"/>
      <c r="O17" s="140">
        <f t="shared" si="4"/>
        <v>0</v>
      </c>
      <c r="P17" s="136">
        <f t="shared" si="21"/>
        <v>0</v>
      </c>
      <c r="Q17" s="135"/>
      <c r="R17" s="136">
        <f t="shared" si="22"/>
        <v>0</v>
      </c>
      <c r="S17" s="135"/>
      <c r="T17" s="140">
        <f t="shared" si="19"/>
        <v>0</v>
      </c>
      <c r="U17" s="136">
        <f t="shared" si="23"/>
        <v>0</v>
      </c>
      <c r="V17" s="135"/>
      <c r="W17" s="136">
        <f t="shared" si="8"/>
        <v>0</v>
      </c>
      <c r="X17" s="135"/>
      <c r="Y17" s="140">
        <f t="shared" si="18"/>
        <v>0</v>
      </c>
      <c r="Z17" s="136">
        <f t="shared" si="24"/>
        <v>0</v>
      </c>
      <c r="AA17" s="135">
        <v>33.692976118839169</v>
      </c>
      <c r="AB17" s="140">
        <f t="shared" si="10"/>
        <v>1410657.521943497</v>
      </c>
      <c r="AC17" s="136">
        <f t="shared" si="25"/>
        <v>147082.2065254387</v>
      </c>
      <c r="AD17" s="135"/>
      <c r="AE17" s="136">
        <f t="shared" si="26"/>
        <v>0</v>
      </c>
      <c r="AF17" s="135"/>
      <c r="AG17" s="140">
        <f t="shared" si="13"/>
        <v>0</v>
      </c>
      <c r="AH17" s="136">
        <f t="shared" si="27"/>
        <v>0</v>
      </c>
    </row>
    <row r="18" spans="1:34" x14ac:dyDescent="0.3">
      <c r="A18" t="s">
        <v>519</v>
      </c>
      <c r="B18" s="132">
        <f>'Fuel factors'!D145</f>
        <v>0.104265</v>
      </c>
      <c r="C18" s="132">
        <f t="shared" si="0"/>
        <v>4.365367013191773</v>
      </c>
      <c r="D18" s="135"/>
      <c r="E18" s="136">
        <f t="shared" si="15"/>
        <v>0</v>
      </c>
      <c r="F18" s="135"/>
      <c r="G18" s="140">
        <f t="shared" si="1"/>
        <v>0</v>
      </c>
      <c r="H18" s="136">
        <f t="shared" si="16"/>
        <v>0</v>
      </c>
      <c r="I18" s="135"/>
      <c r="J18" s="136">
        <f t="shared" si="17"/>
        <v>0</v>
      </c>
      <c r="K18" s="135"/>
      <c r="L18" s="140">
        <f t="shared" si="2"/>
        <v>0</v>
      </c>
      <c r="M18" s="136">
        <f t="shared" si="20"/>
        <v>0</v>
      </c>
      <c r="N18" s="135"/>
      <c r="O18" s="140">
        <f t="shared" si="4"/>
        <v>0</v>
      </c>
      <c r="P18" s="136">
        <f t="shared" si="21"/>
        <v>0</v>
      </c>
      <c r="Q18" s="135"/>
      <c r="R18" s="136">
        <f t="shared" si="22"/>
        <v>0</v>
      </c>
      <c r="S18" s="135"/>
      <c r="T18" s="140">
        <f t="shared" si="19"/>
        <v>0</v>
      </c>
      <c r="U18" s="136">
        <f t="shared" si="23"/>
        <v>0</v>
      </c>
      <c r="V18" s="135"/>
      <c r="W18" s="136">
        <f t="shared" si="8"/>
        <v>0</v>
      </c>
      <c r="X18" s="135"/>
      <c r="Y18" s="140">
        <f t="shared" si="18"/>
        <v>0</v>
      </c>
      <c r="Z18" s="136">
        <f t="shared" si="24"/>
        <v>0</v>
      </c>
      <c r="AA18" s="135">
        <v>1.2064732049644076</v>
      </c>
      <c r="AB18" s="140">
        <f t="shared" si="10"/>
        <v>50512.620066670337</v>
      </c>
      <c r="AC18" s="136">
        <f t="shared" si="25"/>
        <v>5266.6983312513821</v>
      </c>
      <c r="AD18" s="135"/>
      <c r="AE18" s="136">
        <f t="shared" si="26"/>
        <v>0</v>
      </c>
      <c r="AF18" s="135"/>
      <c r="AG18" s="140">
        <f t="shared" si="13"/>
        <v>0</v>
      </c>
      <c r="AH18" s="136">
        <f t="shared" si="27"/>
        <v>0</v>
      </c>
    </row>
    <row r="19" spans="1:34" x14ac:dyDescent="0.3">
      <c r="A19" t="s">
        <v>523</v>
      </c>
      <c r="B19" s="132">
        <f>'Fuel factors'!D153</f>
        <v>0.107765</v>
      </c>
      <c r="C19" s="132">
        <f t="shared" si="0"/>
        <v>4.5119050129632328</v>
      </c>
      <c r="D19" s="135"/>
      <c r="E19" s="136">
        <f t="shared" si="15"/>
        <v>0</v>
      </c>
      <c r="F19" s="135"/>
      <c r="G19" s="140">
        <f t="shared" si="1"/>
        <v>0</v>
      </c>
      <c r="H19" s="136">
        <f t="shared" si="16"/>
        <v>0</v>
      </c>
      <c r="I19" s="135"/>
      <c r="J19" s="136">
        <f t="shared" si="17"/>
        <v>0</v>
      </c>
      <c r="K19" s="135"/>
      <c r="L19" s="140">
        <f t="shared" si="2"/>
        <v>0</v>
      </c>
      <c r="M19" s="136">
        <f t="shared" si="20"/>
        <v>0</v>
      </c>
      <c r="N19" s="135"/>
      <c r="O19" s="140">
        <f t="shared" si="4"/>
        <v>0</v>
      </c>
      <c r="P19" s="136">
        <f t="shared" si="21"/>
        <v>0</v>
      </c>
      <c r="Q19" s="135"/>
      <c r="R19" s="136">
        <f t="shared" si="22"/>
        <v>0</v>
      </c>
      <c r="S19" s="135"/>
      <c r="T19" s="140">
        <f t="shared" si="19"/>
        <v>0</v>
      </c>
      <c r="U19" s="136">
        <f t="shared" si="23"/>
        <v>0</v>
      </c>
      <c r="V19" s="135"/>
      <c r="W19" s="136">
        <f t="shared" si="8"/>
        <v>0</v>
      </c>
      <c r="X19" s="135"/>
      <c r="Y19" s="140">
        <f t="shared" si="18"/>
        <v>0</v>
      </c>
      <c r="Z19" s="136">
        <f t="shared" si="24"/>
        <v>0</v>
      </c>
      <c r="AA19" s="135"/>
      <c r="AB19" s="140">
        <f t="shared" si="10"/>
        <v>0</v>
      </c>
      <c r="AC19" s="136">
        <f t="shared" si="25"/>
        <v>0</v>
      </c>
      <c r="AD19" s="135"/>
      <c r="AE19" s="136">
        <f t="shared" si="26"/>
        <v>0</v>
      </c>
      <c r="AF19" s="135"/>
      <c r="AG19" s="140">
        <f t="shared" si="13"/>
        <v>0</v>
      </c>
      <c r="AH19" s="136">
        <f t="shared" si="27"/>
        <v>0</v>
      </c>
    </row>
    <row r="20" spans="1:34" x14ac:dyDescent="0.3">
      <c r="A20" t="s">
        <v>524</v>
      </c>
      <c r="B20" s="132">
        <f>'Fuel factors'!D162</f>
        <v>0.11954000000000001</v>
      </c>
      <c r="C20" s="132">
        <f t="shared" si="0"/>
        <v>5.0049007121943569</v>
      </c>
      <c r="D20" s="135"/>
      <c r="E20" s="136">
        <f t="shared" si="15"/>
        <v>0</v>
      </c>
      <c r="F20" s="135"/>
      <c r="G20" s="140">
        <f t="shared" si="1"/>
        <v>0</v>
      </c>
      <c r="H20" s="136">
        <f t="shared" si="16"/>
        <v>0</v>
      </c>
      <c r="I20" s="135"/>
      <c r="J20" s="136">
        <f t="shared" si="17"/>
        <v>0</v>
      </c>
      <c r="K20" s="135"/>
      <c r="L20" s="140">
        <f t="shared" si="2"/>
        <v>0</v>
      </c>
      <c r="M20" s="136">
        <f t="shared" si="20"/>
        <v>0</v>
      </c>
      <c r="N20" s="135"/>
      <c r="O20" s="140">
        <f t="shared" si="4"/>
        <v>0</v>
      </c>
      <c r="P20" s="136">
        <f t="shared" si="21"/>
        <v>0</v>
      </c>
      <c r="Q20" s="135"/>
      <c r="R20" s="136">
        <f t="shared" si="22"/>
        <v>0</v>
      </c>
      <c r="S20" s="135"/>
      <c r="T20" s="140">
        <f t="shared" si="19"/>
        <v>0</v>
      </c>
      <c r="U20" s="136">
        <f t="shared" si="23"/>
        <v>0</v>
      </c>
      <c r="V20" s="135"/>
      <c r="W20" s="136">
        <f t="shared" si="8"/>
        <v>0</v>
      </c>
      <c r="X20" s="135"/>
      <c r="Y20" s="140">
        <f t="shared" si="18"/>
        <v>0</v>
      </c>
      <c r="Z20" s="136">
        <f t="shared" si="24"/>
        <v>0</v>
      </c>
      <c r="AA20" s="135"/>
      <c r="AB20" s="140">
        <f t="shared" si="10"/>
        <v>0</v>
      </c>
      <c r="AC20" s="136">
        <f t="shared" si="25"/>
        <v>0</v>
      </c>
      <c r="AD20" s="135"/>
      <c r="AE20" s="136">
        <f t="shared" si="26"/>
        <v>0</v>
      </c>
      <c r="AF20" s="135"/>
      <c r="AG20" s="140">
        <f t="shared" si="13"/>
        <v>0</v>
      </c>
      <c r="AH20" s="136">
        <f t="shared" si="27"/>
        <v>0</v>
      </c>
    </row>
    <row r="21" spans="1:34" x14ac:dyDescent="0.3">
      <c r="A21" t="s">
        <v>529</v>
      </c>
      <c r="B21" s="132">
        <f>'Fuel factors'!D170</f>
        <v>7.3696000000000011E-2</v>
      </c>
      <c r="C21" s="132">
        <f t="shared" si="0"/>
        <v>3.0855041231878482</v>
      </c>
      <c r="D21" s="135"/>
      <c r="E21" s="136">
        <f t="shared" si="15"/>
        <v>0</v>
      </c>
      <c r="F21" s="135"/>
      <c r="G21" s="140">
        <f t="shared" si="1"/>
        <v>0</v>
      </c>
      <c r="H21" s="136">
        <f t="shared" si="16"/>
        <v>0</v>
      </c>
      <c r="I21" s="135"/>
      <c r="J21" s="136">
        <f t="shared" si="17"/>
        <v>0</v>
      </c>
      <c r="K21" s="135"/>
      <c r="L21" s="140">
        <f t="shared" si="2"/>
        <v>0</v>
      </c>
      <c r="M21" s="136">
        <f t="shared" si="20"/>
        <v>0</v>
      </c>
      <c r="N21" s="135"/>
      <c r="O21" s="140">
        <f t="shared" si="4"/>
        <v>0</v>
      </c>
      <c r="P21" s="136">
        <f t="shared" si="21"/>
        <v>0</v>
      </c>
      <c r="Q21" s="135"/>
      <c r="R21" s="136">
        <f t="shared" si="22"/>
        <v>0</v>
      </c>
      <c r="S21" s="135"/>
      <c r="T21" s="140">
        <f t="shared" si="19"/>
        <v>0</v>
      </c>
      <c r="U21" s="136">
        <f t="shared" si="23"/>
        <v>0</v>
      </c>
      <c r="V21" s="135"/>
      <c r="W21" s="136">
        <f t="shared" si="8"/>
        <v>0</v>
      </c>
      <c r="X21" s="135"/>
      <c r="Y21" s="140">
        <f t="shared" si="18"/>
        <v>0</v>
      </c>
      <c r="Z21" s="136">
        <f t="shared" si="24"/>
        <v>0</v>
      </c>
      <c r="AA21" s="135"/>
      <c r="AB21" s="140">
        <f t="shared" si="10"/>
        <v>0</v>
      </c>
      <c r="AC21" s="136">
        <f t="shared" si="25"/>
        <v>0</v>
      </c>
      <c r="AD21" s="135"/>
      <c r="AE21" s="136">
        <f t="shared" si="26"/>
        <v>0</v>
      </c>
      <c r="AF21" s="135"/>
      <c r="AG21" s="140">
        <f t="shared" si="13"/>
        <v>0</v>
      </c>
      <c r="AH21" s="136">
        <f t="shared" si="27"/>
        <v>0</v>
      </c>
    </row>
    <row r="22" spans="1:34" x14ac:dyDescent="0.3">
      <c r="A22" t="s">
        <v>530</v>
      </c>
      <c r="B22" s="132">
        <f>'Fuel factors'!D178</f>
        <v>0.112734</v>
      </c>
      <c r="C22" s="132">
        <f t="shared" si="0"/>
        <v>4.7199471046387709</v>
      </c>
      <c r="D22" s="135"/>
      <c r="E22" s="136">
        <f t="shared" si="15"/>
        <v>0</v>
      </c>
      <c r="F22" s="135"/>
      <c r="G22" s="140">
        <f t="shared" si="1"/>
        <v>0</v>
      </c>
      <c r="H22" s="136">
        <f t="shared" si="16"/>
        <v>0</v>
      </c>
      <c r="I22" s="135"/>
      <c r="J22" s="136">
        <f t="shared" si="17"/>
        <v>0</v>
      </c>
      <c r="K22" s="135"/>
      <c r="L22" s="140">
        <f t="shared" si="2"/>
        <v>0</v>
      </c>
      <c r="M22" s="136">
        <f t="shared" si="20"/>
        <v>0</v>
      </c>
      <c r="N22" s="135"/>
      <c r="O22" s="140">
        <f t="shared" si="4"/>
        <v>0</v>
      </c>
      <c r="P22" s="136">
        <f t="shared" si="21"/>
        <v>0</v>
      </c>
      <c r="Q22" s="135"/>
      <c r="R22" s="136">
        <f t="shared" si="22"/>
        <v>0</v>
      </c>
      <c r="S22" s="135"/>
      <c r="T22" s="140">
        <f t="shared" si="19"/>
        <v>0</v>
      </c>
      <c r="U22" s="136">
        <f t="shared" si="23"/>
        <v>0</v>
      </c>
      <c r="V22" s="135"/>
      <c r="W22" s="136">
        <f t="shared" si="8"/>
        <v>0</v>
      </c>
      <c r="X22" s="135"/>
      <c r="Y22" s="140">
        <f t="shared" si="18"/>
        <v>0</v>
      </c>
      <c r="Z22" s="136">
        <f t="shared" si="24"/>
        <v>0</v>
      </c>
      <c r="AA22" s="135"/>
      <c r="AB22" s="140">
        <f t="shared" si="10"/>
        <v>0</v>
      </c>
      <c r="AC22" s="136">
        <f t="shared" si="25"/>
        <v>0</v>
      </c>
      <c r="AD22" s="135"/>
      <c r="AE22" s="136">
        <f t="shared" si="26"/>
        <v>0</v>
      </c>
      <c r="AF22" s="135"/>
      <c r="AG22" s="140">
        <f t="shared" si="13"/>
        <v>0</v>
      </c>
      <c r="AH22" s="136">
        <f t="shared" si="27"/>
        <v>0</v>
      </c>
    </row>
    <row r="23" spans="1:34" x14ac:dyDescent="0.3">
      <c r="A23" t="s">
        <v>531</v>
      </c>
      <c r="B23" s="132">
        <f>'Fuel factors'!D186</f>
        <v>0.112734</v>
      </c>
      <c r="C23" s="132">
        <f t="shared" si="0"/>
        <v>4.7199471046387709</v>
      </c>
      <c r="D23" s="135"/>
      <c r="E23" s="136">
        <f t="shared" si="15"/>
        <v>0</v>
      </c>
      <c r="F23" s="135"/>
      <c r="G23" s="140">
        <f t="shared" si="1"/>
        <v>0</v>
      </c>
      <c r="H23" s="136">
        <f t="shared" si="16"/>
        <v>0</v>
      </c>
      <c r="I23" s="135"/>
      <c r="J23" s="136">
        <f t="shared" si="17"/>
        <v>0</v>
      </c>
      <c r="K23" s="135"/>
      <c r="L23" s="140">
        <f t="shared" si="2"/>
        <v>0</v>
      </c>
      <c r="M23" s="136">
        <f t="shared" si="20"/>
        <v>0</v>
      </c>
      <c r="N23" s="135"/>
      <c r="O23" s="140">
        <f t="shared" si="4"/>
        <v>0</v>
      </c>
      <c r="P23" s="136">
        <f t="shared" si="21"/>
        <v>0</v>
      </c>
      <c r="Q23" s="135"/>
      <c r="R23" s="136">
        <f t="shared" si="22"/>
        <v>0</v>
      </c>
      <c r="S23" s="135"/>
      <c r="T23" s="140">
        <f t="shared" si="19"/>
        <v>0</v>
      </c>
      <c r="U23" s="136">
        <f t="shared" si="23"/>
        <v>0</v>
      </c>
      <c r="V23" s="135"/>
      <c r="W23" s="136">
        <f t="shared" si="8"/>
        <v>0</v>
      </c>
      <c r="X23" s="135"/>
      <c r="Y23" s="140">
        <f t="shared" si="18"/>
        <v>0</v>
      </c>
      <c r="Z23" s="136">
        <f t="shared" si="24"/>
        <v>0</v>
      </c>
      <c r="AA23" s="135"/>
      <c r="AB23" s="140">
        <f t="shared" si="10"/>
        <v>0</v>
      </c>
      <c r="AC23" s="136">
        <f t="shared" si="25"/>
        <v>0</v>
      </c>
      <c r="AD23" s="135"/>
      <c r="AE23" s="136">
        <f t="shared" si="26"/>
        <v>0</v>
      </c>
      <c r="AF23" s="135"/>
      <c r="AG23" s="140">
        <f t="shared" si="13"/>
        <v>0</v>
      </c>
      <c r="AH23" s="136">
        <f t="shared" si="27"/>
        <v>0</v>
      </c>
    </row>
    <row r="24" spans="1:34" x14ac:dyDescent="0.3">
      <c r="A24" t="s">
        <v>536</v>
      </c>
      <c r="B24" s="132">
        <f>'Fuel factors'!D195</f>
        <v>7.7796000000000004E-2</v>
      </c>
      <c r="C24" s="132">
        <f t="shared" si="0"/>
        <v>3.2571629229201289</v>
      </c>
      <c r="D24" s="135"/>
      <c r="E24" s="136">
        <f t="shared" si="15"/>
        <v>0</v>
      </c>
      <c r="F24" s="135">
        <v>115</v>
      </c>
      <c r="G24" s="140">
        <f t="shared" si="1"/>
        <v>4814819.9924908066</v>
      </c>
      <c r="H24" s="136">
        <f t="shared" si="16"/>
        <v>374573.7361358148</v>
      </c>
      <c r="I24" s="135">
        <v>217000</v>
      </c>
      <c r="J24" s="136">
        <f t="shared" si="17"/>
        <v>16881.732</v>
      </c>
      <c r="K24" s="135"/>
      <c r="L24" s="140">
        <f t="shared" si="2"/>
        <v>0</v>
      </c>
      <c r="M24" s="136">
        <f t="shared" si="20"/>
        <v>0</v>
      </c>
      <c r="N24" s="135"/>
      <c r="O24" s="140">
        <f t="shared" si="4"/>
        <v>0</v>
      </c>
      <c r="P24" s="136">
        <f t="shared" si="21"/>
        <v>0</v>
      </c>
      <c r="Q24" s="135"/>
      <c r="R24" s="136">
        <f t="shared" si="22"/>
        <v>0</v>
      </c>
      <c r="S24" s="135"/>
      <c r="T24" s="140">
        <f t="shared" si="19"/>
        <v>0</v>
      </c>
      <c r="U24" s="136">
        <f t="shared" si="23"/>
        <v>0</v>
      </c>
      <c r="V24" s="135"/>
      <c r="W24" s="136">
        <f t="shared" si="8"/>
        <v>0</v>
      </c>
      <c r="X24" s="135"/>
      <c r="Y24" s="140">
        <f t="shared" si="18"/>
        <v>0</v>
      </c>
      <c r="Z24" s="136">
        <f t="shared" si="24"/>
        <v>0</v>
      </c>
      <c r="AA24" s="135">
        <v>2.8832267309744459</v>
      </c>
      <c r="AB24" s="140">
        <f t="shared" si="10"/>
        <v>120714.9365841711</v>
      </c>
      <c r="AC24" s="136">
        <f t="shared" si="25"/>
        <v>9391.1392065021755</v>
      </c>
      <c r="AD24" s="135"/>
      <c r="AE24" s="136">
        <f t="shared" si="26"/>
        <v>0</v>
      </c>
      <c r="AF24" s="135"/>
      <c r="AG24" s="140">
        <f t="shared" si="13"/>
        <v>0</v>
      </c>
      <c r="AH24" s="136">
        <f t="shared" si="27"/>
        <v>0</v>
      </c>
    </row>
    <row r="25" spans="1:34" x14ac:dyDescent="0.3">
      <c r="A25" t="s">
        <v>537</v>
      </c>
      <c r="B25" s="132">
        <f>'Fuel factors'!D203</f>
        <v>7.3696000000000011E-2</v>
      </c>
      <c r="C25" s="132">
        <f t="shared" si="0"/>
        <v>3.0855041231878482</v>
      </c>
      <c r="D25" s="135"/>
      <c r="E25" s="136">
        <f t="shared" si="15"/>
        <v>0</v>
      </c>
      <c r="F25" s="135"/>
      <c r="G25" s="140">
        <f t="shared" si="1"/>
        <v>0</v>
      </c>
      <c r="H25" s="136">
        <f t="shared" si="16"/>
        <v>0</v>
      </c>
      <c r="I25" s="135"/>
      <c r="J25" s="136">
        <f t="shared" si="17"/>
        <v>0</v>
      </c>
      <c r="K25" s="135"/>
      <c r="L25" s="140">
        <f t="shared" si="2"/>
        <v>0</v>
      </c>
      <c r="M25" s="136">
        <f t="shared" si="20"/>
        <v>0</v>
      </c>
      <c r="N25" s="135"/>
      <c r="O25" s="140">
        <f t="shared" si="4"/>
        <v>0</v>
      </c>
      <c r="P25" s="136">
        <f t="shared" si="21"/>
        <v>0</v>
      </c>
      <c r="Q25" s="135"/>
      <c r="R25" s="136">
        <f t="shared" si="22"/>
        <v>0</v>
      </c>
      <c r="S25" s="135">
        <v>2.0551919999999999</v>
      </c>
      <c r="T25" s="140">
        <f t="shared" si="19"/>
        <v>86046.778521801447</v>
      </c>
      <c r="U25" s="136">
        <f t="shared" si="23"/>
        <v>6341.30338994268</v>
      </c>
      <c r="V25" s="135"/>
      <c r="W25" s="136">
        <f t="shared" si="8"/>
        <v>0</v>
      </c>
      <c r="X25" s="135"/>
      <c r="Y25" s="140">
        <f t="shared" si="18"/>
        <v>0</v>
      </c>
      <c r="Z25" s="136">
        <f t="shared" si="24"/>
        <v>0</v>
      </c>
      <c r="AA25" s="135"/>
      <c r="AB25" s="140">
        <f t="shared" si="10"/>
        <v>0</v>
      </c>
      <c r="AC25" s="136">
        <f t="shared" si="25"/>
        <v>0</v>
      </c>
      <c r="AD25" s="135"/>
      <c r="AE25" s="136">
        <f t="shared" si="26"/>
        <v>0</v>
      </c>
      <c r="AF25" s="135"/>
      <c r="AG25" s="140">
        <f t="shared" si="13"/>
        <v>0</v>
      </c>
      <c r="AH25" s="136">
        <f t="shared" si="27"/>
        <v>0</v>
      </c>
    </row>
    <row r="26" spans="1:34" x14ac:dyDescent="0.3">
      <c r="A26" t="s">
        <v>538</v>
      </c>
      <c r="B26" s="132">
        <f>'Fuel factors'!D211</f>
        <v>0.10754000000000001</v>
      </c>
      <c r="C26" s="132">
        <f t="shared" si="0"/>
        <v>4.5024847129779255</v>
      </c>
      <c r="D26" s="135">
        <v>5816000</v>
      </c>
      <c r="E26" s="136">
        <f>D26*B26</f>
        <v>625452.64</v>
      </c>
      <c r="F26" s="135"/>
      <c r="G26" s="140">
        <f t="shared" si="1"/>
        <v>0</v>
      </c>
      <c r="H26" s="136">
        <f t="shared" si="16"/>
        <v>0</v>
      </c>
      <c r="I26" s="135"/>
      <c r="J26" s="136">
        <f t="shared" si="17"/>
        <v>0</v>
      </c>
      <c r="K26" s="135"/>
      <c r="L26" s="140">
        <f t="shared" si="2"/>
        <v>0</v>
      </c>
      <c r="M26" s="136">
        <f t="shared" si="20"/>
        <v>0</v>
      </c>
      <c r="N26" s="135"/>
      <c r="O26" s="140">
        <f t="shared" si="4"/>
        <v>0</v>
      </c>
      <c r="P26" s="136">
        <f t="shared" si="21"/>
        <v>0</v>
      </c>
      <c r="Q26" s="135"/>
      <c r="R26" s="136">
        <f t="shared" si="22"/>
        <v>0</v>
      </c>
      <c r="S26" s="135"/>
      <c r="T26" s="140">
        <f t="shared" si="19"/>
        <v>0</v>
      </c>
      <c r="U26" s="136">
        <f t="shared" si="23"/>
        <v>0</v>
      </c>
      <c r="V26" s="135"/>
      <c r="W26" s="136">
        <f t="shared" si="8"/>
        <v>0</v>
      </c>
      <c r="X26" s="135"/>
      <c r="Y26" s="140">
        <f t="shared" si="18"/>
        <v>0</v>
      </c>
      <c r="Z26" s="136">
        <f t="shared" si="24"/>
        <v>0</v>
      </c>
      <c r="AA26" s="135">
        <v>163.99144135609771</v>
      </c>
      <c r="AB26" s="140">
        <f t="shared" si="10"/>
        <v>6865993.6559888944</v>
      </c>
      <c r="AC26" s="136">
        <f t="shared" si="25"/>
        <v>738368.95776504581</v>
      </c>
      <c r="AD26" s="135"/>
      <c r="AE26" s="136">
        <f t="shared" si="26"/>
        <v>0</v>
      </c>
      <c r="AF26" s="135">
        <v>141</v>
      </c>
      <c r="AG26" s="140">
        <f t="shared" si="13"/>
        <v>5903387.9907930763</v>
      </c>
      <c r="AH26" s="136">
        <f t="shared" si="27"/>
        <v>634850.34452988754</v>
      </c>
    </row>
    <row r="27" spans="1:34" x14ac:dyDescent="0.3">
      <c r="A27" t="s">
        <v>539</v>
      </c>
      <c r="B27" s="132">
        <f>'Fuel factors'!D220</f>
        <v>7.1196000000000009E-2</v>
      </c>
      <c r="C27" s="132">
        <f t="shared" si="0"/>
        <v>2.9808341233510913</v>
      </c>
      <c r="D27" s="135"/>
      <c r="E27" s="136">
        <f t="shared" si="15"/>
        <v>0</v>
      </c>
      <c r="F27" s="135"/>
      <c r="G27" s="140">
        <f t="shared" si="1"/>
        <v>0</v>
      </c>
      <c r="H27" s="136">
        <f t="shared" si="16"/>
        <v>0</v>
      </c>
      <c r="I27" s="135"/>
      <c r="J27" s="136">
        <f t="shared" si="17"/>
        <v>0</v>
      </c>
      <c r="K27" s="135"/>
      <c r="L27" s="140">
        <f t="shared" si="2"/>
        <v>0</v>
      </c>
      <c r="M27" s="136">
        <f t="shared" si="20"/>
        <v>0</v>
      </c>
      <c r="N27" s="135"/>
      <c r="O27" s="140">
        <f t="shared" si="4"/>
        <v>0</v>
      </c>
      <c r="P27" s="136">
        <f t="shared" si="21"/>
        <v>0</v>
      </c>
      <c r="Q27" s="135"/>
      <c r="R27" s="136">
        <f t="shared" si="22"/>
        <v>0</v>
      </c>
      <c r="S27" s="135">
        <v>1146.641292</v>
      </c>
      <c r="T27" s="140">
        <f t="shared" si="19"/>
        <v>48007577.53858339</v>
      </c>
      <c r="U27" s="136">
        <f t="shared" si="23"/>
        <v>3417947.4904369833</v>
      </c>
      <c r="V27" s="135"/>
      <c r="W27" s="136">
        <f t="shared" si="8"/>
        <v>0</v>
      </c>
      <c r="X27" s="135"/>
      <c r="Y27" s="140">
        <f t="shared" si="18"/>
        <v>0</v>
      </c>
      <c r="Z27" s="136">
        <f t="shared" si="24"/>
        <v>0</v>
      </c>
      <c r="AA27" s="135"/>
      <c r="AB27" s="140">
        <f t="shared" si="10"/>
        <v>0</v>
      </c>
      <c r="AC27" s="136">
        <f t="shared" si="25"/>
        <v>0</v>
      </c>
      <c r="AD27" s="135"/>
      <c r="AE27" s="136">
        <f t="shared" si="26"/>
        <v>0</v>
      </c>
      <c r="AF27" s="135"/>
      <c r="AG27" s="140">
        <f t="shared" si="13"/>
        <v>0</v>
      </c>
      <c r="AH27" s="136">
        <f t="shared" si="27"/>
        <v>0</v>
      </c>
    </row>
    <row r="28" spans="1:34" s="152" customFormat="1" ht="16" thickBot="1" x14ac:dyDescent="0.4">
      <c r="A28" s="129" t="s">
        <v>554</v>
      </c>
      <c r="B28" s="146"/>
      <c r="C28" s="146"/>
      <c r="D28" s="142">
        <f>SUM(D3:D27)</f>
        <v>29944000</v>
      </c>
      <c r="E28" s="144">
        <f>SUM(E3:E27)</f>
        <v>1365798.2537444592</v>
      </c>
      <c r="F28" s="142"/>
      <c r="G28" s="143">
        <f>SUM(G3:G27)</f>
        <v>742822054.84149456</v>
      </c>
      <c r="H28" s="144">
        <f>SUM(H3:H27)</f>
        <v>54043138.075422779</v>
      </c>
      <c r="I28" s="142">
        <f>SUM(I3:I27)</f>
        <v>51464000</v>
      </c>
      <c r="J28" s="144">
        <f>SUM(J3:J27)</f>
        <v>2768464.5464771353</v>
      </c>
      <c r="K28" s="142"/>
      <c r="L28" s="143">
        <f>SUM(L3:L27)</f>
        <v>11681171.981782045</v>
      </c>
      <c r="M28" s="144">
        <f>SUM(M3:M27)</f>
        <v>1337749.6484425736</v>
      </c>
      <c r="N28" s="142"/>
      <c r="O28" s="143">
        <f t="shared" ref="O28:W28" si="28">SUM(O3:O27)</f>
        <v>967105581.05170202</v>
      </c>
      <c r="P28" s="144">
        <f t="shared" si="28"/>
        <v>125846971.16608369</v>
      </c>
      <c r="Q28" s="142">
        <f t="shared" si="28"/>
        <v>947110000</v>
      </c>
      <c r="R28" s="144">
        <f t="shared" si="28"/>
        <v>82456130.982681617</v>
      </c>
      <c r="S28" s="142"/>
      <c r="T28" s="143">
        <f>SUM(T3:T27)</f>
        <v>275330127.48383117</v>
      </c>
      <c r="U28" s="144">
        <f>SUM(U3:U27)</f>
        <v>26050471.78674021</v>
      </c>
      <c r="V28" s="142">
        <f t="shared" si="28"/>
        <v>132555000</v>
      </c>
      <c r="W28" s="144">
        <f t="shared" si="28"/>
        <v>3613428.4800000004</v>
      </c>
      <c r="X28" s="142"/>
      <c r="Y28" s="143">
        <f>SUM(Y3:Y27)</f>
        <v>241285283.62369147</v>
      </c>
      <c r="Z28" s="144">
        <f>SUM(Z3:Z27)</f>
        <v>24220321.13620666</v>
      </c>
      <c r="AA28" s="142"/>
      <c r="AB28" s="143">
        <f>SUM(AB3:AB27)</f>
        <v>29235046.118683431</v>
      </c>
      <c r="AC28" s="144">
        <f>SUM(AC3:AC27)</f>
        <v>4341236.6015430661</v>
      </c>
      <c r="AD28" s="142">
        <f>SUM(AD3:AD27)</f>
        <v>144634600</v>
      </c>
      <c r="AE28" s="144">
        <f>SUM(AE3:AE27)</f>
        <v>16299072.208984148</v>
      </c>
      <c r="AF28" s="142"/>
      <c r="AG28" s="143">
        <f>SUM(AG3:AG27)</f>
        <v>122003351.80972357</v>
      </c>
      <c r="AH28" s="144">
        <f>SUM(AH3:AH27)</f>
        <v>11299983.902599813</v>
      </c>
    </row>
    <row r="29" spans="1:34" s="152" customFormat="1" ht="16.5" thickTop="1" thickBot="1" x14ac:dyDescent="0.4">
      <c r="A29" s="129" t="s">
        <v>555</v>
      </c>
      <c r="B29" s="146"/>
      <c r="C29" s="146"/>
      <c r="D29" s="137"/>
      <c r="E29" s="138">
        <f>E28/1000000</f>
        <v>1.3657982537444593</v>
      </c>
      <c r="F29" s="137"/>
      <c r="G29" s="141"/>
      <c r="H29" s="138">
        <f>H28/1000000</f>
        <v>54.043138075422782</v>
      </c>
      <c r="I29" s="137"/>
      <c r="J29" s="138">
        <f>J28/1000000</f>
        <v>2.7684645464771354</v>
      </c>
      <c r="K29" s="137"/>
      <c r="L29" s="141"/>
      <c r="M29" s="138">
        <f>M28/1000000</f>
        <v>1.3377496484425737</v>
      </c>
      <c r="N29" s="137"/>
      <c r="O29" s="141"/>
      <c r="P29" s="138">
        <f>P28/1000000</f>
        <v>125.84697116608369</v>
      </c>
      <c r="Q29" s="137"/>
      <c r="R29" s="138">
        <f>R28/1000000</f>
        <v>82.456130982681614</v>
      </c>
      <c r="S29" s="137"/>
      <c r="T29" s="141"/>
      <c r="U29" s="138">
        <f>U28/1000000</f>
        <v>26.050471786740211</v>
      </c>
      <c r="V29" s="137"/>
      <c r="W29" s="138">
        <f>W28/1000000</f>
        <v>3.6134284800000005</v>
      </c>
      <c r="X29" s="137"/>
      <c r="Y29" s="141"/>
      <c r="Z29" s="138">
        <f>Z28/1000000</f>
        <v>24.22032113620666</v>
      </c>
      <c r="AA29" s="137"/>
      <c r="AB29" s="141"/>
      <c r="AC29" s="138">
        <f>AC28/1000000</f>
        <v>4.3412366015430663</v>
      </c>
      <c r="AD29" s="148"/>
      <c r="AE29" s="138">
        <f>AE28/1000000</f>
        <v>16.299072208984146</v>
      </c>
      <c r="AF29" s="137"/>
      <c r="AG29" s="141"/>
      <c r="AH29" s="138">
        <f>AH28/1000000</f>
        <v>11.299983902599813</v>
      </c>
    </row>
    <row r="30" spans="1:34" ht="14.5" thickTop="1" x14ac:dyDescent="0.3">
      <c r="A30" s="124"/>
      <c r="S30" s="124"/>
      <c r="T30" s="124"/>
      <c r="X30" s="124"/>
      <c r="Y30" s="124"/>
    </row>
    <row r="31" spans="1:34" x14ac:dyDescent="0.3">
      <c r="D31" s="124"/>
    </row>
    <row r="32" spans="1:34" x14ac:dyDescent="0.3">
      <c r="S32" s="124"/>
      <c r="T32" s="124"/>
      <c r="X32" s="124"/>
      <c r="Y32" s="124"/>
    </row>
    <row r="34" spans="1:40" x14ac:dyDescent="0.3">
      <c r="A34" s="125" t="s">
        <v>551</v>
      </c>
    </row>
    <row r="35" spans="1:40" x14ac:dyDescent="0.3">
      <c r="A35" s="124" t="s">
        <v>557</v>
      </c>
    </row>
    <row r="36" spans="1:40" x14ac:dyDescent="0.3">
      <c r="A36" s="124" t="s">
        <v>558</v>
      </c>
    </row>
    <row r="37" spans="1:40" x14ac:dyDescent="0.3">
      <c r="A37" s="124"/>
      <c r="B37" s="124"/>
    </row>
    <row r="38" spans="1:40" x14ac:dyDescent="0.3">
      <c r="A38" s="125" t="s">
        <v>548</v>
      </c>
    </row>
    <row r="39" spans="1:40" x14ac:dyDescent="0.3">
      <c r="A39" s="124" t="s">
        <v>51</v>
      </c>
      <c r="B39" s="131" t="s">
        <v>563</v>
      </c>
    </row>
    <row r="40" spans="1:40" x14ac:dyDescent="0.3">
      <c r="A40" s="169" t="s">
        <v>763</v>
      </c>
      <c r="B40" t="s">
        <v>765</v>
      </c>
      <c r="AC40"/>
      <c r="AF40" s="147"/>
      <c r="AH40"/>
      <c r="AI40"/>
      <c r="AJ40"/>
      <c r="AK40" s="147"/>
      <c r="AL40"/>
      <c r="AM40"/>
      <c r="AN40" s="147"/>
    </row>
    <row r="41" spans="1:40" x14ac:dyDescent="0.3">
      <c r="A41" s="124" t="s">
        <v>50</v>
      </c>
      <c r="B41" t="s">
        <v>552</v>
      </c>
    </row>
    <row r="42" spans="1:40" x14ac:dyDescent="0.3">
      <c r="A42" s="124" t="s">
        <v>49</v>
      </c>
      <c r="B42" s="130" t="s">
        <v>552</v>
      </c>
    </row>
    <row r="43" spans="1:40" x14ac:dyDescent="0.3">
      <c r="A43" s="124" t="s">
        <v>46</v>
      </c>
      <c r="B43" t="s">
        <v>552</v>
      </c>
    </row>
    <row r="44" spans="1:40" x14ac:dyDescent="0.3">
      <c r="A44" s="124" t="s">
        <v>53</v>
      </c>
      <c r="B44" t="s">
        <v>556</v>
      </c>
    </row>
    <row r="45" spans="1:40" x14ac:dyDescent="0.3">
      <c r="A45" s="124" t="s">
        <v>52</v>
      </c>
      <c r="B45" s="130" t="s">
        <v>559</v>
      </c>
    </row>
    <row r="46" spans="1:40" x14ac:dyDescent="0.3">
      <c r="A46" s="124" t="s">
        <v>54</v>
      </c>
      <c r="B46" t="s">
        <v>562</v>
      </c>
    </row>
    <row r="47" spans="1:40" x14ac:dyDescent="0.3">
      <c r="A47" s="124" t="s">
        <v>55</v>
      </c>
      <c r="B47" t="s">
        <v>564</v>
      </c>
    </row>
    <row r="49" spans="1:40" x14ac:dyDescent="0.3">
      <c r="A49" s="125" t="s">
        <v>573</v>
      </c>
      <c r="C49" s="124" t="s">
        <v>254</v>
      </c>
      <c r="D49" s="124" t="s">
        <v>574</v>
      </c>
    </row>
    <row r="50" spans="1:40" x14ac:dyDescent="0.3">
      <c r="A50" s="124" t="s">
        <v>55</v>
      </c>
      <c r="B50" s="132">
        <f>+'Input_Energy Context'!J12</f>
        <v>4.2965859968044848E-2</v>
      </c>
      <c r="C50" s="124" t="s">
        <v>298</v>
      </c>
      <c r="D50" s="169" t="s">
        <v>713</v>
      </c>
    </row>
    <row r="51" spans="1:40" x14ac:dyDescent="0.3">
      <c r="A51" s="124" t="s">
        <v>51</v>
      </c>
      <c r="B51" s="132">
        <f>'Input_Energy Context'!F12</f>
        <v>0.35019264315809107</v>
      </c>
      <c r="C51" s="124" t="s">
        <v>298</v>
      </c>
      <c r="D51" s="169" t="s">
        <v>713</v>
      </c>
    </row>
    <row r="52" spans="1:40" x14ac:dyDescent="0.3">
      <c r="A52" s="169" t="s">
        <v>763</v>
      </c>
      <c r="B52" s="132">
        <f>'Input_Energy Context'!K12</f>
        <v>0.14515986502334785</v>
      </c>
      <c r="C52" s="169" t="s">
        <v>298</v>
      </c>
      <c r="D52" s="169" t="s">
        <v>713</v>
      </c>
      <c r="AC52"/>
      <c r="AF52" s="147"/>
      <c r="AH52"/>
      <c r="AI52"/>
      <c r="AJ52"/>
      <c r="AK52" s="147"/>
      <c r="AL52"/>
      <c r="AM52"/>
      <c r="AN52" s="147"/>
    </row>
    <row r="53" spans="1:40" x14ac:dyDescent="0.3">
      <c r="A53" s="124" t="s">
        <v>46</v>
      </c>
      <c r="B53" s="132">
        <f>'Input_Energy Context'!B12</f>
        <v>0.6388533474370115</v>
      </c>
      <c r="C53" s="124" t="s">
        <v>298</v>
      </c>
      <c r="D53" s="169" t="s">
        <v>713</v>
      </c>
    </row>
    <row r="54" spans="1:40" x14ac:dyDescent="0.3">
      <c r="A54" s="124" t="s">
        <v>53</v>
      </c>
      <c r="B54" s="132">
        <f>'Input_Energy Context'!H12</f>
        <v>0.6373106018054876</v>
      </c>
      <c r="C54" s="124" t="s">
        <v>298</v>
      </c>
      <c r="D54" s="169" t="s">
        <v>713</v>
      </c>
    </row>
    <row r="55" spans="1:40" x14ac:dyDescent="0.3">
      <c r="A55" s="124" t="s">
        <v>52</v>
      </c>
      <c r="B55" s="132">
        <f>'Input_Energy Context'!G12</f>
        <v>0.31962067261904487</v>
      </c>
      <c r="C55" s="124" t="s">
        <v>298</v>
      </c>
      <c r="D55" s="169" t="s">
        <v>713</v>
      </c>
    </row>
    <row r="56" spans="1:40" x14ac:dyDescent="0.3">
      <c r="A56" s="169" t="s">
        <v>48</v>
      </c>
      <c r="B56" s="132">
        <f>'Input_Energy Context'!C12</f>
        <v>0.55057909980594144</v>
      </c>
      <c r="C56" s="124" t="s">
        <v>298</v>
      </c>
      <c r="D56" s="169" t="s">
        <v>713</v>
      </c>
    </row>
    <row r="57" spans="1:40" x14ac:dyDescent="0.3">
      <c r="A57" s="124" t="s">
        <v>49</v>
      </c>
      <c r="B57" s="132">
        <f>'Input_Energy Context'!D12</f>
        <v>0.39531206159723237</v>
      </c>
      <c r="C57" s="124" t="s">
        <v>298</v>
      </c>
      <c r="D57" s="169" t="s">
        <v>713</v>
      </c>
    </row>
    <row r="58" spans="1:40" x14ac:dyDescent="0.3">
      <c r="A58" s="169" t="s">
        <v>647</v>
      </c>
      <c r="B58" s="132">
        <f>'Input_Energy Context'!L12</f>
        <v>0.69079323816859484</v>
      </c>
      <c r="C58" s="124" t="s">
        <v>298</v>
      </c>
      <c r="D58" s="169" t="s">
        <v>713</v>
      </c>
    </row>
    <row r="59" spans="1:40" x14ac:dyDescent="0.3">
      <c r="A59" s="124" t="s">
        <v>54</v>
      </c>
      <c r="B59" s="132">
        <f>'Input_Energy Context'!I12</f>
        <v>0.46810625912218568</v>
      </c>
      <c r="C59" s="124" t="s">
        <v>298</v>
      </c>
      <c r="D59" s="169" t="s">
        <v>713</v>
      </c>
    </row>
    <row r="60" spans="1:40" x14ac:dyDescent="0.3">
      <c r="A60" s="124" t="s">
        <v>50</v>
      </c>
      <c r="B60" s="132">
        <f>'Input_Energy Context'!E12</f>
        <v>0.40406164852080534</v>
      </c>
      <c r="C60" s="124" t="s">
        <v>298</v>
      </c>
      <c r="D60" s="169" t="s">
        <v>713</v>
      </c>
    </row>
    <row r="61" spans="1:40" x14ac:dyDescent="0.3">
      <c r="A61" s="169"/>
      <c r="B61" s="132"/>
      <c r="C61" s="124"/>
      <c r="D61" s="124"/>
    </row>
    <row r="62" spans="1:40" x14ac:dyDescent="0.3">
      <c r="A62" s="153"/>
      <c r="B62" s="279" t="s">
        <v>704</v>
      </c>
      <c r="C62" s="169"/>
    </row>
    <row r="63" spans="1:40" x14ac:dyDescent="0.3">
      <c r="A63" s="153" t="str">
        <f>A50</f>
        <v>Albania</v>
      </c>
      <c r="B63" s="374">
        <f>E29</f>
        <v>1.3657982537444593</v>
      </c>
    </row>
    <row r="64" spans="1:40" x14ac:dyDescent="0.3">
      <c r="A64" s="153" t="str">
        <f>A51</f>
        <v>Argentina</v>
      </c>
      <c r="B64" s="374">
        <f>H29</f>
        <v>54.043138075422782</v>
      </c>
    </row>
    <row r="65" spans="1:2" x14ac:dyDescent="0.3">
      <c r="A65" s="153" t="str">
        <f>A52</f>
        <v>Costa Rica</v>
      </c>
      <c r="B65" s="374">
        <f>J29</f>
        <v>2.7684645464771354</v>
      </c>
    </row>
    <row r="66" spans="1:2" x14ac:dyDescent="0.3">
      <c r="A66" s="153" t="str">
        <f>A53</f>
        <v>Djibouti</v>
      </c>
      <c r="B66" s="374">
        <f>M29</f>
        <v>1.3377496484425737</v>
      </c>
    </row>
    <row r="67" spans="1:2" x14ac:dyDescent="0.3">
      <c r="A67" s="153" t="str">
        <f>A54</f>
        <v>Indonesia</v>
      </c>
      <c r="B67" s="374">
        <f>P29</f>
        <v>125.84697116608369</v>
      </c>
    </row>
    <row r="68" spans="1:2" x14ac:dyDescent="0.3">
      <c r="A68" s="153" t="str">
        <f t="shared" ref="A68:A73" si="29">A55</f>
        <v>Mexico</v>
      </c>
      <c r="B68" s="374">
        <f>R29</f>
        <v>82.456130982681614</v>
      </c>
    </row>
    <row r="69" spans="1:2" x14ac:dyDescent="0.3">
      <c r="A69" s="153" t="str">
        <f t="shared" si="29"/>
        <v>Morocco</v>
      </c>
      <c r="B69" s="374">
        <f>U29</f>
        <v>26.050471786740211</v>
      </c>
    </row>
    <row r="70" spans="1:2" x14ac:dyDescent="0.3">
      <c r="A70" s="153" t="str">
        <f t="shared" si="29"/>
        <v>Nigeria</v>
      </c>
      <c r="B70" s="374">
        <f>Z29</f>
        <v>24.22032113620666</v>
      </c>
    </row>
    <row r="71" spans="1:2" x14ac:dyDescent="0.3">
      <c r="A71" s="153" t="str">
        <f t="shared" si="29"/>
        <v>N. Macedonia</v>
      </c>
      <c r="B71" s="374">
        <f>AC29</f>
        <v>4.3412366015430663</v>
      </c>
    </row>
    <row r="72" spans="1:2" x14ac:dyDescent="0.3">
      <c r="A72" s="153" t="str">
        <f t="shared" si="29"/>
        <v>Sri Lanka</v>
      </c>
      <c r="B72" s="374">
        <f>AE29</f>
        <v>16.299072208984146</v>
      </c>
    </row>
    <row r="73" spans="1:2" x14ac:dyDescent="0.3">
      <c r="A73" s="153" t="str">
        <f t="shared" si="29"/>
        <v>Tunisia</v>
      </c>
      <c r="B73" s="374">
        <f>AH29</f>
        <v>11.299983902599813</v>
      </c>
    </row>
    <row r="74" spans="1:2" x14ac:dyDescent="0.3">
      <c r="A74" s="278" t="s">
        <v>284</v>
      </c>
      <c r="B74" s="374">
        <f>SUM(B63:B73)</f>
        <v>350.02933830892619</v>
      </c>
    </row>
  </sheetData>
  <mergeCells count="13">
    <mergeCell ref="V1:W1"/>
    <mergeCell ref="F1:H1"/>
    <mergeCell ref="B1:C1"/>
    <mergeCell ref="AF1:AH1"/>
    <mergeCell ref="K1:M1"/>
    <mergeCell ref="N1:P1"/>
    <mergeCell ref="X1:Z1"/>
    <mergeCell ref="Q1:R1"/>
    <mergeCell ref="AD1:AE1"/>
    <mergeCell ref="D1:E1"/>
    <mergeCell ref="S1:U1"/>
    <mergeCell ref="AA1:AC1"/>
    <mergeCell ref="I1:J1"/>
  </mergeCells>
  <hyperlinks>
    <hyperlink ref="B45" r:id="rId1"/>
    <hyperlink ref="B42" r:id="rId2"/>
  </hyperlinks>
  <pageMargins left="0.7" right="0.7" top="0.75" bottom="0.75" header="0.3" footer="0.3"/>
  <pageSetup paperSize="9" orientation="portrait" r:id="rId3"/>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987"/>
  <sheetViews>
    <sheetView workbookViewId="0">
      <pane xSplit="1" ySplit="2" topLeftCell="B3" activePane="bottomRight" state="frozen"/>
      <selection pane="topRight" activeCell="B1" sqref="B1"/>
      <selection pane="bottomLeft" activeCell="A3" sqref="A3"/>
      <selection pane="bottomRight" activeCell="L13" sqref="L13"/>
    </sheetView>
  </sheetViews>
  <sheetFormatPr baseColWidth="10" defaultColWidth="12.58203125" defaultRowHeight="14" x14ac:dyDescent="0.3"/>
  <cols>
    <col min="1" max="1" width="16" style="195" customWidth="1"/>
    <col min="2" max="7" width="14.5" style="195" customWidth="1"/>
    <col min="8" max="8" width="19.58203125" style="195" bestFit="1" customWidth="1"/>
    <col min="9" max="9" width="20.33203125" style="195" customWidth="1"/>
    <col min="10" max="12" width="14.5" style="195" customWidth="1"/>
    <col min="13" max="13" width="21.33203125" style="195" customWidth="1"/>
    <col min="14" max="54" width="14.5" style="195" customWidth="1"/>
    <col min="55" max="16384" width="12.58203125" style="195"/>
  </cols>
  <sheetData>
    <row r="1" spans="1:54" ht="13.5" customHeight="1" x14ac:dyDescent="0.3">
      <c r="A1" s="194"/>
      <c r="B1" s="195" t="s">
        <v>620</v>
      </c>
      <c r="D1" s="282" t="s">
        <v>683</v>
      </c>
      <c r="E1" s="283">
        <f>3%*15</f>
        <v>0.44999999999999996</v>
      </c>
      <c r="F1" s="282" t="s">
        <v>684</v>
      </c>
    </row>
    <row r="2" spans="1:54" ht="13.5" customHeight="1" x14ac:dyDescent="0.3">
      <c r="A2" s="196"/>
      <c r="B2" s="195" t="s">
        <v>621</v>
      </c>
    </row>
    <row r="3" spans="1:54" ht="14.5" x14ac:dyDescent="0.35">
      <c r="A3" s="197"/>
      <c r="B3" s="197"/>
      <c r="C3" s="197"/>
      <c r="D3" s="197"/>
      <c r="E3" s="197"/>
      <c r="F3" s="197"/>
      <c r="G3" s="197"/>
      <c r="H3" s="197"/>
      <c r="I3" s="194" t="s">
        <v>622</v>
      </c>
      <c r="J3" s="197"/>
      <c r="K3" s="197"/>
      <c r="L3" s="197"/>
      <c r="M3" s="197"/>
      <c r="N3" s="197"/>
      <c r="O3" s="197"/>
      <c r="P3" s="198" t="s">
        <v>623</v>
      </c>
      <c r="Q3" s="197"/>
      <c r="R3" s="197"/>
      <c r="S3" s="197"/>
      <c r="T3" s="197"/>
      <c r="U3" s="197"/>
      <c r="V3" s="197"/>
      <c r="W3" s="241" t="s">
        <v>721</v>
      </c>
      <c r="X3" s="197"/>
      <c r="Y3" s="197"/>
      <c r="Z3" s="197"/>
      <c r="AA3" s="197"/>
      <c r="AB3" s="197"/>
      <c r="AC3" s="197"/>
      <c r="AD3" s="198" t="s">
        <v>624</v>
      </c>
      <c r="AE3" s="197"/>
      <c r="AF3" s="197"/>
      <c r="AG3" s="197"/>
      <c r="AH3" s="197"/>
      <c r="AI3" s="197"/>
      <c r="AJ3" s="197"/>
      <c r="AK3" s="197"/>
      <c r="AL3" s="199" t="s">
        <v>625</v>
      </c>
      <c r="AM3" s="387" t="s">
        <v>722</v>
      </c>
      <c r="AN3" s="386"/>
      <c r="AO3" s="386"/>
      <c r="AP3" s="386"/>
      <c r="AQ3" s="386"/>
      <c r="AR3" s="386"/>
      <c r="AS3" s="386"/>
      <c r="AU3" s="200"/>
      <c r="AV3" s="200"/>
      <c r="AW3" s="200"/>
      <c r="AX3" s="200"/>
      <c r="AY3" s="200"/>
      <c r="AZ3" s="200"/>
      <c r="BA3" s="198"/>
      <c r="BB3" s="198"/>
    </row>
    <row r="4" spans="1:54" ht="57.75" customHeight="1" x14ac:dyDescent="0.35">
      <c r="A4" s="197" t="s">
        <v>45</v>
      </c>
      <c r="B4" s="201" t="s">
        <v>58</v>
      </c>
      <c r="C4" s="201" t="s">
        <v>59</v>
      </c>
      <c r="D4" s="201" t="s">
        <v>60</v>
      </c>
      <c r="E4" s="201" t="s">
        <v>61</v>
      </c>
      <c r="F4" s="201" t="s">
        <v>62</v>
      </c>
      <c r="G4" s="201" t="s">
        <v>63</v>
      </c>
      <c r="H4" s="201" t="s">
        <v>64</v>
      </c>
      <c r="I4" s="202" t="s">
        <v>58</v>
      </c>
      <c r="J4" s="202" t="s">
        <v>59</v>
      </c>
      <c r="K4" s="202" t="s">
        <v>60</v>
      </c>
      <c r="L4" s="202" t="s">
        <v>61</v>
      </c>
      <c r="M4" s="202" t="s">
        <v>62</v>
      </c>
      <c r="N4" s="202" t="s">
        <v>63</v>
      </c>
      <c r="O4" s="202" t="s">
        <v>64</v>
      </c>
      <c r="P4" s="202" t="s">
        <v>626</v>
      </c>
      <c r="Q4" s="202" t="s">
        <v>627</v>
      </c>
      <c r="R4" s="202" t="s">
        <v>628</v>
      </c>
      <c r="S4" s="202" t="s">
        <v>629</v>
      </c>
      <c r="T4" s="202" t="s">
        <v>630</v>
      </c>
      <c r="U4" s="202" t="s">
        <v>631</v>
      </c>
      <c r="V4" s="202" t="s">
        <v>632</v>
      </c>
      <c r="W4" s="202" t="s">
        <v>58</v>
      </c>
      <c r="X4" s="202" t="s">
        <v>59</v>
      </c>
      <c r="Y4" s="202" t="s">
        <v>60</v>
      </c>
      <c r="Z4" s="202" t="s">
        <v>61</v>
      </c>
      <c r="AA4" s="202" t="s">
        <v>62</v>
      </c>
      <c r="AB4" s="202" t="s">
        <v>63</v>
      </c>
      <c r="AC4" s="202" t="s">
        <v>64</v>
      </c>
      <c r="AD4" s="202" t="s">
        <v>58</v>
      </c>
      <c r="AE4" s="202" t="s">
        <v>59</v>
      </c>
      <c r="AF4" s="202" t="s">
        <v>60</v>
      </c>
      <c r="AG4" s="202" t="s">
        <v>61</v>
      </c>
      <c r="AH4" s="202" t="s">
        <v>62</v>
      </c>
      <c r="AI4" s="202" t="s">
        <v>63</v>
      </c>
      <c r="AJ4" s="202" t="s">
        <v>64</v>
      </c>
      <c r="AK4" s="242" t="s">
        <v>284</v>
      </c>
      <c r="AL4" s="203" t="s">
        <v>633</v>
      </c>
      <c r="AM4" s="202" t="s">
        <v>58</v>
      </c>
      <c r="AN4" s="202" t="s">
        <v>59</v>
      </c>
      <c r="AO4" s="202" t="s">
        <v>60</v>
      </c>
      <c r="AP4" s="202" t="s">
        <v>61</v>
      </c>
      <c r="AQ4" s="202" t="s">
        <v>62</v>
      </c>
      <c r="AR4" s="202" t="s">
        <v>63</v>
      </c>
      <c r="AS4" s="202" t="s">
        <v>64</v>
      </c>
      <c r="AT4" s="202" t="s">
        <v>58</v>
      </c>
      <c r="AU4" s="204" t="s">
        <v>59</v>
      </c>
      <c r="AV4" s="204" t="s">
        <v>60</v>
      </c>
      <c r="AW4" s="204" t="s">
        <v>61</v>
      </c>
      <c r="AX4" s="204" t="s">
        <v>62</v>
      </c>
      <c r="AY4" s="204" t="s">
        <v>63</v>
      </c>
      <c r="AZ4" s="204" t="s">
        <v>64</v>
      </c>
      <c r="BA4" s="204" t="s">
        <v>284</v>
      </c>
      <c r="BB4" s="197"/>
    </row>
    <row r="5" spans="1:54" ht="13.5" customHeight="1" x14ac:dyDescent="0.35">
      <c r="A5" s="205" t="s">
        <v>55</v>
      </c>
      <c r="B5" s="206">
        <f>'Input_Area and Costs'!J4</f>
        <v>0</v>
      </c>
      <c r="C5" s="206">
        <f>'Input_Area and Costs'!J5</f>
        <v>0</v>
      </c>
      <c r="D5" s="206">
        <f>'Input_Area and Costs'!J6</f>
        <v>393700</v>
      </c>
      <c r="E5" s="206">
        <f>'Input_Area and Costs'!J7</f>
        <v>0</v>
      </c>
      <c r="F5" s="206">
        <f>'Input_Area and Costs'!J8</f>
        <v>0</v>
      </c>
      <c r="G5" s="206">
        <f>'Input_Area and Costs'!J9</f>
        <v>0</v>
      </c>
      <c r="H5" s="206">
        <f>'Input_Area and Costs'!J10</f>
        <v>0</v>
      </c>
      <c r="I5" s="206">
        <f t="shared" ref="I5:I15" si="0">B5/60</f>
        <v>0</v>
      </c>
      <c r="J5" s="207">
        <f t="shared" ref="J5:J15" si="1">C5/5000</f>
        <v>0</v>
      </c>
      <c r="K5" s="284">
        <v>10</v>
      </c>
      <c r="L5" s="207">
        <f t="shared" ref="L5:L15" si="2">E5/10000</f>
        <v>0</v>
      </c>
      <c r="M5" s="207">
        <f t="shared" ref="M5:M15" si="3">F5/10000</f>
        <v>0</v>
      </c>
      <c r="N5" s="207" t="s">
        <v>164</v>
      </c>
      <c r="O5" s="207">
        <f t="shared" ref="O5:O15" si="4">H5/5000</f>
        <v>0</v>
      </c>
      <c r="P5" s="208">
        <v>3.7</v>
      </c>
      <c r="Q5" s="208" t="s">
        <v>164</v>
      </c>
      <c r="R5" s="208">
        <v>1.36</v>
      </c>
      <c r="S5" s="208">
        <v>5</v>
      </c>
      <c r="T5" s="208">
        <v>28</v>
      </c>
      <c r="U5" s="208" t="s">
        <v>218</v>
      </c>
      <c r="V5" s="208">
        <v>28</v>
      </c>
      <c r="W5" s="209">
        <v>1</v>
      </c>
      <c r="X5" s="388" t="s">
        <v>325</v>
      </c>
      <c r="Y5" s="388" t="s">
        <v>325</v>
      </c>
      <c r="Z5" s="209">
        <v>3</v>
      </c>
      <c r="AA5" s="209">
        <v>2</v>
      </c>
      <c r="AB5" s="209" t="s">
        <v>218</v>
      </c>
      <c r="AC5" s="209">
        <v>1</v>
      </c>
      <c r="AD5" s="210">
        <f t="shared" ref="AD5:AD15" si="5">IF(B5=0,0,W5*P5*I5)</f>
        <v>0</v>
      </c>
      <c r="AE5" s="210">
        <f t="shared" ref="AE5:AE15" si="6">IF(C5=0,0,(100000/Q5)*J5)</f>
        <v>0</v>
      </c>
      <c r="AF5" s="210">
        <f t="shared" ref="AF5:AF15" si="7">IF(D5=0,0,(100000/R5)*K5)</f>
        <v>735294.1176470588</v>
      </c>
      <c r="AG5" s="210">
        <f t="shared" ref="AG5:AG15" si="8">(E5/S5)*Z5</f>
        <v>0</v>
      </c>
      <c r="AH5" s="210">
        <f>(F5/T5)*AQ5</f>
        <v>0</v>
      </c>
      <c r="AI5" s="210">
        <v>0</v>
      </c>
      <c r="AJ5" s="210">
        <f t="shared" ref="AJ5:AJ15" si="9">(H5/V5)*AC5</f>
        <v>0</v>
      </c>
      <c r="AK5" s="210">
        <f>SUM(AD5:AJ5)</f>
        <v>735294.1176470588</v>
      </c>
      <c r="AL5" s="211">
        <v>103.7</v>
      </c>
      <c r="AM5" s="209">
        <v>0</v>
      </c>
      <c r="AN5" s="209">
        <v>0</v>
      </c>
      <c r="AO5" s="209">
        <v>0</v>
      </c>
      <c r="AP5" s="209">
        <v>2</v>
      </c>
      <c r="AQ5" s="209">
        <v>0</v>
      </c>
      <c r="AR5" s="209" t="s">
        <v>218</v>
      </c>
      <c r="AS5" s="209">
        <v>0</v>
      </c>
      <c r="AT5" s="212">
        <f t="shared" ref="AT5:AT15" si="10">IF(B5=0,0,W5*P5*AM5)</f>
        <v>0</v>
      </c>
      <c r="AU5" s="212">
        <v>0</v>
      </c>
      <c r="AV5" s="212">
        <f t="shared" ref="AV5:AV15" si="11">IF(D5=0,0,(100000/R5)*K5*AO5)</f>
        <v>0</v>
      </c>
      <c r="AW5" s="212">
        <f t="shared" ref="AW5:AW15" si="12">(E5/S5)*AP5</f>
        <v>0</v>
      </c>
      <c r="AX5" s="212">
        <f t="shared" ref="AX5:AX15" si="13">(F5/T5)*AQ5</f>
        <v>0</v>
      </c>
      <c r="AY5" s="212">
        <v>0</v>
      </c>
      <c r="AZ5" s="212">
        <f t="shared" ref="AZ5:AZ15" si="14">(H5/V5)*AS5</f>
        <v>0</v>
      </c>
      <c r="BA5" s="212">
        <f>SUM(AT5:AZ5)</f>
        <v>0</v>
      </c>
      <c r="BB5" s="213"/>
    </row>
    <row r="6" spans="1:54" ht="13.5" customHeight="1" x14ac:dyDescent="0.35">
      <c r="A6" s="205" t="s">
        <v>51</v>
      </c>
      <c r="B6" s="206">
        <f>'Input_Area and Costs'!F4</f>
        <v>525000</v>
      </c>
      <c r="C6" s="206">
        <f>'Input_Area and Costs'!F5</f>
        <v>0</v>
      </c>
      <c r="D6" s="206">
        <f>'Input_Area and Costs'!F6</f>
        <v>0</v>
      </c>
      <c r="E6" s="206">
        <f>'Input_Area and Costs'!F7</f>
        <v>0</v>
      </c>
      <c r="F6" s="206">
        <f>'Input_Area and Costs'!F8</f>
        <v>0</v>
      </c>
      <c r="G6" s="206">
        <f>'Input_Area and Costs'!F9</f>
        <v>0</v>
      </c>
      <c r="H6" s="206">
        <f>'Input_Area and Costs'!F10</f>
        <v>0</v>
      </c>
      <c r="I6" s="206">
        <f t="shared" si="0"/>
        <v>8750</v>
      </c>
      <c r="J6" s="207">
        <f t="shared" si="1"/>
        <v>0</v>
      </c>
      <c r="K6" s="207">
        <f t="shared" ref="K6:K15" si="15">D6/19000</f>
        <v>0</v>
      </c>
      <c r="L6" s="207">
        <f t="shared" si="2"/>
        <v>0</v>
      </c>
      <c r="M6" s="207">
        <f t="shared" si="3"/>
        <v>0</v>
      </c>
      <c r="N6" s="207" t="s">
        <v>164</v>
      </c>
      <c r="O6" s="207">
        <f t="shared" si="4"/>
        <v>0</v>
      </c>
      <c r="P6" s="208">
        <v>3.3</v>
      </c>
      <c r="Q6" s="208" t="s">
        <v>164</v>
      </c>
      <c r="R6" s="208" t="s">
        <v>164</v>
      </c>
      <c r="S6" s="208">
        <v>5</v>
      </c>
      <c r="T6" s="208">
        <v>28</v>
      </c>
      <c r="U6" s="208" t="s">
        <v>218</v>
      </c>
      <c r="V6" s="208">
        <v>28</v>
      </c>
      <c r="W6" s="209">
        <v>1</v>
      </c>
      <c r="X6" s="388" t="s">
        <v>325</v>
      </c>
      <c r="Y6" s="388" t="s">
        <v>325</v>
      </c>
      <c r="Z6" s="209">
        <v>3</v>
      </c>
      <c r="AA6" s="209">
        <v>2</v>
      </c>
      <c r="AB6" s="209" t="s">
        <v>218</v>
      </c>
      <c r="AC6" s="209">
        <v>1</v>
      </c>
      <c r="AD6" s="210">
        <f t="shared" si="5"/>
        <v>28875</v>
      </c>
      <c r="AE6" s="210">
        <f t="shared" si="6"/>
        <v>0</v>
      </c>
      <c r="AF6" s="210">
        <f t="shared" si="7"/>
        <v>0</v>
      </c>
      <c r="AG6" s="210">
        <f t="shared" si="8"/>
        <v>0</v>
      </c>
      <c r="AH6" s="210">
        <f t="shared" ref="AH6:AH15" si="16">(F6/T6)*AA6</f>
        <v>0</v>
      </c>
      <c r="AI6" s="210">
        <v>0</v>
      </c>
      <c r="AJ6" s="210">
        <f t="shared" si="9"/>
        <v>0</v>
      </c>
      <c r="AK6" s="210">
        <f t="shared" ref="AK6:AK15" si="17">SUM(AD6:AJ6)</f>
        <v>28875</v>
      </c>
      <c r="AL6" s="211">
        <v>95.3</v>
      </c>
      <c r="AM6" s="209">
        <v>0</v>
      </c>
      <c r="AN6" s="209">
        <v>0</v>
      </c>
      <c r="AO6" s="209">
        <v>0</v>
      </c>
      <c r="AP6" s="209">
        <v>2</v>
      </c>
      <c r="AQ6" s="209">
        <v>0</v>
      </c>
      <c r="AR6" s="209" t="s">
        <v>218</v>
      </c>
      <c r="AS6" s="209">
        <v>0</v>
      </c>
      <c r="AT6" s="212">
        <f t="shared" si="10"/>
        <v>0</v>
      </c>
      <c r="AU6" s="212">
        <v>0</v>
      </c>
      <c r="AV6" s="212">
        <f t="shared" si="11"/>
        <v>0</v>
      </c>
      <c r="AW6" s="212">
        <f t="shared" si="12"/>
        <v>0</v>
      </c>
      <c r="AX6" s="212">
        <f t="shared" si="13"/>
        <v>0</v>
      </c>
      <c r="AY6" s="212">
        <v>0</v>
      </c>
      <c r="AZ6" s="212">
        <f t="shared" si="14"/>
        <v>0</v>
      </c>
      <c r="BA6" s="212">
        <f t="shared" ref="BA6:BA15" si="18">SUM(AT6:AZ6)</f>
        <v>0</v>
      </c>
      <c r="BB6" s="213"/>
    </row>
    <row r="7" spans="1:54" ht="13.5" customHeight="1" x14ac:dyDescent="0.35">
      <c r="A7" s="236" t="s">
        <v>763</v>
      </c>
      <c r="B7" s="206">
        <f>'Input_Area and Costs'!K4</f>
        <v>0</v>
      </c>
      <c r="C7" s="206">
        <f>'Input_Area and Costs'!K5</f>
        <v>0</v>
      </c>
      <c r="D7" s="206">
        <f>'Input_Area and Costs'!K6</f>
        <v>0</v>
      </c>
      <c r="E7" s="206">
        <f>'Input_Area and Costs'!K7</f>
        <v>72800</v>
      </c>
      <c r="F7" s="206">
        <f>'Input_Area and Costs'!K8</f>
        <v>0</v>
      </c>
      <c r="G7" s="206">
        <f>'Input_Area and Costs'!K9</f>
        <v>0</v>
      </c>
      <c r="H7" s="206">
        <f>'Input_Area and Costs'!K10</f>
        <v>0</v>
      </c>
      <c r="I7" s="206">
        <f t="shared" si="0"/>
        <v>0</v>
      </c>
      <c r="J7" s="207">
        <f t="shared" si="1"/>
        <v>0</v>
      </c>
      <c r="K7" s="207">
        <f t="shared" si="15"/>
        <v>0</v>
      </c>
      <c r="L7" s="207">
        <f t="shared" si="2"/>
        <v>7.28</v>
      </c>
      <c r="M7" s="207">
        <f t="shared" si="3"/>
        <v>0</v>
      </c>
      <c r="N7" s="207" t="s">
        <v>164</v>
      </c>
      <c r="O7" s="207">
        <f t="shared" si="4"/>
        <v>0</v>
      </c>
      <c r="P7" s="478">
        <v>3.2</v>
      </c>
      <c r="Q7" s="478">
        <v>0.7</v>
      </c>
      <c r="R7" s="478">
        <v>0.84</v>
      </c>
      <c r="S7" s="478">
        <v>5</v>
      </c>
      <c r="T7" s="478">
        <v>28</v>
      </c>
      <c r="U7" s="478" t="s">
        <v>218</v>
      </c>
      <c r="V7" s="478">
        <v>28</v>
      </c>
      <c r="W7" s="388">
        <v>1</v>
      </c>
      <c r="X7" s="388" t="s">
        <v>325</v>
      </c>
      <c r="Y7" s="388" t="s">
        <v>325</v>
      </c>
      <c r="Z7" s="388">
        <v>3</v>
      </c>
      <c r="AA7" s="388">
        <v>2</v>
      </c>
      <c r="AB7" s="388" t="s">
        <v>218</v>
      </c>
      <c r="AC7" s="388">
        <v>1</v>
      </c>
      <c r="AD7" s="210">
        <f t="shared" si="5"/>
        <v>0</v>
      </c>
      <c r="AE7" s="210">
        <f t="shared" si="6"/>
        <v>0</v>
      </c>
      <c r="AF7" s="210">
        <f t="shared" si="7"/>
        <v>0</v>
      </c>
      <c r="AG7" s="210">
        <f t="shared" si="8"/>
        <v>43680</v>
      </c>
      <c r="AH7" s="210">
        <f t="shared" si="16"/>
        <v>0</v>
      </c>
      <c r="AI7" s="210">
        <v>0</v>
      </c>
      <c r="AJ7" s="210">
        <f t="shared" si="9"/>
        <v>0</v>
      </c>
      <c r="AK7" s="210">
        <f t="shared" si="17"/>
        <v>43680</v>
      </c>
      <c r="AL7" s="479">
        <v>99.8</v>
      </c>
      <c r="AM7" s="388">
        <v>0</v>
      </c>
      <c r="AN7" s="388">
        <v>0</v>
      </c>
      <c r="AO7" s="388">
        <v>0</v>
      </c>
      <c r="AP7" s="388">
        <v>2</v>
      </c>
      <c r="AQ7" s="388">
        <v>0</v>
      </c>
      <c r="AR7" s="388" t="s">
        <v>218</v>
      </c>
      <c r="AS7" s="388">
        <v>0</v>
      </c>
      <c r="AT7" s="212">
        <f t="shared" si="10"/>
        <v>0</v>
      </c>
      <c r="AU7" s="212">
        <v>0</v>
      </c>
      <c r="AV7" s="212">
        <f t="shared" si="11"/>
        <v>0</v>
      </c>
      <c r="AW7" s="212">
        <f t="shared" si="12"/>
        <v>29120</v>
      </c>
      <c r="AX7" s="212">
        <f t="shared" si="13"/>
        <v>0</v>
      </c>
      <c r="AY7" s="212">
        <v>0</v>
      </c>
      <c r="AZ7" s="212">
        <f t="shared" si="14"/>
        <v>0</v>
      </c>
      <c r="BA7" s="212">
        <f t="shared" si="18"/>
        <v>29120</v>
      </c>
      <c r="BB7" s="213"/>
    </row>
    <row r="8" spans="1:54" ht="13.5" customHeight="1" x14ac:dyDescent="0.35">
      <c r="A8" s="205" t="s">
        <v>46</v>
      </c>
      <c r="B8" s="206">
        <f>'Input_Area and Costs'!B4</f>
        <v>0</v>
      </c>
      <c r="C8" s="206">
        <f>'Input_Area and Costs'!B5</f>
        <v>0</v>
      </c>
      <c r="D8" s="206">
        <f>'Input_Area and Costs'!B6</f>
        <v>0</v>
      </c>
      <c r="E8" s="206">
        <f>'Input_Area and Costs'!B7</f>
        <v>0</v>
      </c>
      <c r="F8" s="206">
        <f>'Input_Area and Costs'!B8</f>
        <v>60000</v>
      </c>
      <c r="G8" s="206">
        <f>'Input_Area and Costs'!B9</f>
        <v>0</v>
      </c>
      <c r="H8" s="206">
        <f>'Input_Area and Costs'!B10</f>
        <v>0</v>
      </c>
      <c r="I8" s="206">
        <f t="shared" si="0"/>
        <v>0</v>
      </c>
      <c r="J8" s="207">
        <f t="shared" si="1"/>
        <v>0</v>
      </c>
      <c r="K8" s="207">
        <f t="shared" si="15"/>
        <v>0</v>
      </c>
      <c r="L8" s="207">
        <f t="shared" si="2"/>
        <v>0</v>
      </c>
      <c r="M8" s="207">
        <f t="shared" si="3"/>
        <v>6</v>
      </c>
      <c r="N8" s="207" t="s">
        <v>164</v>
      </c>
      <c r="O8" s="207">
        <f t="shared" si="4"/>
        <v>0</v>
      </c>
      <c r="P8" s="208">
        <v>6.3</v>
      </c>
      <c r="Q8" s="208">
        <v>99</v>
      </c>
      <c r="R8" s="208" t="s">
        <v>164</v>
      </c>
      <c r="S8" s="208">
        <v>5</v>
      </c>
      <c r="T8" s="208">
        <v>28</v>
      </c>
      <c r="U8" s="208" t="s">
        <v>218</v>
      </c>
      <c r="V8" s="208">
        <v>28</v>
      </c>
      <c r="W8" s="209">
        <v>1</v>
      </c>
      <c r="X8" s="388" t="s">
        <v>325</v>
      </c>
      <c r="Y8" s="388" t="s">
        <v>325</v>
      </c>
      <c r="Z8" s="209">
        <v>3</v>
      </c>
      <c r="AA8" s="209">
        <v>2</v>
      </c>
      <c r="AB8" s="209" t="s">
        <v>218</v>
      </c>
      <c r="AC8" s="209">
        <v>1</v>
      </c>
      <c r="AD8" s="210">
        <f t="shared" si="5"/>
        <v>0</v>
      </c>
      <c r="AE8" s="210">
        <f t="shared" si="6"/>
        <v>0</v>
      </c>
      <c r="AF8" s="210">
        <f t="shared" si="7"/>
        <v>0</v>
      </c>
      <c r="AG8" s="210">
        <f t="shared" si="8"/>
        <v>0</v>
      </c>
      <c r="AH8" s="210">
        <f t="shared" si="16"/>
        <v>4285.7142857142853</v>
      </c>
      <c r="AI8" s="210">
        <v>0</v>
      </c>
      <c r="AJ8" s="210">
        <f t="shared" si="9"/>
        <v>0</v>
      </c>
      <c r="AK8" s="210">
        <f t="shared" si="17"/>
        <v>4285.7142857142853</v>
      </c>
      <c r="AL8" s="211">
        <v>110.7</v>
      </c>
      <c r="AM8" s="209">
        <v>0</v>
      </c>
      <c r="AN8" s="209">
        <v>0</v>
      </c>
      <c r="AO8" s="209">
        <v>0</v>
      </c>
      <c r="AP8" s="209">
        <v>2</v>
      </c>
      <c r="AQ8" s="209">
        <v>0</v>
      </c>
      <c r="AR8" s="209" t="s">
        <v>218</v>
      </c>
      <c r="AS8" s="209">
        <v>0</v>
      </c>
      <c r="AT8" s="212">
        <f t="shared" si="10"/>
        <v>0</v>
      </c>
      <c r="AU8" s="212">
        <v>0</v>
      </c>
      <c r="AV8" s="212">
        <f t="shared" si="11"/>
        <v>0</v>
      </c>
      <c r="AW8" s="212">
        <f t="shared" si="12"/>
        <v>0</v>
      </c>
      <c r="AX8" s="212">
        <f t="shared" si="13"/>
        <v>0</v>
      </c>
      <c r="AY8" s="212">
        <v>0</v>
      </c>
      <c r="AZ8" s="212">
        <f t="shared" si="14"/>
        <v>0</v>
      </c>
      <c r="BA8" s="212">
        <f t="shared" si="18"/>
        <v>0</v>
      </c>
      <c r="BB8" s="213"/>
    </row>
    <row r="9" spans="1:54" ht="13.5" customHeight="1" x14ac:dyDescent="0.35">
      <c r="A9" s="205" t="s">
        <v>53</v>
      </c>
      <c r="B9" s="206">
        <f>'Input_Area and Costs'!H4</f>
        <v>207777.77777777778</v>
      </c>
      <c r="C9" s="206">
        <f>'Input_Area and Costs'!H5</f>
        <v>0</v>
      </c>
      <c r="D9" s="206">
        <f>'Input_Area and Costs'!H6</f>
        <v>0</v>
      </c>
      <c r="E9" s="206">
        <f>'Input_Area and Costs'!H7</f>
        <v>0</v>
      </c>
      <c r="F9" s="206">
        <f>'Input_Area and Costs'!H8</f>
        <v>0</v>
      </c>
      <c r="G9" s="206">
        <f>'Input_Area and Costs'!H9</f>
        <v>0</v>
      </c>
      <c r="H9" s="206">
        <f>'Input_Area and Costs'!H10</f>
        <v>0</v>
      </c>
      <c r="I9" s="206">
        <f t="shared" si="0"/>
        <v>3462.962962962963</v>
      </c>
      <c r="J9" s="207">
        <f t="shared" si="1"/>
        <v>0</v>
      </c>
      <c r="K9" s="207">
        <f t="shared" si="15"/>
        <v>0</v>
      </c>
      <c r="L9" s="207">
        <f t="shared" si="2"/>
        <v>0</v>
      </c>
      <c r="M9" s="207">
        <f t="shared" si="3"/>
        <v>0</v>
      </c>
      <c r="N9" s="207" t="s">
        <v>164</v>
      </c>
      <c r="O9" s="207">
        <f t="shared" si="4"/>
        <v>0</v>
      </c>
      <c r="P9" s="208">
        <v>4</v>
      </c>
      <c r="Q9" s="208">
        <v>3.42</v>
      </c>
      <c r="R9" s="208">
        <v>0.43</v>
      </c>
      <c r="S9" s="208">
        <v>5</v>
      </c>
      <c r="T9" s="208">
        <v>28</v>
      </c>
      <c r="U9" s="208" t="s">
        <v>218</v>
      </c>
      <c r="V9" s="208">
        <v>28</v>
      </c>
      <c r="W9" s="209">
        <v>1</v>
      </c>
      <c r="X9" s="388" t="s">
        <v>325</v>
      </c>
      <c r="Y9" s="388" t="s">
        <v>325</v>
      </c>
      <c r="Z9" s="209">
        <v>3</v>
      </c>
      <c r="AA9" s="209">
        <v>2</v>
      </c>
      <c r="AB9" s="209" t="s">
        <v>218</v>
      </c>
      <c r="AC9" s="209">
        <v>1</v>
      </c>
      <c r="AD9" s="210">
        <f t="shared" si="5"/>
        <v>13851.851851851852</v>
      </c>
      <c r="AE9" s="210">
        <f t="shared" si="6"/>
        <v>0</v>
      </c>
      <c r="AF9" s="210">
        <f t="shared" si="7"/>
        <v>0</v>
      </c>
      <c r="AG9" s="210">
        <f t="shared" si="8"/>
        <v>0</v>
      </c>
      <c r="AH9" s="210">
        <f t="shared" si="16"/>
        <v>0</v>
      </c>
      <c r="AI9" s="210">
        <v>0</v>
      </c>
      <c r="AJ9" s="210">
        <f t="shared" si="9"/>
        <v>0</v>
      </c>
      <c r="AK9" s="210">
        <f t="shared" si="17"/>
        <v>13851.851851851852</v>
      </c>
      <c r="AL9" s="211">
        <v>101.4</v>
      </c>
      <c r="AM9" s="209">
        <v>0</v>
      </c>
      <c r="AN9" s="209">
        <v>0</v>
      </c>
      <c r="AO9" s="209">
        <v>0</v>
      </c>
      <c r="AP9" s="209">
        <v>2</v>
      </c>
      <c r="AQ9" s="209">
        <v>0</v>
      </c>
      <c r="AR9" s="209" t="s">
        <v>218</v>
      </c>
      <c r="AS9" s="209">
        <v>0</v>
      </c>
      <c r="AT9" s="212">
        <f t="shared" si="10"/>
        <v>0</v>
      </c>
      <c r="AU9" s="212">
        <v>0</v>
      </c>
      <c r="AV9" s="212">
        <f t="shared" si="11"/>
        <v>0</v>
      </c>
      <c r="AW9" s="212">
        <f t="shared" si="12"/>
        <v>0</v>
      </c>
      <c r="AX9" s="212">
        <f t="shared" si="13"/>
        <v>0</v>
      </c>
      <c r="AY9" s="212">
        <v>0</v>
      </c>
      <c r="AZ9" s="212">
        <f t="shared" si="14"/>
        <v>0</v>
      </c>
      <c r="BA9" s="212">
        <f t="shared" si="18"/>
        <v>0</v>
      </c>
      <c r="BB9" s="213"/>
    </row>
    <row r="10" spans="1:54" ht="13.5" customHeight="1" x14ac:dyDescent="0.35">
      <c r="A10" s="236" t="s">
        <v>647</v>
      </c>
      <c r="B10" s="206">
        <f>'Input_Area and Costs'!L4</f>
        <v>0</v>
      </c>
      <c r="C10" s="206">
        <f>'Input_Area and Costs'!L5</f>
        <v>0</v>
      </c>
      <c r="D10" s="206">
        <f>'Input_Area and Costs'!L6</f>
        <v>0</v>
      </c>
      <c r="E10" s="206">
        <f>'Input_Area and Costs'!L7</f>
        <v>0</v>
      </c>
      <c r="F10" s="206">
        <f>'Input_Area and Costs'!L8</f>
        <v>0</v>
      </c>
      <c r="G10" s="206">
        <f>'Input_Area and Costs'!L9</f>
        <v>0</v>
      </c>
      <c r="H10" s="206">
        <f>'Input_Area and Costs'!L10</f>
        <v>393700</v>
      </c>
      <c r="I10" s="206">
        <f t="shared" si="0"/>
        <v>0</v>
      </c>
      <c r="J10" s="207">
        <f t="shared" si="1"/>
        <v>0</v>
      </c>
      <c r="K10" s="207">
        <f t="shared" si="15"/>
        <v>0</v>
      </c>
      <c r="L10" s="207">
        <f t="shared" si="2"/>
        <v>0</v>
      </c>
      <c r="M10" s="207">
        <f t="shared" si="3"/>
        <v>0</v>
      </c>
      <c r="N10" s="207" t="s">
        <v>164</v>
      </c>
      <c r="O10" s="207">
        <f t="shared" si="4"/>
        <v>78.739999999999995</v>
      </c>
      <c r="P10" s="208">
        <v>3.7</v>
      </c>
      <c r="Q10" s="208">
        <v>1.71</v>
      </c>
      <c r="R10" s="208">
        <v>4.8</v>
      </c>
      <c r="S10" s="208">
        <v>5</v>
      </c>
      <c r="T10" s="208">
        <v>28</v>
      </c>
      <c r="U10" s="208" t="s">
        <v>218</v>
      </c>
      <c r="V10" s="208">
        <v>28</v>
      </c>
      <c r="W10" s="209">
        <v>1</v>
      </c>
      <c r="X10" s="388" t="s">
        <v>325</v>
      </c>
      <c r="Y10" s="388" t="s">
        <v>325</v>
      </c>
      <c r="Z10" s="209">
        <v>3</v>
      </c>
      <c r="AA10" s="209">
        <v>2</v>
      </c>
      <c r="AB10" s="209" t="s">
        <v>218</v>
      </c>
      <c r="AC10" s="209">
        <v>1</v>
      </c>
      <c r="AD10" s="210">
        <f t="shared" si="5"/>
        <v>0</v>
      </c>
      <c r="AE10" s="210">
        <f t="shared" si="6"/>
        <v>0</v>
      </c>
      <c r="AF10" s="210">
        <f t="shared" si="7"/>
        <v>0</v>
      </c>
      <c r="AG10" s="210">
        <f t="shared" si="8"/>
        <v>0</v>
      </c>
      <c r="AH10" s="210">
        <f t="shared" si="16"/>
        <v>0</v>
      </c>
      <c r="AI10" s="210">
        <v>0</v>
      </c>
      <c r="AJ10" s="210">
        <f t="shared" si="9"/>
        <v>14060.714285714286</v>
      </c>
      <c r="AK10" s="210">
        <f t="shared" si="17"/>
        <v>14060.714285714286</v>
      </c>
      <c r="AL10" s="211">
        <v>100.1</v>
      </c>
      <c r="AM10" s="209">
        <v>0</v>
      </c>
      <c r="AN10" s="209">
        <v>0</v>
      </c>
      <c r="AO10" s="209">
        <v>0</v>
      </c>
      <c r="AP10" s="209">
        <v>2</v>
      </c>
      <c r="AQ10" s="209">
        <v>0</v>
      </c>
      <c r="AR10" s="209" t="s">
        <v>218</v>
      </c>
      <c r="AS10" s="209">
        <v>0</v>
      </c>
      <c r="AT10" s="212">
        <f t="shared" si="10"/>
        <v>0</v>
      </c>
      <c r="AU10" s="212">
        <v>0</v>
      </c>
      <c r="AV10" s="212">
        <f t="shared" si="11"/>
        <v>0</v>
      </c>
      <c r="AW10" s="212">
        <f t="shared" si="12"/>
        <v>0</v>
      </c>
      <c r="AX10" s="212">
        <f t="shared" si="13"/>
        <v>0</v>
      </c>
      <c r="AY10" s="212">
        <v>0</v>
      </c>
      <c r="AZ10" s="212">
        <f t="shared" si="14"/>
        <v>0</v>
      </c>
      <c r="BA10" s="212">
        <f t="shared" si="18"/>
        <v>0</v>
      </c>
      <c r="BB10" s="213"/>
    </row>
    <row r="11" spans="1:54" ht="13.5" customHeight="1" x14ac:dyDescent="0.35">
      <c r="A11" s="205" t="s">
        <v>52</v>
      </c>
      <c r="B11" s="206">
        <f>'Input_Area and Costs'!G4</f>
        <v>191250</v>
      </c>
      <c r="C11" s="206">
        <f>'Input_Area and Costs'!G5</f>
        <v>0</v>
      </c>
      <c r="D11" s="206">
        <f>'Input_Area and Costs'!G6</f>
        <v>0</v>
      </c>
      <c r="E11" s="206">
        <f>'Input_Area and Costs'!G7</f>
        <v>0</v>
      </c>
      <c r="F11" s="206">
        <f>'Input_Area and Costs'!G8</f>
        <v>60000</v>
      </c>
      <c r="G11" s="206">
        <f>'Input_Area and Costs'!G9</f>
        <v>0</v>
      </c>
      <c r="H11" s="206">
        <f>'Input_Area and Costs'!G10</f>
        <v>0</v>
      </c>
      <c r="I11" s="206">
        <f t="shared" si="0"/>
        <v>3187.5</v>
      </c>
      <c r="J11" s="207">
        <f t="shared" si="1"/>
        <v>0</v>
      </c>
      <c r="K11" s="207">
        <f t="shared" si="15"/>
        <v>0</v>
      </c>
      <c r="L11" s="207">
        <f t="shared" si="2"/>
        <v>0</v>
      </c>
      <c r="M11" s="207">
        <f t="shared" si="3"/>
        <v>6</v>
      </c>
      <c r="N11" s="207" t="s">
        <v>164</v>
      </c>
      <c r="O11" s="207">
        <f t="shared" si="4"/>
        <v>0</v>
      </c>
      <c r="P11" s="208">
        <v>3.7</v>
      </c>
      <c r="Q11" s="208">
        <v>3.51</v>
      </c>
      <c r="R11" s="208">
        <v>3.51</v>
      </c>
      <c r="S11" s="208">
        <v>5</v>
      </c>
      <c r="T11" s="208">
        <v>28</v>
      </c>
      <c r="U11" s="208" t="s">
        <v>218</v>
      </c>
      <c r="V11" s="208">
        <v>28</v>
      </c>
      <c r="W11" s="209">
        <v>1</v>
      </c>
      <c r="X11" s="388" t="s">
        <v>325</v>
      </c>
      <c r="Y11" s="388" t="s">
        <v>325</v>
      </c>
      <c r="Z11" s="209">
        <v>3</v>
      </c>
      <c r="AA11" s="209">
        <v>2</v>
      </c>
      <c r="AB11" s="209" t="s">
        <v>218</v>
      </c>
      <c r="AC11" s="209">
        <v>1</v>
      </c>
      <c r="AD11" s="210">
        <f t="shared" si="5"/>
        <v>11793.75</v>
      </c>
      <c r="AE11" s="210">
        <f t="shared" si="6"/>
        <v>0</v>
      </c>
      <c r="AF11" s="210">
        <f t="shared" si="7"/>
        <v>0</v>
      </c>
      <c r="AG11" s="210">
        <f t="shared" si="8"/>
        <v>0</v>
      </c>
      <c r="AH11" s="210">
        <f t="shared" si="16"/>
        <v>4285.7142857142853</v>
      </c>
      <c r="AI11" s="210">
        <v>0</v>
      </c>
      <c r="AJ11" s="210">
        <f t="shared" si="9"/>
        <v>0</v>
      </c>
      <c r="AK11" s="210">
        <f t="shared" si="17"/>
        <v>16079.464285714286</v>
      </c>
      <c r="AL11" s="211">
        <v>95.8</v>
      </c>
      <c r="AM11" s="209">
        <v>0</v>
      </c>
      <c r="AN11" s="209">
        <v>0</v>
      </c>
      <c r="AO11" s="209">
        <v>0</v>
      </c>
      <c r="AP11" s="209">
        <v>2</v>
      </c>
      <c r="AQ11" s="209">
        <v>0</v>
      </c>
      <c r="AR11" s="209" t="s">
        <v>218</v>
      </c>
      <c r="AS11" s="209">
        <v>0</v>
      </c>
      <c r="AT11" s="212">
        <f t="shared" si="10"/>
        <v>0</v>
      </c>
      <c r="AU11" s="212">
        <v>0</v>
      </c>
      <c r="AV11" s="212">
        <f t="shared" si="11"/>
        <v>0</v>
      </c>
      <c r="AW11" s="212">
        <f t="shared" si="12"/>
        <v>0</v>
      </c>
      <c r="AX11" s="212">
        <f t="shared" si="13"/>
        <v>0</v>
      </c>
      <c r="AY11" s="212">
        <v>0</v>
      </c>
      <c r="AZ11" s="212">
        <f t="shared" si="14"/>
        <v>0</v>
      </c>
      <c r="BA11" s="212">
        <f t="shared" si="18"/>
        <v>0</v>
      </c>
      <c r="BB11" s="213"/>
    </row>
    <row r="12" spans="1:54" ht="13.5" customHeight="1" x14ac:dyDescent="0.35">
      <c r="A12" s="205" t="s">
        <v>48</v>
      </c>
      <c r="B12" s="206">
        <f>'Input_Area and Costs'!C4</f>
        <v>1217500</v>
      </c>
      <c r="C12" s="206">
        <f>'Input_Area and Costs'!C5</f>
        <v>0</v>
      </c>
      <c r="D12" s="206">
        <f>'Input_Area and Costs'!C6</f>
        <v>0</v>
      </c>
      <c r="E12" s="206">
        <f>'Input_Area and Costs'!C7</f>
        <v>11250</v>
      </c>
      <c r="F12" s="206">
        <f>'Input_Area and Costs'!C8</f>
        <v>0</v>
      </c>
      <c r="G12" s="206">
        <f>'Input_Area and Costs'!C9</f>
        <v>0</v>
      </c>
      <c r="H12" s="206">
        <f>'Input_Area and Costs'!C10</f>
        <v>0</v>
      </c>
      <c r="I12" s="206">
        <f t="shared" si="0"/>
        <v>20291.666666666668</v>
      </c>
      <c r="J12" s="207">
        <f t="shared" si="1"/>
        <v>0</v>
      </c>
      <c r="K12" s="207">
        <f t="shared" si="15"/>
        <v>0</v>
      </c>
      <c r="L12" s="207">
        <f t="shared" si="2"/>
        <v>1.125</v>
      </c>
      <c r="M12" s="207">
        <f t="shared" si="3"/>
        <v>0</v>
      </c>
      <c r="N12" s="207" t="s">
        <v>164</v>
      </c>
      <c r="O12" s="207">
        <f t="shared" si="4"/>
        <v>0</v>
      </c>
      <c r="P12" s="208">
        <v>4.2</v>
      </c>
      <c r="Q12" s="208" t="s">
        <v>164</v>
      </c>
      <c r="R12" s="208" t="s">
        <v>164</v>
      </c>
      <c r="S12" s="208">
        <v>5</v>
      </c>
      <c r="T12" s="208">
        <v>28</v>
      </c>
      <c r="U12" s="208" t="s">
        <v>218</v>
      </c>
      <c r="V12" s="208">
        <v>28</v>
      </c>
      <c r="W12" s="209">
        <v>1</v>
      </c>
      <c r="X12" s="388" t="s">
        <v>325</v>
      </c>
      <c r="Y12" s="388" t="s">
        <v>325</v>
      </c>
      <c r="Z12" s="209">
        <v>3</v>
      </c>
      <c r="AA12" s="209">
        <v>2</v>
      </c>
      <c r="AB12" s="209" t="s">
        <v>218</v>
      </c>
      <c r="AC12" s="209">
        <v>1</v>
      </c>
      <c r="AD12" s="210">
        <f t="shared" si="5"/>
        <v>85225.000000000015</v>
      </c>
      <c r="AE12" s="210">
        <f t="shared" si="6"/>
        <v>0</v>
      </c>
      <c r="AF12" s="210">
        <f t="shared" si="7"/>
        <v>0</v>
      </c>
      <c r="AG12" s="210">
        <f t="shared" si="8"/>
        <v>6750</v>
      </c>
      <c r="AH12" s="210">
        <f t="shared" si="16"/>
        <v>0</v>
      </c>
      <c r="AI12" s="210">
        <v>0</v>
      </c>
      <c r="AJ12" s="210">
        <f t="shared" si="9"/>
        <v>0</v>
      </c>
      <c r="AK12" s="210">
        <f t="shared" si="17"/>
        <v>91975.000000000015</v>
      </c>
      <c r="AL12" s="211">
        <v>98.5</v>
      </c>
      <c r="AM12" s="209">
        <v>0</v>
      </c>
      <c r="AN12" s="209">
        <v>0</v>
      </c>
      <c r="AO12" s="209">
        <v>0</v>
      </c>
      <c r="AP12" s="209">
        <v>2</v>
      </c>
      <c r="AQ12" s="209">
        <v>0</v>
      </c>
      <c r="AR12" s="209" t="s">
        <v>218</v>
      </c>
      <c r="AS12" s="209">
        <v>0</v>
      </c>
      <c r="AT12" s="212">
        <f t="shared" si="10"/>
        <v>0</v>
      </c>
      <c r="AU12" s="212">
        <v>0</v>
      </c>
      <c r="AV12" s="212">
        <f t="shared" si="11"/>
        <v>0</v>
      </c>
      <c r="AW12" s="212">
        <f t="shared" si="12"/>
        <v>4500</v>
      </c>
      <c r="AX12" s="212">
        <f t="shared" si="13"/>
        <v>0</v>
      </c>
      <c r="AY12" s="212">
        <v>0</v>
      </c>
      <c r="AZ12" s="212">
        <f t="shared" si="14"/>
        <v>0</v>
      </c>
      <c r="BA12" s="212">
        <f t="shared" si="18"/>
        <v>4500</v>
      </c>
      <c r="BB12" s="213"/>
    </row>
    <row r="13" spans="1:54" ht="13.5" customHeight="1" x14ac:dyDescent="0.35">
      <c r="A13" s="205" t="s">
        <v>49</v>
      </c>
      <c r="B13" s="206">
        <f>'Input_Area and Costs'!D4</f>
        <v>75000</v>
      </c>
      <c r="C13" s="206">
        <f>'Input_Area and Costs'!D5</f>
        <v>0</v>
      </c>
      <c r="D13" s="206">
        <f>'Input_Area and Costs'!D6</f>
        <v>0</v>
      </c>
      <c r="E13" s="206">
        <f>'Input_Area and Costs'!D7</f>
        <v>0</v>
      </c>
      <c r="F13" s="206">
        <f>'Input_Area and Costs'!D8</f>
        <v>0</v>
      </c>
      <c r="G13" s="206">
        <f>'Input_Area and Costs'!D9</f>
        <v>0</v>
      </c>
      <c r="H13" s="206">
        <f>'Input_Area and Costs'!D10</f>
        <v>14000</v>
      </c>
      <c r="I13" s="206">
        <f t="shared" si="0"/>
        <v>1250</v>
      </c>
      <c r="J13" s="207">
        <f t="shared" si="1"/>
        <v>0</v>
      </c>
      <c r="K13" s="207">
        <f t="shared" si="15"/>
        <v>0</v>
      </c>
      <c r="L13" s="207">
        <f t="shared" si="2"/>
        <v>0</v>
      </c>
      <c r="M13" s="207">
        <f t="shared" si="3"/>
        <v>0</v>
      </c>
      <c r="N13" s="207" t="s">
        <v>164</v>
      </c>
      <c r="O13" s="207">
        <f t="shared" si="4"/>
        <v>2.8</v>
      </c>
      <c r="P13" s="208">
        <v>4.9000000000000004</v>
      </c>
      <c r="Q13" s="208" t="s">
        <v>164</v>
      </c>
      <c r="R13" s="208" t="s">
        <v>164</v>
      </c>
      <c r="S13" s="208">
        <v>5</v>
      </c>
      <c r="T13" s="208">
        <v>28</v>
      </c>
      <c r="U13" s="208" t="s">
        <v>218</v>
      </c>
      <c r="V13" s="208">
        <v>28</v>
      </c>
      <c r="W13" s="209">
        <v>1</v>
      </c>
      <c r="X13" s="388" t="s">
        <v>325</v>
      </c>
      <c r="Y13" s="388" t="s">
        <v>325</v>
      </c>
      <c r="Z13" s="209">
        <v>3</v>
      </c>
      <c r="AA13" s="209">
        <v>2</v>
      </c>
      <c r="AB13" s="209" t="s">
        <v>218</v>
      </c>
      <c r="AC13" s="209">
        <v>1</v>
      </c>
      <c r="AD13" s="210">
        <f t="shared" si="5"/>
        <v>6125</v>
      </c>
      <c r="AE13" s="210">
        <f t="shared" si="6"/>
        <v>0</v>
      </c>
      <c r="AF13" s="210">
        <f t="shared" si="7"/>
        <v>0</v>
      </c>
      <c r="AG13" s="210">
        <f t="shared" si="8"/>
        <v>0</v>
      </c>
      <c r="AH13" s="210">
        <f t="shared" si="16"/>
        <v>0</v>
      </c>
      <c r="AI13" s="210">
        <v>0</v>
      </c>
      <c r="AJ13" s="210">
        <f t="shared" si="9"/>
        <v>500</v>
      </c>
      <c r="AK13" s="210">
        <f t="shared" si="17"/>
        <v>6625</v>
      </c>
      <c r="AL13" s="211">
        <v>102.8</v>
      </c>
      <c r="AM13" s="209">
        <v>0</v>
      </c>
      <c r="AN13" s="209">
        <v>0</v>
      </c>
      <c r="AO13" s="209">
        <v>0</v>
      </c>
      <c r="AP13" s="209">
        <v>2</v>
      </c>
      <c r="AQ13" s="209">
        <v>0</v>
      </c>
      <c r="AR13" s="209" t="s">
        <v>218</v>
      </c>
      <c r="AS13" s="209">
        <v>0</v>
      </c>
      <c r="AT13" s="212">
        <f t="shared" si="10"/>
        <v>0</v>
      </c>
      <c r="AU13" s="212">
        <v>0</v>
      </c>
      <c r="AV13" s="212">
        <f t="shared" si="11"/>
        <v>0</v>
      </c>
      <c r="AW13" s="212">
        <f t="shared" si="12"/>
        <v>0</v>
      </c>
      <c r="AX13" s="212">
        <f t="shared" si="13"/>
        <v>0</v>
      </c>
      <c r="AY13" s="212">
        <v>0</v>
      </c>
      <c r="AZ13" s="212">
        <f t="shared" si="14"/>
        <v>0</v>
      </c>
      <c r="BA13" s="212">
        <f t="shared" si="18"/>
        <v>0</v>
      </c>
      <c r="BB13" s="213"/>
    </row>
    <row r="14" spans="1:54" ht="13.5" customHeight="1" x14ac:dyDescent="0.35">
      <c r="A14" s="205" t="s">
        <v>54</v>
      </c>
      <c r="B14" s="206">
        <f>'Input_Area and Costs'!I4</f>
        <v>0</v>
      </c>
      <c r="C14" s="206">
        <f>'Input_Area and Costs'!I5</f>
        <v>0</v>
      </c>
      <c r="D14" s="206">
        <f>'Input_Area and Costs'!I6</f>
        <v>0</v>
      </c>
      <c r="E14" s="206">
        <f>'Input_Area and Costs'!I7</f>
        <v>0</v>
      </c>
      <c r="F14" s="206">
        <f>'Input_Area and Costs'!I8</f>
        <v>15000</v>
      </c>
      <c r="G14" s="206">
        <f>'Input_Area and Costs'!I9</f>
        <v>0</v>
      </c>
      <c r="H14" s="206">
        <f>'Input_Area and Costs'!I10</f>
        <v>0</v>
      </c>
      <c r="I14" s="206">
        <f t="shared" si="0"/>
        <v>0</v>
      </c>
      <c r="J14" s="207">
        <f t="shared" si="1"/>
        <v>0</v>
      </c>
      <c r="K14" s="207">
        <f t="shared" si="15"/>
        <v>0</v>
      </c>
      <c r="L14" s="207">
        <f t="shared" si="2"/>
        <v>0</v>
      </c>
      <c r="M14" s="207">
        <f t="shared" si="3"/>
        <v>1.5</v>
      </c>
      <c r="N14" s="207" t="s">
        <v>164</v>
      </c>
      <c r="O14" s="207">
        <f t="shared" si="4"/>
        <v>0</v>
      </c>
      <c r="P14" s="208">
        <v>3.8</v>
      </c>
      <c r="Q14" s="208">
        <v>0.1</v>
      </c>
      <c r="R14" s="208">
        <v>0.1</v>
      </c>
      <c r="S14" s="208">
        <v>5</v>
      </c>
      <c r="T14" s="208">
        <v>28</v>
      </c>
      <c r="U14" s="208" t="s">
        <v>218</v>
      </c>
      <c r="V14" s="208">
        <v>28</v>
      </c>
      <c r="W14" s="209">
        <v>1</v>
      </c>
      <c r="X14" s="388" t="s">
        <v>325</v>
      </c>
      <c r="Y14" s="388" t="s">
        <v>325</v>
      </c>
      <c r="Z14" s="209">
        <v>3</v>
      </c>
      <c r="AA14" s="209">
        <v>2</v>
      </c>
      <c r="AB14" s="209" t="s">
        <v>218</v>
      </c>
      <c r="AC14" s="209">
        <v>1</v>
      </c>
      <c r="AD14" s="210">
        <f t="shared" si="5"/>
        <v>0</v>
      </c>
      <c r="AE14" s="210">
        <f t="shared" si="6"/>
        <v>0</v>
      </c>
      <c r="AF14" s="210">
        <f t="shared" si="7"/>
        <v>0</v>
      </c>
      <c r="AG14" s="210">
        <f t="shared" si="8"/>
        <v>0</v>
      </c>
      <c r="AH14" s="210">
        <f t="shared" si="16"/>
        <v>1071.4285714285713</v>
      </c>
      <c r="AI14" s="210">
        <v>0</v>
      </c>
      <c r="AJ14" s="210">
        <f t="shared" si="9"/>
        <v>0</v>
      </c>
      <c r="AK14" s="210">
        <f t="shared" si="17"/>
        <v>1071.4285714285713</v>
      </c>
      <c r="AL14" s="211">
        <v>92.1</v>
      </c>
      <c r="AM14" s="209">
        <v>0</v>
      </c>
      <c r="AN14" s="209">
        <v>0</v>
      </c>
      <c r="AO14" s="209">
        <v>0</v>
      </c>
      <c r="AP14" s="209">
        <v>2</v>
      </c>
      <c r="AQ14" s="209">
        <v>0</v>
      </c>
      <c r="AR14" s="209" t="s">
        <v>218</v>
      </c>
      <c r="AS14" s="209">
        <v>0</v>
      </c>
      <c r="AT14" s="212">
        <f t="shared" si="10"/>
        <v>0</v>
      </c>
      <c r="AU14" s="212">
        <v>0</v>
      </c>
      <c r="AV14" s="212">
        <f t="shared" si="11"/>
        <v>0</v>
      </c>
      <c r="AW14" s="212">
        <f t="shared" si="12"/>
        <v>0</v>
      </c>
      <c r="AX14" s="212">
        <f t="shared" si="13"/>
        <v>0</v>
      </c>
      <c r="AY14" s="212">
        <v>0</v>
      </c>
      <c r="AZ14" s="212">
        <f t="shared" si="14"/>
        <v>0</v>
      </c>
      <c r="BA14" s="212">
        <f t="shared" si="18"/>
        <v>0</v>
      </c>
      <c r="BB14" s="213"/>
    </row>
    <row r="15" spans="1:54" ht="13.5" customHeight="1" x14ac:dyDescent="0.35">
      <c r="A15" s="205" t="s">
        <v>50</v>
      </c>
      <c r="B15" s="206">
        <f>'Input_Area and Costs'!E4</f>
        <v>340000</v>
      </c>
      <c r="C15" s="206">
        <f>'Input_Area and Costs'!E5</f>
        <v>0</v>
      </c>
      <c r="D15" s="206">
        <f>'Input_Area and Costs'!E6</f>
        <v>68779</v>
      </c>
      <c r="E15" s="206">
        <f>'Input_Area and Costs'!E7</f>
        <v>0</v>
      </c>
      <c r="F15" s="206">
        <f>'Input_Area and Costs'!E8</f>
        <v>0</v>
      </c>
      <c r="G15" s="206">
        <f>'Input_Area and Costs'!E9</f>
        <v>0</v>
      </c>
      <c r="H15" s="206">
        <f>'Input_Area and Costs'!E10</f>
        <v>0</v>
      </c>
      <c r="I15" s="206">
        <f t="shared" si="0"/>
        <v>5666.666666666667</v>
      </c>
      <c r="J15" s="207">
        <f t="shared" si="1"/>
        <v>0</v>
      </c>
      <c r="K15" s="207">
        <f t="shared" si="15"/>
        <v>3.6199473684210526</v>
      </c>
      <c r="L15" s="207">
        <f t="shared" si="2"/>
        <v>0</v>
      </c>
      <c r="M15" s="207">
        <f t="shared" si="3"/>
        <v>0</v>
      </c>
      <c r="N15" s="207" t="s">
        <v>164</v>
      </c>
      <c r="O15" s="207">
        <f t="shared" si="4"/>
        <v>0</v>
      </c>
      <c r="P15" s="208">
        <v>3.9</v>
      </c>
      <c r="Q15" s="208">
        <v>1.19</v>
      </c>
      <c r="R15" s="208">
        <v>2.33</v>
      </c>
      <c r="S15" s="208">
        <v>5</v>
      </c>
      <c r="T15" s="208">
        <v>28</v>
      </c>
      <c r="U15" s="208" t="s">
        <v>218</v>
      </c>
      <c r="V15" s="208">
        <v>28</v>
      </c>
      <c r="W15" s="209">
        <v>1</v>
      </c>
      <c r="X15" s="388" t="s">
        <v>325</v>
      </c>
      <c r="Y15" s="388" t="s">
        <v>325</v>
      </c>
      <c r="Z15" s="209">
        <v>3</v>
      </c>
      <c r="AA15" s="209">
        <v>2</v>
      </c>
      <c r="AB15" s="209" t="s">
        <v>218</v>
      </c>
      <c r="AC15" s="209">
        <v>1</v>
      </c>
      <c r="AD15" s="210">
        <f t="shared" si="5"/>
        <v>22100</v>
      </c>
      <c r="AE15" s="210">
        <f t="shared" si="6"/>
        <v>0</v>
      </c>
      <c r="AF15" s="210">
        <f t="shared" si="7"/>
        <v>155362.54800090354</v>
      </c>
      <c r="AG15" s="210">
        <f t="shared" si="8"/>
        <v>0</v>
      </c>
      <c r="AH15" s="210">
        <f t="shared" si="16"/>
        <v>0</v>
      </c>
      <c r="AI15" s="210">
        <v>0</v>
      </c>
      <c r="AJ15" s="210">
        <f t="shared" si="9"/>
        <v>0</v>
      </c>
      <c r="AK15" s="210">
        <f t="shared" si="17"/>
        <v>177462.54800090354</v>
      </c>
      <c r="AL15" s="211">
        <v>98.4</v>
      </c>
      <c r="AM15" s="209">
        <v>0</v>
      </c>
      <c r="AN15" s="209">
        <v>0</v>
      </c>
      <c r="AO15" s="209">
        <v>0</v>
      </c>
      <c r="AP15" s="209">
        <v>2</v>
      </c>
      <c r="AQ15" s="209">
        <v>0</v>
      </c>
      <c r="AR15" s="209" t="s">
        <v>218</v>
      </c>
      <c r="AS15" s="209">
        <v>0</v>
      </c>
      <c r="AT15" s="212">
        <f t="shared" si="10"/>
        <v>0</v>
      </c>
      <c r="AU15" s="212">
        <v>0</v>
      </c>
      <c r="AV15" s="212">
        <f t="shared" si="11"/>
        <v>0</v>
      </c>
      <c r="AW15" s="212">
        <f t="shared" si="12"/>
        <v>0</v>
      </c>
      <c r="AX15" s="212">
        <f t="shared" si="13"/>
        <v>0</v>
      </c>
      <c r="AY15" s="212">
        <v>0</v>
      </c>
      <c r="AZ15" s="212">
        <f t="shared" si="14"/>
        <v>0</v>
      </c>
      <c r="BA15" s="212">
        <f t="shared" si="18"/>
        <v>0</v>
      </c>
      <c r="BB15" s="213"/>
    </row>
    <row r="16" spans="1:54" ht="13.5" customHeight="1" x14ac:dyDescent="0.35">
      <c r="A16" s="281" t="s">
        <v>284</v>
      </c>
      <c r="B16" s="280">
        <f t="shared" ref="B16:O16" si="19">SUM(B5:B15)</f>
        <v>2556527.777777778</v>
      </c>
      <c r="C16" s="280">
        <f t="shared" si="19"/>
        <v>0</v>
      </c>
      <c r="D16" s="280">
        <f t="shared" si="19"/>
        <v>462479</v>
      </c>
      <c r="E16" s="280">
        <f t="shared" si="19"/>
        <v>84050</v>
      </c>
      <c r="F16" s="280">
        <f t="shared" si="19"/>
        <v>135000</v>
      </c>
      <c r="G16" s="280">
        <f t="shared" si="19"/>
        <v>0</v>
      </c>
      <c r="H16" s="280">
        <f t="shared" si="19"/>
        <v>407700</v>
      </c>
      <c r="I16" s="280">
        <f t="shared" si="19"/>
        <v>42608.796296296299</v>
      </c>
      <c r="J16" s="280">
        <f t="shared" si="19"/>
        <v>0</v>
      </c>
      <c r="K16" s="280">
        <f t="shared" si="19"/>
        <v>13.619947368421052</v>
      </c>
      <c r="L16" s="280">
        <f t="shared" si="19"/>
        <v>8.4050000000000011</v>
      </c>
      <c r="M16" s="280">
        <f t="shared" si="19"/>
        <v>13.5</v>
      </c>
      <c r="N16" s="280">
        <f t="shared" si="19"/>
        <v>0</v>
      </c>
      <c r="O16" s="280">
        <f t="shared" si="19"/>
        <v>81.539999999999992</v>
      </c>
      <c r="AD16" s="217">
        <f t="shared" ref="AD16:AK16" si="20">SUM(AD5:AD15)</f>
        <v>167970.60185185185</v>
      </c>
      <c r="AE16" s="217">
        <f t="shared" si="20"/>
        <v>0</v>
      </c>
      <c r="AF16" s="217">
        <f t="shared" si="20"/>
        <v>890656.66564796236</v>
      </c>
      <c r="AG16" s="217">
        <f t="shared" si="20"/>
        <v>50430</v>
      </c>
      <c r="AH16" s="217">
        <f t="shared" si="20"/>
        <v>9642.8571428571413</v>
      </c>
      <c r="AI16" s="217">
        <f t="shared" si="20"/>
        <v>0</v>
      </c>
      <c r="AJ16" s="217">
        <f t="shared" si="20"/>
        <v>14560.714285714286</v>
      </c>
      <c r="AK16" s="217">
        <f t="shared" si="20"/>
        <v>1133260.8389283856</v>
      </c>
      <c r="AL16" s="218" t="s">
        <v>640</v>
      </c>
      <c r="AM16" s="389"/>
      <c r="AN16" s="389"/>
      <c r="AO16" s="389"/>
      <c r="AP16" s="389"/>
      <c r="AQ16" s="389"/>
      <c r="AR16" s="389"/>
      <c r="AS16" s="389"/>
      <c r="AT16" s="219">
        <f t="shared" ref="AT16:BA16" si="21">SUM(AT5:AT15)</f>
        <v>0</v>
      </c>
      <c r="AU16" s="219">
        <f t="shared" si="21"/>
        <v>0</v>
      </c>
      <c r="AV16" s="219">
        <f t="shared" si="21"/>
        <v>0</v>
      </c>
      <c r="AW16" s="219">
        <f t="shared" si="21"/>
        <v>33620</v>
      </c>
      <c r="AX16" s="219">
        <f t="shared" si="21"/>
        <v>0</v>
      </c>
      <c r="AY16" s="219">
        <f t="shared" si="21"/>
        <v>0</v>
      </c>
      <c r="AZ16" s="219">
        <f t="shared" si="21"/>
        <v>0</v>
      </c>
      <c r="BA16" s="219">
        <f t="shared" si="21"/>
        <v>33620</v>
      </c>
      <c r="BB16" s="213"/>
    </row>
    <row r="17" spans="1:55" ht="15.75" customHeight="1" x14ac:dyDescent="0.3">
      <c r="A17" s="198" t="s">
        <v>634</v>
      </c>
      <c r="I17" s="215" t="s">
        <v>575</v>
      </c>
      <c r="K17" s="195" t="s">
        <v>662</v>
      </c>
      <c r="P17" s="198" t="s">
        <v>635</v>
      </c>
      <c r="Q17" s="216" t="s">
        <v>636</v>
      </c>
      <c r="S17" s="216" t="s">
        <v>637</v>
      </c>
      <c r="T17" s="216" t="s">
        <v>637</v>
      </c>
      <c r="V17" s="216" t="s">
        <v>637</v>
      </c>
      <c r="W17" s="198" t="s">
        <v>638</v>
      </c>
      <c r="X17" s="195" t="s">
        <v>724</v>
      </c>
      <c r="Y17" s="195" t="s">
        <v>723</v>
      </c>
      <c r="Z17" s="198" t="s">
        <v>639</v>
      </c>
      <c r="AA17" s="241" t="s">
        <v>716</v>
      </c>
      <c r="AC17" s="241" t="s">
        <v>715</v>
      </c>
      <c r="BA17" s="219"/>
      <c r="BB17" s="219"/>
    </row>
    <row r="18" spans="1:55" ht="15.75" customHeight="1" x14ac:dyDescent="0.3">
      <c r="P18" s="220" t="s">
        <v>641</v>
      </c>
      <c r="AL18" s="221"/>
      <c r="AM18" s="198"/>
      <c r="AN18" s="195" t="s">
        <v>724</v>
      </c>
      <c r="AO18" s="195" t="s">
        <v>723</v>
      </c>
      <c r="AP18" s="198"/>
      <c r="AQ18" s="198"/>
      <c r="AR18" s="198"/>
      <c r="AS18" s="198"/>
      <c r="AT18" s="198"/>
      <c r="AU18" s="198"/>
      <c r="AV18" s="198"/>
      <c r="AW18" s="198"/>
      <c r="AX18" s="198"/>
      <c r="AY18" s="198"/>
      <c r="AZ18" s="198"/>
      <c r="BA18" s="198"/>
      <c r="BB18" s="198"/>
    </row>
    <row r="19" spans="1:55" ht="29.15" customHeight="1" x14ac:dyDescent="0.3">
      <c r="A19" s="243"/>
      <c r="B19" s="222"/>
      <c r="AL19" s="221"/>
      <c r="AM19" s="198"/>
      <c r="AN19" s="198"/>
      <c r="AO19" s="198"/>
      <c r="AP19" s="198"/>
      <c r="AQ19" s="198"/>
      <c r="AR19" s="198"/>
      <c r="AS19" s="198"/>
      <c r="AT19" s="198"/>
      <c r="AU19" s="198"/>
      <c r="AV19" s="198"/>
      <c r="AW19" s="198"/>
      <c r="AX19" s="198"/>
      <c r="AY19" s="198"/>
      <c r="AZ19" s="198"/>
      <c r="BA19" s="198"/>
      <c r="BB19" s="198"/>
    </row>
    <row r="20" spans="1:55" ht="29.15" customHeight="1" x14ac:dyDescent="0.3">
      <c r="A20" s="244"/>
      <c r="B20" s="221"/>
      <c r="S20" s="221"/>
      <c r="AL20" s="221"/>
      <c r="AM20" s="198"/>
      <c r="AN20" s="198"/>
      <c r="AO20" s="198"/>
      <c r="AP20" s="198"/>
      <c r="AQ20" s="198"/>
      <c r="AR20" s="198"/>
      <c r="AS20" s="198"/>
      <c r="AT20" s="198"/>
      <c r="AU20" s="198"/>
      <c r="AV20" s="198"/>
      <c r="AW20" s="198"/>
      <c r="AX20" s="198"/>
      <c r="AY20" s="198"/>
      <c r="AZ20" s="198"/>
      <c r="BA20" s="198"/>
      <c r="BB20" s="198"/>
    </row>
    <row r="21" spans="1:55" ht="41.15" customHeight="1" x14ac:dyDescent="0.35">
      <c r="A21" s="248" t="s">
        <v>642</v>
      </c>
      <c r="B21" s="202" t="s">
        <v>58</v>
      </c>
      <c r="C21" s="202" t="s">
        <v>59</v>
      </c>
      <c r="D21" s="202" t="s">
        <v>60</v>
      </c>
      <c r="E21" s="202" t="s">
        <v>61</v>
      </c>
      <c r="F21" s="202" t="s">
        <v>62</v>
      </c>
      <c r="G21" s="202" t="s">
        <v>63</v>
      </c>
      <c r="H21" s="202" t="s">
        <v>64</v>
      </c>
      <c r="I21" s="242" t="s">
        <v>284</v>
      </c>
      <c r="J21" s="223" t="s">
        <v>643</v>
      </c>
      <c r="K21" s="202" t="s">
        <v>644</v>
      </c>
      <c r="L21" s="202" t="s">
        <v>645</v>
      </c>
      <c r="M21" s="377" t="s">
        <v>711</v>
      </c>
      <c r="N21" s="242" t="s">
        <v>666</v>
      </c>
      <c r="O21" s="242" t="s">
        <v>682</v>
      </c>
      <c r="P21" s="377" t="s">
        <v>712</v>
      </c>
      <c r="Q21" s="242" t="s">
        <v>667</v>
      </c>
      <c r="R21" s="242" t="s">
        <v>669</v>
      </c>
      <c r="S21" s="242" t="s">
        <v>668</v>
      </c>
      <c r="T21" s="242" t="s">
        <v>674</v>
      </c>
      <c r="AM21" s="221"/>
      <c r="AN21" s="198"/>
      <c r="AO21" s="198"/>
      <c r="AP21" s="198"/>
      <c r="AQ21" s="198"/>
      <c r="AR21" s="198"/>
      <c r="AS21" s="198"/>
      <c r="AT21" s="198"/>
      <c r="AU21" s="198"/>
      <c r="AV21" s="198"/>
      <c r="AW21" s="198"/>
      <c r="AX21" s="198"/>
      <c r="AY21" s="198"/>
      <c r="AZ21" s="198"/>
      <c r="BA21" s="198"/>
      <c r="BB21" s="198"/>
      <c r="BC21" s="198"/>
    </row>
    <row r="22" spans="1:55" ht="13.5" customHeight="1" x14ac:dyDescent="0.35">
      <c r="A22" s="214" t="s">
        <v>55</v>
      </c>
      <c r="B22" s="238">
        <f t="shared" ref="B22:B32" si="22">AD5*(100/($AL5+100))</f>
        <v>0</v>
      </c>
      <c r="C22" s="238">
        <f t="shared" ref="C22:C32" si="23">AE5*(100/($AL5+100))</f>
        <v>0</v>
      </c>
      <c r="D22" s="238">
        <f t="shared" ref="D22:D32" si="24">AF5*(100/($AL5+100))</f>
        <v>360969.12992000923</v>
      </c>
      <c r="E22" s="238">
        <f t="shared" ref="E22:E32" si="25">AG5*(100/($AL5+100))</f>
        <v>0</v>
      </c>
      <c r="F22" s="238">
        <f t="shared" ref="F22:F32" si="26">AH5*(100/($AL5+100))</f>
        <v>0</v>
      </c>
      <c r="G22" s="238">
        <f t="shared" ref="G22:G32" si="27">AI5*(100/($AL5+100))</f>
        <v>0</v>
      </c>
      <c r="H22" s="238">
        <f t="shared" ref="H22:H32" si="28">AJ5*(100/($AL5+100))</f>
        <v>0</v>
      </c>
      <c r="I22" s="238">
        <f>SUM(B22:H22)</f>
        <v>360969.12992000923</v>
      </c>
      <c r="J22" s="239">
        <v>2878</v>
      </c>
      <c r="K22" s="210">
        <f t="shared" ref="K22:K32" si="29">SUM(AD5:AJ5)</f>
        <v>735294.1176470588</v>
      </c>
      <c r="L22" s="210">
        <f t="shared" ref="L22:L32" si="30">SUM(B22:H22)</f>
        <v>360969.12992000923</v>
      </c>
      <c r="M22" s="378">
        <f>L22/K22</f>
        <v>0.4909180166912126</v>
      </c>
      <c r="N22" s="210">
        <f t="shared" ref="N22:N32" si="31">SUM(AT5:AZ5)</f>
        <v>0</v>
      </c>
      <c r="O22" s="210">
        <f t="shared" ref="O22:O32" si="32">N22*((AL5/(AL5+100)))</f>
        <v>0</v>
      </c>
      <c r="P22" s="378">
        <f>IF(N22=0,0,O22/N22)</f>
        <v>0</v>
      </c>
      <c r="Q22" s="224">
        <f t="shared" ref="Q22:Q33" si="33">K22/($J22*1000)</f>
        <v>0.25548787965498915</v>
      </c>
      <c r="R22" s="224">
        <f t="shared" ref="R22:R33" si="34">L22/($J22*1000)</f>
        <v>0.12542360316887047</v>
      </c>
      <c r="S22" s="224">
        <f t="shared" ref="S22:S33" si="35">N22/($J22*1000)</f>
        <v>0</v>
      </c>
      <c r="T22" s="224">
        <f t="shared" ref="T22:T33" si="36">O22/(J22*1000)</f>
        <v>0</v>
      </c>
      <c r="AM22" s="221"/>
      <c r="AN22" s="198"/>
      <c r="AO22" s="198"/>
      <c r="AP22" s="198"/>
      <c r="AQ22" s="198"/>
      <c r="AR22" s="198"/>
      <c r="AS22" s="198"/>
      <c r="AT22" s="198"/>
      <c r="AU22" s="198"/>
      <c r="AV22" s="198"/>
      <c r="AW22" s="198"/>
      <c r="AX22" s="198"/>
      <c r="AY22" s="198"/>
      <c r="AZ22" s="198"/>
      <c r="BA22" s="198"/>
      <c r="BB22" s="198"/>
      <c r="BC22" s="198"/>
    </row>
    <row r="23" spans="1:55" ht="13.5" customHeight="1" x14ac:dyDescent="0.35">
      <c r="A23" s="214" t="s">
        <v>51</v>
      </c>
      <c r="B23" s="238">
        <f t="shared" si="22"/>
        <v>14784.946236559139</v>
      </c>
      <c r="C23" s="238">
        <f t="shared" si="23"/>
        <v>0</v>
      </c>
      <c r="D23" s="238">
        <f t="shared" si="24"/>
        <v>0</v>
      </c>
      <c r="E23" s="238">
        <f t="shared" si="25"/>
        <v>0</v>
      </c>
      <c r="F23" s="238">
        <f t="shared" si="26"/>
        <v>0</v>
      </c>
      <c r="G23" s="238">
        <f t="shared" si="27"/>
        <v>0</v>
      </c>
      <c r="H23" s="238">
        <f t="shared" si="28"/>
        <v>0</v>
      </c>
      <c r="I23" s="238">
        <f t="shared" ref="I23:I32" si="37">SUM(B23:H23)</f>
        <v>14784.946236559139</v>
      </c>
      <c r="J23" s="239">
        <v>45196</v>
      </c>
      <c r="K23" s="210">
        <f t="shared" si="29"/>
        <v>28875</v>
      </c>
      <c r="L23" s="210">
        <f t="shared" si="30"/>
        <v>14784.946236559139</v>
      </c>
      <c r="M23" s="378">
        <f t="shared" ref="M23:M33" si="38">L23/K23</f>
        <v>0.51203277009728621</v>
      </c>
      <c r="N23" s="210">
        <f t="shared" si="31"/>
        <v>0</v>
      </c>
      <c r="O23" s="210">
        <f t="shared" si="32"/>
        <v>0</v>
      </c>
      <c r="P23" s="378">
        <f t="shared" ref="P23:P32" si="39">IF(N23=0,0,O23/N23)</f>
        <v>0</v>
      </c>
      <c r="Q23" s="224">
        <f t="shared" si="33"/>
        <v>6.3888397203292326E-4</v>
      </c>
      <c r="R23" s="224">
        <f t="shared" si="34"/>
        <v>3.2712952997077484E-4</v>
      </c>
      <c r="S23" s="224">
        <f t="shared" si="35"/>
        <v>0</v>
      </c>
      <c r="T23" s="224">
        <f t="shared" si="36"/>
        <v>0</v>
      </c>
      <c r="AM23" s="221"/>
      <c r="AN23" s="198"/>
      <c r="AO23" s="198"/>
      <c r="AP23" s="198"/>
      <c r="AQ23" s="198"/>
      <c r="AR23" s="198"/>
      <c r="AS23" s="198"/>
      <c r="AT23" s="198"/>
      <c r="AU23" s="198"/>
      <c r="AV23" s="198"/>
      <c r="AW23" s="198"/>
      <c r="AX23" s="198"/>
      <c r="AY23" s="198"/>
      <c r="AZ23" s="198"/>
      <c r="BA23" s="198"/>
      <c r="BB23" s="198"/>
      <c r="BC23" s="198"/>
    </row>
    <row r="24" spans="1:55" ht="13.5" customHeight="1" x14ac:dyDescent="0.35">
      <c r="A24" s="236" t="s">
        <v>763</v>
      </c>
      <c r="B24" s="238">
        <f t="shared" si="22"/>
        <v>0</v>
      </c>
      <c r="C24" s="238">
        <f t="shared" si="23"/>
        <v>0</v>
      </c>
      <c r="D24" s="238">
        <f t="shared" si="24"/>
        <v>0</v>
      </c>
      <c r="E24" s="238">
        <f t="shared" si="25"/>
        <v>21861.86186186186</v>
      </c>
      <c r="F24" s="238">
        <f t="shared" si="26"/>
        <v>0</v>
      </c>
      <c r="G24" s="238">
        <f t="shared" si="27"/>
        <v>0</v>
      </c>
      <c r="H24" s="238">
        <f t="shared" si="28"/>
        <v>0</v>
      </c>
      <c r="I24" s="238">
        <f t="shared" si="37"/>
        <v>21861.86186186186</v>
      </c>
      <c r="J24" s="480">
        <v>5094</v>
      </c>
      <c r="K24" s="210">
        <f t="shared" si="29"/>
        <v>43680</v>
      </c>
      <c r="L24" s="210">
        <f t="shared" si="30"/>
        <v>21861.86186186186</v>
      </c>
      <c r="M24" s="378">
        <f t="shared" si="38"/>
        <v>0.50050050050050043</v>
      </c>
      <c r="N24" s="210">
        <f t="shared" si="31"/>
        <v>29120</v>
      </c>
      <c r="O24" s="210">
        <f t="shared" si="32"/>
        <v>14545.425425425425</v>
      </c>
      <c r="P24" s="378">
        <f t="shared" si="39"/>
        <v>0.49949949949949946</v>
      </c>
      <c r="Q24" s="224">
        <f t="shared" si="33"/>
        <v>8.5747938751472314E-3</v>
      </c>
      <c r="R24" s="224">
        <f t="shared" si="34"/>
        <v>4.2916886261998152E-3</v>
      </c>
      <c r="S24" s="224">
        <f t="shared" si="35"/>
        <v>5.7165292500981546E-3</v>
      </c>
      <c r="T24" s="224">
        <f t="shared" si="36"/>
        <v>2.8554034992982775E-3</v>
      </c>
      <c r="AM24" s="221"/>
      <c r="AN24" s="198"/>
      <c r="AO24" s="198"/>
      <c r="AP24" s="198"/>
      <c r="AQ24" s="198"/>
      <c r="AR24" s="198"/>
      <c r="AS24" s="198"/>
      <c r="AT24" s="198"/>
      <c r="AU24" s="198"/>
      <c r="AV24" s="198"/>
      <c r="AW24" s="198"/>
      <c r="AX24" s="198"/>
      <c r="AY24" s="198"/>
      <c r="AZ24" s="198"/>
      <c r="BA24" s="198"/>
      <c r="BB24" s="198"/>
      <c r="BC24" s="198"/>
    </row>
    <row r="25" spans="1:55" ht="13.5" customHeight="1" x14ac:dyDescent="0.35">
      <c r="A25" s="214" t="s">
        <v>46</v>
      </c>
      <c r="B25" s="238">
        <f t="shared" si="22"/>
        <v>0</v>
      </c>
      <c r="C25" s="238">
        <f t="shared" si="23"/>
        <v>0</v>
      </c>
      <c r="D25" s="238">
        <f t="shared" si="24"/>
        <v>0</v>
      </c>
      <c r="E25" s="238">
        <f t="shared" si="25"/>
        <v>0</v>
      </c>
      <c r="F25" s="238">
        <f t="shared" si="26"/>
        <v>2034.0362058444639</v>
      </c>
      <c r="G25" s="238">
        <f t="shared" si="27"/>
        <v>0</v>
      </c>
      <c r="H25" s="238">
        <f t="shared" si="28"/>
        <v>0</v>
      </c>
      <c r="I25" s="238">
        <f t="shared" si="37"/>
        <v>2034.0362058444639</v>
      </c>
      <c r="J25" s="239">
        <v>988</v>
      </c>
      <c r="K25" s="210">
        <f t="shared" si="29"/>
        <v>4285.7142857142853</v>
      </c>
      <c r="L25" s="210">
        <f t="shared" si="30"/>
        <v>2034.0362058444639</v>
      </c>
      <c r="M25" s="378">
        <f t="shared" si="38"/>
        <v>0.47460844803037494</v>
      </c>
      <c r="N25" s="210">
        <f t="shared" si="31"/>
        <v>0</v>
      </c>
      <c r="O25" s="210">
        <f t="shared" si="32"/>
        <v>0</v>
      </c>
      <c r="P25" s="378">
        <f t="shared" si="39"/>
        <v>0</v>
      </c>
      <c r="Q25" s="224">
        <f t="shared" si="33"/>
        <v>4.3377674956622319E-3</v>
      </c>
      <c r="R25" s="224">
        <f t="shared" si="34"/>
        <v>2.0587410990328581E-3</v>
      </c>
      <c r="S25" s="224">
        <f t="shared" si="35"/>
        <v>0</v>
      </c>
      <c r="T25" s="224">
        <f t="shared" si="36"/>
        <v>0</v>
      </c>
      <c r="AM25" s="221"/>
      <c r="AN25" s="198"/>
      <c r="AO25" s="198"/>
      <c r="AP25" s="198"/>
      <c r="AQ25" s="198"/>
      <c r="AR25" s="198"/>
      <c r="AS25" s="198"/>
      <c r="AT25" s="198"/>
      <c r="AU25" s="198"/>
      <c r="AV25" s="198"/>
      <c r="AW25" s="198"/>
      <c r="AX25" s="198"/>
      <c r="AY25" s="198"/>
      <c r="AZ25" s="198"/>
      <c r="BA25" s="198"/>
      <c r="BB25" s="198"/>
      <c r="BC25" s="198"/>
    </row>
    <row r="26" spans="1:55" ht="13.5" customHeight="1" x14ac:dyDescent="0.35">
      <c r="A26" s="214" t="s">
        <v>53</v>
      </c>
      <c r="B26" s="238">
        <f t="shared" si="22"/>
        <v>6877.7814557357751</v>
      </c>
      <c r="C26" s="238">
        <f t="shared" si="23"/>
        <v>0</v>
      </c>
      <c r="D26" s="238">
        <f t="shared" si="24"/>
        <v>0</v>
      </c>
      <c r="E26" s="238">
        <f t="shared" si="25"/>
        <v>0</v>
      </c>
      <c r="F26" s="238">
        <f t="shared" si="26"/>
        <v>0</v>
      </c>
      <c r="G26" s="238">
        <f t="shared" si="27"/>
        <v>0</v>
      </c>
      <c r="H26" s="238">
        <f t="shared" si="28"/>
        <v>0</v>
      </c>
      <c r="I26" s="238">
        <f t="shared" si="37"/>
        <v>6877.7814557357751</v>
      </c>
      <c r="J26" s="239">
        <v>273524</v>
      </c>
      <c r="K26" s="210">
        <f t="shared" si="29"/>
        <v>13851.851851851852</v>
      </c>
      <c r="L26" s="210">
        <f t="shared" si="30"/>
        <v>6877.7814557357751</v>
      </c>
      <c r="M26" s="378">
        <f t="shared" si="38"/>
        <v>0.49652432969215488</v>
      </c>
      <c r="N26" s="210">
        <f t="shared" si="31"/>
        <v>0</v>
      </c>
      <c r="O26" s="210">
        <f t="shared" si="32"/>
        <v>0</v>
      </c>
      <c r="P26" s="378">
        <f t="shared" si="39"/>
        <v>0</v>
      </c>
      <c r="Q26" s="224">
        <f t="shared" si="33"/>
        <v>5.0642180766045586E-5</v>
      </c>
      <c r="R26" s="224">
        <f t="shared" si="34"/>
        <v>2.5145074859009722E-5</v>
      </c>
      <c r="S26" s="224">
        <f t="shared" si="35"/>
        <v>0</v>
      </c>
      <c r="T26" s="224">
        <f t="shared" si="36"/>
        <v>0</v>
      </c>
      <c r="AM26" s="221"/>
      <c r="AN26" s="198"/>
      <c r="AO26" s="198"/>
      <c r="AP26" s="198"/>
      <c r="AQ26" s="198"/>
      <c r="AR26" s="198"/>
      <c r="AS26" s="198"/>
      <c r="AT26" s="198"/>
      <c r="AU26" s="198"/>
      <c r="AV26" s="198"/>
      <c r="AW26" s="198"/>
      <c r="AX26" s="198"/>
      <c r="AY26" s="198"/>
      <c r="AZ26" s="198"/>
      <c r="BA26" s="198"/>
      <c r="BB26" s="198"/>
      <c r="BC26" s="198"/>
    </row>
    <row r="27" spans="1:55" ht="13.5" customHeight="1" x14ac:dyDescent="0.35">
      <c r="A27" s="214" t="s">
        <v>648</v>
      </c>
      <c r="B27" s="238">
        <f t="shared" si="22"/>
        <v>0</v>
      </c>
      <c r="C27" s="238">
        <f t="shared" si="23"/>
        <v>0</v>
      </c>
      <c r="D27" s="238">
        <f t="shared" si="24"/>
        <v>0</v>
      </c>
      <c r="E27" s="238">
        <f t="shared" si="25"/>
        <v>0</v>
      </c>
      <c r="F27" s="238">
        <f t="shared" si="26"/>
        <v>0</v>
      </c>
      <c r="G27" s="238">
        <f t="shared" si="27"/>
        <v>0</v>
      </c>
      <c r="H27" s="238">
        <f t="shared" si="28"/>
        <v>7026.8437209966451</v>
      </c>
      <c r="I27" s="238">
        <f t="shared" si="37"/>
        <v>7026.8437209966451</v>
      </c>
      <c r="J27" s="239">
        <v>2083</v>
      </c>
      <c r="K27" s="210">
        <f t="shared" si="29"/>
        <v>14060.714285714286</v>
      </c>
      <c r="L27" s="210">
        <f t="shared" si="30"/>
        <v>7026.8437209966451</v>
      </c>
      <c r="M27" s="378">
        <f t="shared" si="38"/>
        <v>0.49975012493753124</v>
      </c>
      <c r="N27" s="210">
        <f t="shared" si="31"/>
        <v>0</v>
      </c>
      <c r="O27" s="210">
        <f t="shared" si="32"/>
        <v>0</v>
      </c>
      <c r="P27" s="378">
        <f t="shared" si="39"/>
        <v>0</v>
      </c>
      <c r="Q27" s="224">
        <f t="shared" si="33"/>
        <v>6.7502228928057063E-3</v>
      </c>
      <c r="R27" s="224">
        <f t="shared" si="34"/>
        <v>3.3734247340358355E-3</v>
      </c>
      <c r="S27" s="224">
        <f t="shared" si="35"/>
        <v>0</v>
      </c>
      <c r="T27" s="224">
        <f t="shared" si="36"/>
        <v>0</v>
      </c>
      <c r="AM27" s="221"/>
      <c r="AN27" s="198"/>
      <c r="AO27" s="198"/>
      <c r="AP27" s="198"/>
      <c r="AQ27" s="198"/>
      <c r="AR27" s="198"/>
      <c r="AS27" s="198"/>
      <c r="AT27" s="198"/>
      <c r="AU27" s="198"/>
      <c r="AV27" s="198"/>
      <c r="AW27" s="198"/>
      <c r="AX27" s="198"/>
      <c r="AY27" s="198"/>
      <c r="AZ27" s="198"/>
      <c r="BA27" s="198"/>
      <c r="BB27" s="198"/>
      <c r="BC27" s="198"/>
    </row>
    <row r="28" spans="1:55" ht="13.5" customHeight="1" x14ac:dyDescent="0.35">
      <c r="A28" s="214" t="s">
        <v>52</v>
      </c>
      <c r="B28" s="238">
        <f t="shared" si="22"/>
        <v>6023.3656792645552</v>
      </c>
      <c r="C28" s="238">
        <f t="shared" si="23"/>
        <v>0</v>
      </c>
      <c r="D28" s="238">
        <f t="shared" si="24"/>
        <v>0</v>
      </c>
      <c r="E28" s="238">
        <f t="shared" si="25"/>
        <v>0</v>
      </c>
      <c r="F28" s="238">
        <f t="shared" si="26"/>
        <v>2188.8224135415144</v>
      </c>
      <c r="G28" s="238">
        <f t="shared" si="27"/>
        <v>0</v>
      </c>
      <c r="H28" s="238">
        <f t="shared" si="28"/>
        <v>0</v>
      </c>
      <c r="I28" s="238">
        <f t="shared" si="37"/>
        <v>8212.1880928060691</v>
      </c>
      <c r="J28" s="239">
        <v>128933</v>
      </c>
      <c r="K28" s="210">
        <f t="shared" si="29"/>
        <v>16079.464285714286</v>
      </c>
      <c r="L28" s="210">
        <f t="shared" si="30"/>
        <v>8212.1880928060691</v>
      </c>
      <c r="M28" s="378">
        <f t="shared" si="38"/>
        <v>0.51072522982635338</v>
      </c>
      <c r="N28" s="210">
        <f t="shared" si="31"/>
        <v>0</v>
      </c>
      <c r="O28" s="210">
        <f t="shared" si="32"/>
        <v>0</v>
      </c>
      <c r="P28" s="378">
        <f t="shared" si="39"/>
        <v>0</v>
      </c>
      <c r="Q28" s="224">
        <f t="shared" si="33"/>
        <v>1.247117827531686E-4</v>
      </c>
      <c r="R28" s="224">
        <f t="shared" si="34"/>
        <v>6.369345390866627E-5</v>
      </c>
      <c r="S28" s="224">
        <f t="shared" si="35"/>
        <v>0</v>
      </c>
      <c r="T28" s="224">
        <f t="shared" si="36"/>
        <v>0</v>
      </c>
      <c r="AM28" s="221"/>
      <c r="AN28" s="198"/>
      <c r="AO28" s="198"/>
      <c r="AP28" s="198"/>
      <c r="AQ28" s="198"/>
      <c r="AR28" s="198"/>
      <c r="AS28" s="198"/>
      <c r="AT28" s="198"/>
      <c r="AU28" s="198"/>
      <c r="AV28" s="198"/>
      <c r="AW28" s="198"/>
      <c r="AX28" s="198"/>
      <c r="AY28" s="198"/>
      <c r="AZ28" s="198"/>
      <c r="BA28" s="198"/>
      <c r="BB28" s="198"/>
      <c r="BC28" s="198"/>
    </row>
    <row r="29" spans="1:55" ht="13.5" customHeight="1" x14ac:dyDescent="0.35">
      <c r="A29" s="214" t="s">
        <v>48</v>
      </c>
      <c r="B29" s="238">
        <f t="shared" si="22"/>
        <v>42934.508816120913</v>
      </c>
      <c r="C29" s="238">
        <f t="shared" si="23"/>
        <v>0</v>
      </c>
      <c r="D29" s="238">
        <f t="shared" si="24"/>
        <v>0</v>
      </c>
      <c r="E29" s="238">
        <f t="shared" si="25"/>
        <v>3400.5037783375315</v>
      </c>
      <c r="F29" s="238">
        <f t="shared" si="26"/>
        <v>0</v>
      </c>
      <c r="G29" s="238">
        <f t="shared" si="27"/>
        <v>0</v>
      </c>
      <c r="H29" s="238">
        <f t="shared" si="28"/>
        <v>0</v>
      </c>
      <c r="I29" s="238">
        <f t="shared" si="37"/>
        <v>46335.012594458443</v>
      </c>
      <c r="J29" s="239">
        <v>36911</v>
      </c>
      <c r="K29" s="210">
        <f t="shared" si="29"/>
        <v>91975.000000000015</v>
      </c>
      <c r="L29" s="210">
        <f t="shared" si="30"/>
        <v>46335.012594458443</v>
      </c>
      <c r="M29" s="378">
        <f t="shared" si="38"/>
        <v>0.50377833753148615</v>
      </c>
      <c r="N29" s="210">
        <f t="shared" si="31"/>
        <v>4500</v>
      </c>
      <c r="O29" s="210">
        <f t="shared" si="32"/>
        <v>2232.9974811083125</v>
      </c>
      <c r="P29" s="378">
        <f t="shared" si="39"/>
        <v>0.4962216624685139</v>
      </c>
      <c r="Q29" s="224">
        <f t="shared" si="33"/>
        <v>2.4918046110915448E-3</v>
      </c>
      <c r="R29" s="224">
        <f t="shared" si="34"/>
        <v>1.2553171844289898E-3</v>
      </c>
      <c r="S29" s="224">
        <f t="shared" si="35"/>
        <v>1.2191487632413102E-4</v>
      </c>
      <c r="T29" s="224">
        <f t="shared" si="36"/>
        <v>6.0496802609203557E-5</v>
      </c>
      <c r="AM29" s="221"/>
      <c r="AN29" s="198"/>
      <c r="AO29" s="198"/>
      <c r="AP29" s="198"/>
      <c r="AQ29" s="198"/>
      <c r="AR29" s="198"/>
      <c r="AS29" s="198"/>
      <c r="AT29" s="198"/>
      <c r="AU29" s="198"/>
      <c r="AV29" s="198"/>
      <c r="AW29" s="198"/>
      <c r="AX29" s="198"/>
      <c r="AY29" s="198"/>
      <c r="AZ29" s="198"/>
      <c r="BA29" s="198"/>
      <c r="BB29" s="198"/>
      <c r="BC29" s="198"/>
    </row>
    <row r="30" spans="1:55" ht="13.5" customHeight="1" x14ac:dyDescent="0.35">
      <c r="A30" s="214" t="s">
        <v>49</v>
      </c>
      <c r="B30" s="238">
        <f t="shared" si="22"/>
        <v>3020.2169625246547</v>
      </c>
      <c r="C30" s="238">
        <f t="shared" si="23"/>
        <v>0</v>
      </c>
      <c r="D30" s="238">
        <f t="shared" si="24"/>
        <v>0</v>
      </c>
      <c r="E30" s="238">
        <f t="shared" si="25"/>
        <v>0</v>
      </c>
      <c r="F30" s="238">
        <f t="shared" si="26"/>
        <v>0</v>
      </c>
      <c r="G30" s="238">
        <f t="shared" si="27"/>
        <v>0</v>
      </c>
      <c r="H30" s="238">
        <f t="shared" si="28"/>
        <v>246.54832347140038</v>
      </c>
      <c r="I30" s="238">
        <f t="shared" si="37"/>
        <v>3266.7652859960549</v>
      </c>
      <c r="J30" s="239">
        <v>206140</v>
      </c>
      <c r="K30" s="210">
        <f t="shared" si="29"/>
        <v>6625</v>
      </c>
      <c r="L30" s="210">
        <f t="shared" si="30"/>
        <v>3266.7652859960549</v>
      </c>
      <c r="M30" s="378">
        <f t="shared" si="38"/>
        <v>0.49309664694280075</v>
      </c>
      <c r="N30" s="210">
        <f t="shared" si="31"/>
        <v>0</v>
      </c>
      <c r="O30" s="210">
        <f t="shared" si="32"/>
        <v>0</v>
      </c>
      <c r="P30" s="378">
        <f t="shared" si="39"/>
        <v>0</v>
      </c>
      <c r="Q30" s="224">
        <f t="shared" si="33"/>
        <v>3.2138352575919276E-5</v>
      </c>
      <c r="R30" s="224">
        <f t="shared" si="34"/>
        <v>1.5847313893451321E-5</v>
      </c>
      <c r="S30" s="224">
        <f t="shared" si="35"/>
        <v>0</v>
      </c>
      <c r="T30" s="224">
        <f t="shared" si="36"/>
        <v>0</v>
      </c>
      <c r="AM30" s="221"/>
      <c r="AN30" s="198"/>
      <c r="AO30" s="198"/>
      <c r="AP30" s="198"/>
      <c r="AQ30" s="198"/>
      <c r="AR30" s="198"/>
      <c r="AS30" s="198"/>
      <c r="AT30" s="198"/>
      <c r="AU30" s="198"/>
      <c r="AV30" s="198"/>
      <c r="AW30" s="198"/>
      <c r="AX30" s="198"/>
      <c r="AY30" s="198"/>
      <c r="AZ30" s="198"/>
      <c r="BA30" s="198"/>
      <c r="BB30" s="198"/>
      <c r="BC30" s="198"/>
    </row>
    <row r="31" spans="1:55" ht="13.5" customHeight="1" x14ac:dyDescent="0.35">
      <c r="A31" s="214" t="s">
        <v>54</v>
      </c>
      <c r="B31" s="238">
        <f t="shared" si="22"/>
        <v>0</v>
      </c>
      <c r="C31" s="238">
        <f t="shared" si="23"/>
        <v>0</v>
      </c>
      <c r="D31" s="238">
        <f t="shared" si="24"/>
        <v>0</v>
      </c>
      <c r="E31" s="238">
        <f t="shared" si="25"/>
        <v>0</v>
      </c>
      <c r="F31" s="238">
        <f t="shared" si="26"/>
        <v>557.74522198259831</v>
      </c>
      <c r="G31" s="238">
        <f t="shared" si="27"/>
        <v>0</v>
      </c>
      <c r="H31" s="238">
        <f t="shared" si="28"/>
        <v>0</v>
      </c>
      <c r="I31" s="238">
        <f t="shared" si="37"/>
        <v>557.74522198259831</v>
      </c>
      <c r="J31" s="239">
        <v>21413</v>
      </c>
      <c r="K31" s="210">
        <f t="shared" si="29"/>
        <v>1071.4285714285713</v>
      </c>
      <c r="L31" s="210">
        <f t="shared" si="30"/>
        <v>557.74522198259831</v>
      </c>
      <c r="M31" s="378">
        <f t="shared" si="38"/>
        <v>0.52056220718375845</v>
      </c>
      <c r="N31" s="210">
        <f t="shared" si="31"/>
        <v>0</v>
      </c>
      <c r="O31" s="210">
        <f t="shared" si="32"/>
        <v>0</v>
      </c>
      <c r="P31" s="378">
        <f t="shared" si="39"/>
        <v>0</v>
      </c>
      <c r="Q31" s="224">
        <f t="shared" si="33"/>
        <v>5.003635975475512E-5</v>
      </c>
      <c r="R31" s="224">
        <f t="shared" si="34"/>
        <v>2.6047037873375907E-5</v>
      </c>
      <c r="S31" s="224">
        <f t="shared" si="35"/>
        <v>0</v>
      </c>
      <c r="T31" s="224">
        <f t="shared" si="36"/>
        <v>0</v>
      </c>
      <c r="AM31" s="221"/>
      <c r="AN31" s="198"/>
      <c r="AO31" s="198"/>
      <c r="AP31" s="198"/>
      <c r="AQ31" s="198"/>
      <c r="AR31" s="198"/>
      <c r="AS31" s="198"/>
      <c r="AT31" s="198"/>
      <c r="AU31" s="198"/>
      <c r="AV31" s="198"/>
      <c r="AW31" s="198"/>
      <c r="AX31" s="198"/>
      <c r="AY31" s="198"/>
      <c r="AZ31" s="198"/>
      <c r="BA31" s="198"/>
      <c r="BB31" s="198"/>
      <c r="BC31" s="198"/>
    </row>
    <row r="32" spans="1:55" ht="13.5" customHeight="1" x14ac:dyDescent="0.35">
      <c r="A32" s="237" t="s">
        <v>50</v>
      </c>
      <c r="B32" s="238">
        <f t="shared" si="22"/>
        <v>11139.112903225807</v>
      </c>
      <c r="C32" s="238">
        <f t="shared" si="23"/>
        <v>0</v>
      </c>
      <c r="D32" s="238">
        <f t="shared" si="24"/>
        <v>78307.73588755219</v>
      </c>
      <c r="E32" s="238">
        <f t="shared" si="25"/>
        <v>0</v>
      </c>
      <c r="F32" s="238">
        <f t="shared" si="26"/>
        <v>0</v>
      </c>
      <c r="G32" s="238">
        <f t="shared" si="27"/>
        <v>0</v>
      </c>
      <c r="H32" s="238">
        <f t="shared" si="28"/>
        <v>0</v>
      </c>
      <c r="I32" s="238">
        <f t="shared" si="37"/>
        <v>89446.848790777993</v>
      </c>
      <c r="J32" s="239">
        <v>11819</v>
      </c>
      <c r="K32" s="210">
        <f t="shared" si="29"/>
        <v>177462.54800090354</v>
      </c>
      <c r="L32" s="210">
        <f t="shared" si="30"/>
        <v>89446.848790777993</v>
      </c>
      <c r="M32" s="378">
        <f t="shared" si="38"/>
        <v>0.50403225806451613</v>
      </c>
      <c r="N32" s="210">
        <f t="shared" si="31"/>
        <v>0</v>
      </c>
      <c r="O32" s="210">
        <f t="shared" si="32"/>
        <v>0</v>
      </c>
      <c r="P32" s="378">
        <f t="shared" si="39"/>
        <v>0</v>
      </c>
      <c r="Q32" s="224">
        <f t="shared" si="33"/>
        <v>1.5015022252382057E-2</v>
      </c>
      <c r="R32" s="224">
        <f t="shared" si="34"/>
        <v>7.5680555707570854E-3</v>
      </c>
      <c r="S32" s="224">
        <f t="shared" si="35"/>
        <v>0</v>
      </c>
      <c r="T32" s="224">
        <f t="shared" si="36"/>
        <v>0</v>
      </c>
      <c r="AM32" s="221"/>
      <c r="AN32" s="198"/>
      <c r="AO32" s="198"/>
      <c r="AP32" s="198"/>
      <c r="AQ32" s="198"/>
      <c r="AR32" s="198"/>
      <c r="AS32" s="198"/>
      <c r="AT32" s="198"/>
      <c r="AU32" s="198"/>
      <c r="AV32" s="198"/>
      <c r="AW32" s="198"/>
      <c r="AX32" s="198"/>
      <c r="AY32" s="198"/>
      <c r="AZ32" s="198"/>
      <c r="BA32" s="198"/>
      <c r="BB32" s="198"/>
      <c r="BC32" s="198"/>
    </row>
    <row r="33" spans="1:55" ht="15.75" customHeight="1" x14ac:dyDescent="0.35">
      <c r="A33" s="214" t="s">
        <v>284</v>
      </c>
      <c r="B33" s="246">
        <f t="shared" ref="B33:L33" si="40">SUM(B22:B32)</f>
        <v>84779.93205343085</v>
      </c>
      <c r="C33" s="246">
        <f t="shared" si="40"/>
        <v>0</v>
      </c>
      <c r="D33" s="246">
        <f t="shared" si="40"/>
        <v>439276.86580756144</v>
      </c>
      <c r="E33" s="246">
        <f t="shared" si="40"/>
        <v>25262.36564019939</v>
      </c>
      <c r="F33" s="246">
        <f t="shared" si="40"/>
        <v>4780.6038413685765</v>
      </c>
      <c r="G33" s="246">
        <f t="shared" si="40"/>
        <v>0</v>
      </c>
      <c r="H33" s="246">
        <f t="shared" si="40"/>
        <v>7273.3920444680452</v>
      </c>
      <c r="I33" s="246">
        <f>SUM(B33:H33)</f>
        <v>561373.15938702831</v>
      </c>
      <c r="J33" s="246">
        <f t="shared" si="40"/>
        <v>734979</v>
      </c>
      <c r="K33" s="246">
        <f t="shared" si="40"/>
        <v>1133260.8389283856</v>
      </c>
      <c r="L33" s="246">
        <f t="shared" si="40"/>
        <v>561373.15938702831</v>
      </c>
      <c r="M33" s="380">
        <f t="shared" si="38"/>
        <v>0.4953609443681688</v>
      </c>
      <c r="N33" s="379">
        <f>SUM(N22:N32)</f>
        <v>33620</v>
      </c>
      <c r="O33" s="379">
        <f>SUM(O22:O32)</f>
        <v>16778.422906533739</v>
      </c>
      <c r="P33" s="380">
        <f t="shared" ref="P33" si="41">O33/N33</f>
        <v>0.49906076462027776</v>
      </c>
      <c r="Q33" s="277">
        <f t="shared" si="33"/>
        <v>1.5418955356933813E-3</v>
      </c>
      <c r="R33" s="277">
        <f t="shared" si="34"/>
        <v>7.6379482867813678E-4</v>
      </c>
      <c r="S33" s="481">
        <f t="shared" si="35"/>
        <v>4.5742803535883336E-5</v>
      </c>
      <c r="T33" s="277">
        <f t="shared" si="36"/>
        <v>2.2828438508493083E-5</v>
      </c>
      <c r="AM33" s="221"/>
      <c r="AN33" s="198"/>
      <c r="AO33" s="198"/>
      <c r="AP33" s="198"/>
      <c r="AQ33" s="198"/>
      <c r="AR33" s="198"/>
      <c r="AS33" s="198"/>
      <c r="AT33" s="198"/>
      <c r="AU33" s="198"/>
      <c r="AV33" s="198"/>
      <c r="AW33" s="198"/>
      <c r="AX33" s="198"/>
      <c r="AY33" s="198"/>
      <c r="AZ33" s="198"/>
      <c r="BA33" s="198"/>
      <c r="BB33" s="198"/>
      <c r="BC33" s="198"/>
    </row>
    <row r="34" spans="1:55" ht="15.75" customHeight="1" x14ac:dyDescent="0.35">
      <c r="A34" s="245" t="s">
        <v>634</v>
      </c>
      <c r="B34" s="247"/>
      <c r="C34" s="247"/>
      <c r="D34" s="247"/>
      <c r="E34" s="247"/>
      <c r="F34" s="247"/>
      <c r="G34" s="247"/>
      <c r="H34" s="247"/>
      <c r="I34" s="247"/>
      <c r="J34" s="198" t="s">
        <v>646</v>
      </c>
      <c r="M34" s="381"/>
      <c r="P34" s="381"/>
      <c r="AM34" s="221"/>
      <c r="AN34" s="198"/>
      <c r="AO34" s="198"/>
      <c r="AP34" s="198"/>
      <c r="AQ34" s="198"/>
      <c r="AR34" s="198"/>
      <c r="AS34" s="198"/>
      <c r="AT34" s="198"/>
      <c r="AU34" s="198"/>
      <c r="AV34" s="198"/>
      <c r="AW34" s="198"/>
      <c r="AX34" s="198"/>
      <c r="AY34" s="198"/>
      <c r="AZ34" s="198"/>
      <c r="BA34" s="198"/>
      <c r="BB34" s="198"/>
      <c r="BC34" s="198"/>
    </row>
    <row r="35" spans="1:55" ht="15.75" customHeight="1" x14ac:dyDescent="0.3">
      <c r="K35" s="390"/>
      <c r="L35" s="385"/>
      <c r="N35" s="417"/>
      <c r="AM35" s="221"/>
      <c r="AN35" s="198"/>
      <c r="AO35" s="198"/>
      <c r="AP35" s="198"/>
      <c r="AQ35" s="198"/>
      <c r="AR35" s="198"/>
      <c r="AS35" s="198"/>
      <c r="AT35" s="198"/>
      <c r="AU35" s="198"/>
      <c r="AV35" s="198"/>
      <c r="AW35" s="198"/>
      <c r="AX35" s="198"/>
      <c r="AY35" s="198"/>
      <c r="AZ35" s="198"/>
      <c r="BA35" s="198"/>
      <c r="BB35" s="198"/>
      <c r="BC35" s="198"/>
    </row>
    <row r="36" spans="1:55" ht="15.75" customHeight="1" x14ac:dyDescent="0.3">
      <c r="J36" s="439" t="s">
        <v>746</v>
      </c>
      <c r="K36" s="390"/>
      <c r="L36" s="385"/>
      <c r="N36" s="417"/>
      <c r="AM36" s="221"/>
      <c r="AN36" s="198"/>
      <c r="AO36" s="198"/>
      <c r="AP36" s="198"/>
      <c r="AQ36" s="198"/>
      <c r="AR36" s="198"/>
      <c r="AS36" s="198"/>
      <c r="AT36" s="198"/>
      <c r="AU36" s="198"/>
      <c r="AV36" s="198"/>
      <c r="AW36" s="198"/>
      <c r="AX36" s="198"/>
      <c r="AY36" s="198"/>
      <c r="AZ36" s="198"/>
      <c r="BA36" s="198"/>
      <c r="BB36" s="198"/>
      <c r="BC36" s="198"/>
    </row>
    <row r="37" spans="1:55" ht="15.75" customHeight="1" thickBot="1" x14ac:dyDescent="0.35">
      <c r="K37" s="390"/>
      <c r="L37" s="385"/>
      <c r="N37" s="417"/>
      <c r="AM37" s="221"/>
      <c r="AN37" s="198"/>
      <c r="AO37" s="198"/>
      <c r="AP37" s="198"/>
      <c r="AQ37" s="198"/>
      <c r="AR37" s="198"/>
      <c r="AS37" s="198"/>
      <c r="AT37" s="198"/>
      <c r="AU37" s="198"/>
      <c r="AV37" s="198"/>
      <c r="AW37" s="198"/>
      <c r="AX37" s="198"/>
      <c r="AY37" s="198"/>
      <c r="AZ37" s="198"/>
      <c r="BA37" s="198"/>
      <c r="BB37" s="198"/>
      <c r="BC37" s="198"/>
    </row>
    <row r="38" spans="1:55" ht="15.75" customHeight="1" x14ac:dyDescent="0.3">
      <c r="J38" s="423" t="s">
        <v>734</v>
      </c>
      <c r="K38" s="424">
        <f>K33*'Impacts Summary'!C62</f>
        <v>587832.50571397238</v>
      </c>
      <c r="L38" s="424"/>
      <c r="M38" s="425"/>
      <c r="N38" s="426" t="s">
        <v>740</v>
      </c>
      <c r="O38" s="427">
        <f>N33*'Impacts Summary'!C62</f>
        <v>17438.993886695695</v>
      </c>
      <c r="AM38" s="221"/>
      <c r="AN38" s="198"/>
      <c r="AO38" s="198"/>
      <c r="AP38" s="198"/>
      <c r="AQ38" s="198"/>
      <c r="AR38" s="198"/>
      <c r="AS38" s="198"/>
      <c r="AT38" s="198"/>
      <c r="AU38" s="198"/>
      <c r="AV38" s="198"/>
      <c r="AW38" s="198"/>
      <c r="AX38" s="198"/>
      <c r="AY38" s="198"/>
      <c r="AZ38" s="198"/>
      <c r="BA38" s="198"/>
      <c r="BB38" s="198"/>
      <c r="BC38" s="198"/>
    </row>
    <row r="39" spans="1:55" ht="15.75" customHeight="1" x14ac:dyDescent="0.3">
      <c r="J39" s="428" t="s">
        <v>735</v>
      </c>
      <c r="K39" s="419">
        <f>L33*'Impacts Summary'!C62</f>
        <v>291189.26516078028</v>
      </c>
      <c r="L39" s="420"/>
      <c r="M39" s="420"/>
      <c r="N39" s="418" t="s">
        <v>741</v>
      </c>
      <c r="O39" s="429">
        <f>O33*'Impacts Summary'!C62</f>
        <v>8703.1176233027018</v>
      </c>
      <c r="AM39" s="221"/>
      <c r="AN39" s="198"/>
      <c r="AO39" s="198"/>
      <c r="AP39" s="198"/>
      <c r="AQ39" s="198"/>
      <c r="AR39" s="198"/>
      <c r="AS39" s="198"/>
      <c r="AT39" s="198"/>
      <c r="AU39" s="198"/>
      <c r="AV39" s="198"/>
      <c r="AW39" s="198"/>
      <c r="AX39" s="198"/>
      <c r="AY39" s="198"/>
      <c r="AZ39" s="198"/>
      <c r="BA39" s="198"/>
      <c r="BB39" s="198"/>
      <c r="BC39" s="198"/>
    </row>
    <row r="40" spans="1:55" ht="15.75" customHeight="1" x14ac:dyDescent="0.3">
      <c r="J40" s="430" t="s">
        <v>736</v>
      </c>
      <c r="K40" s="419">
        <f>K38-K39</f>
        <v>296643.2405531921</v>
      </c>
      <c r="L40" s="420"/>
      <c r="M40" s="420"/>
      <c r="N40" s="421" t="s">
        <v>742</v>
      </c>
      <c r="O40" s="429">
        <f>O38-O39</f>
        <v>8735.8762633929928</v>
      </c>
      <c r="AM40" s="221"/>
      <c r="AN40" s="198"/>
      <c r="AO40" s="198"/>
      <c r="AP40" s="198"/>
      <c r="AQ40" s="198"/>
      <c r="AR40" s="198"/>
      <c r="AS40" s="198"/>
      <c r="AT40" s="198"/>
      <c r="AU40" s="198"/>
      <c r="AV40" s="198"/>
      <c r="AW40" s="198"/>
      <c r="AX40" s="198"/>
      <c r="AY40" s="198"/>
      <c r="AZ40" s="198"/>
      <c r="BA40" s="198"/>
      <c r="BB40" s="198"/>
      <c r="BC40" s="198"/>
    </row>
    <row r="41" spans="1:55" ht="15.75" customHeight="1" x14ac:dyDescent="0.3">
      <c r="J41" s="431"/>
      <c r="K41" s="420"/>
      <c r="L41" s="420"/>
      <c r="M41" s="420"/>
      <c r="N41" s="420"/>
      <c r="O41" s="432"/>
      <c r="AM41" s="221"/>
      <c r="AN41" s="198"/>
      <c r="AO41" s="198"/>
      <c r="AP41" s="198"/>
      <c r="AQ41" s="198"/>
      <c r="AR41" s="198"/>
      <c r="AS41" s="198"/>
      <c r="AT41" s="198"/>
      <c r="AU41" s="198"/>
      <c r="AV41" s="198"/>
      <c r="AW41" s="198"/>
      <c r="AX41" s="198"/>
      <c r="AY41" s="198"/>
      <c r="AZ41" s="198"/>
      <c r="BA41" s="198"/>
      <c r="BB41" s="198"/>
      <c r="BC41" s="198"/>
    </row>
    <row r="42" spans="1:55" ht="15.75" customHeight="1" x14ac:dyDescent="0.3">
      <c r="J42" s="428" t="s">
        <v>738</v>
      </c>
      <c r="K42" s="422">
        <f>K33</f>
        <v>1133260.8389283856</v>
      </c>
      <c r="L42" s="420"/>
      <c r="M42" s="420"/>
      <c r="N42" s="418" t="s">
        <v>743</v>
      </c>
      <c r="O42" s="433">
        <f>N33</f>
        <v>33620</v>
      </c>
      <c r="AM42" s="221"/>
      <c r="AN42" s="198"/>
      <c r="AO42" s="198"/>
      <c r="AP42" s="198"/>
      <c r="AQ42" s="198"/>
      <c r="AR42" s="198"/>
      <c r="AS42" s="198"/>
      <c r="AT42" s="198"/>
      <c r="AU42" s="198"/>
      <c r="AV42" s="198"/>
      <c r="AW42" s="198"/>
      <c r="AX42" s="198"/>
      <c r="AY42" s="198"/>
      <c r="AZ42" s="198"/>
      <c r="BA42" s="198"/>
      <c r="BB42" s="198"/>
      <c r="BC42" s="198"/>
    </row>
    <row r="43" spans="1:55" ht="15.75" customHeight="1" x14ac:dyDescent="0.3">
      <c r="J43" s="428" t="s">
        <v>739</v>
      </c>
      <c r="K43" s="422">
        <f>L33</f>
        <v>561373.15938702831</v>
      </c>
      <c r="L43" s="420"/>
      <c r="M43" s="420"/>
      <c r="N43" s="418" t="s">
        <v>744</v>
      </c>
      <c r="O43" s="433">
        <f>O33</f>
        <v>16778.422906533739</v>
      </c>
      <c r="AM43" s="221"/>
      <c r="AN43" s="198"/>
      <c r="AO43" s="198"/>
      <c r="AP43" s="198"/>
      <c r="AQ43" s="198"/>
      <c r="AR43" s="198"/>
      <c r="AS43" s="198"/>
      <c r="AT43" s="198"/>
      <c r="AU43" s="198"/>
      <c r="AV43" s="198"/>
      <c r="AW43" s="198"/>
      <c r="AX43" s="198"/>
      <c r="AY43" s="198"/>
      <c r="AZ43" s="198"/>
      <c r="BA43" s="198"/>
      <c r="BB43" s="198"/>
      <c r="BC43" s="198"/>
    </row>
    <row r="44" spans="1:55" ht="13.5" customHeight="1" thickBot="1" x14ac:dyDescent="0.35">
      <c r="J44" s="434" t="s">
        <v>737</v>
      </c>
      <c r="K44" s="435">
        <f>K42-K43</f>
        <v>571887.67954135733</v>
      </c>
      <c r="L44" s="436"/>
      <c r="M44" s="436"/>
      <c r="N44" s="437" t="s">
        <v>745</v>
      </c>
      <c r="O44" s="438">
        <f>O43-O42</f>
        <v>-16841.577093466261</v>
      </c>
      <c r="AM44" s="221"/>
      <c r="AN44" s="198"/>
      <c r="AO44" s="198"/>
      <c r="AP44" s="198"/>
      <c r="AQ44" s="198"/>
      <c r="AR44" s="198"/>
      <c r="AS44" s="198"/>
      <c r="AT44" s="198"/>
      <c r="AU44" s="198"/>
      <c r="AV44" s="198"/>
      <c r="AW44" s="198"/>
      <c r="AX44" s="198"/>
      <c r="AY44" s="198"/>
      <c r="AZ44" s="198"/>
      <c r="BA44" s="198"/>
      <c r="BB44" s="198"/>
      <c r="BC44" s="198"/>
    </row>
    <row r="45" spans="1:55" ht="13.5" customHeight="1" x14ac:dyDescent="0.3">
      <c r="AL45" s="221"/>
      <c r="AM45" s="198"/>
      <c r="AN45" s="198"/>
      <c r="AO45" s="198"/>
      <c r="AP45" s="198"/>
      <c r="AQ45" s="198"/>
      <c r="AR45" s="198"/>
      <c r="AS45" s="198"/>
      <c r="AT45" s="198"/>
      <c r="AU45" s="198"/>
      <c r="AV45" s="198"/>
      <c r="AW45" s="198"/>
      <c r="AX45" s="198"/>
      <c r="AY45" s="198"/>
      <c r="AZ45" s="198"/>
      <c r="BA45" s="198"/>
      <c r="BB45" s="198"/>
    </row>
    <row r="46" spans="1:55" ht="13.5" customHeight="1" x14ac:dyDescent="0.3">
      <c r="AL46" s="221"/>
      <c r="AM46" s="198"/>
      <c r="AN46" s="198"/>
      <c r="AO46" s="198"/>
      <c r="AP46" s="198"/>
      <c r="AQ46" s="198"/>
      <c r="AR46" s="198"/>
      <c r="AS46" s="198"/>
      <c r="AT46" s="198"/>
      <c r="AU46" s="198"/>
      <c r="AV46" s="198"/>
      <c r="AW46" s="198"/>
      <c r="AX46" s="198"/>
      <c r="AY46" s="198"/>
      <c r="AZ46" s="198"/>
      <c r="BA46" s="198"/>
      <c r="BB46" s="198"/>
    </row>
    <row r="47" spans="1:55" ht="13.5" customHeight="1" x14ac:dyDescent="0.3">
      <c r="AL47" s="221"/>
      <c r="AM47" s="198"/>
      <c r="AN47" s="198"/>
      <c r="AO47" s="198"/>
      <c r="AP47" s="198"/>
      <c r="AQ47" s="198"/>
      <c r="AR47" s="198"/>
      <c r="AS47" s="198"/>
      <c r="AT47" s="198"/>
      <c r="AU47" s="198"/>
      <c r="AV47" s="198"/>
      <c r="AW47" s="198"/>
      <c r="AX47" s="198"/>
      <c r="AY47" s="198"/>
      <c r="AZ47" s="198"/>
      <c r="BA47" s="198"/>
      <c r="BB47" s="198"/>
    </row>
    <row r="48" spans="1:55" ht="13.5" customHeight="1" x14ac:dyDescent="0.3">
      <c r="AL48" s="221"/>
      <c r="AM48" s="198"/>
      <c r="AN48" s="198"/>
      <c r="AO48" s="198"/>
      <c r="AP48" s="198"/>
      <c r="AQ48" s="198"/>
      <c r="AR48" s="198"/>
      <c r="AS48" s="198"/>
      <c r="AT48" s="198"/>
      <c r="AU48" s="198"/>
      <c r="AV48" s="198"/>
      <c r="AW48" s="198"/>
      <c r="AX48" s="198"/>
      <c r="AY48" s="198"/>
      <c r="AZ48" s="198"/>
      <c r="BA48" s="198"/>
      <c r="BB48" s="198"/>
    </row>
    <row r="49" spans="38:54" ht="13.5" customHeight="1" x14ac:dyDescent="0.3">
      <c r="AL49" s="221"/>
      <c r="AM49" s="198"/>
      <c r="AN49" s="198"/>
      <c r="AO49" s="198"/>
      <c r="AP49" s="198"/>
      <c r="AQ49" s="198"/>
      <c r="AR49" s="198"/>
      <c r="AS49" s="198"/>
      <c r="AT49" s="198"/>
      <c r="AU49" s="198"/>
      <c r="AV49" s="198"/>
      <c r="AW49" s="198"/>
      <c r="AX49" s="198"/>
      <c r="AY49" s="198"/>
      <c r="AZ49" s="198"/>
      <c r="BA49" s="198"/>
      <c r="BB49" s="198"/>
    </row>
    <row r="50" spans="38:54" ht="13.5" customHeight="1" x14ac:dyDescent="0.3">
      <c r="AL50" s="221"/>
      <c r="AM50" s="198"/>
      <c r="AN50" s="198"/>
      <c r="AO50" s="198"/>
      <c r="AP50" s="198"/>
      <c r="AQ50" s="198"/>
      <c r="AR50" s="198"/>
      <c r="AS50" s="198"/>
      <c r="AT50" s="198"/>
      <c r="AU50" s="198"/>
      <c r="AV50" s="198"/>
      <c r="AW50" s="198"/>
      <c r="AX50" s="198"/>
      <c r="AY50" s="198"/>
      <c r="AZ50" s="198"/>
      <c r="BA50" s="198"/>
      <c r="BB50" s="198"/>
    </row>
    <row r="51" spans="38:54" ht="13.5" customHeight="1" x14ac:dyDescent="0.3">
      <c r="AL51" s="221"/>
      <c r="AM51" s="198"/>
      <c r="AN51" s="198"/>
      <c r="AO51" s="198"/>
      <c r="AP51" s="198"/>
      <c r="AQ51" s="198"/>
      <c r="AR51" s="198"/>
      <c r="AS51" s="198"/>
      <c r="AT51" s="198"/>
      <c r="AU51" s="198"/>
      <c r="AV51" s="198"/>
      <c r="AW51" s="198"/>
      <c r="AX51" s="198"/>
      <c r="AY51" s="198"/>
      <c r="AZ51" s="198"/>
      <c r="BA51" s="198"/>
      <c r="BB51" s="198"/>
    </row>
    <row r="52" spans="38:54" ht="13.5" customHeight="1" x14ac:dyDescent="0.3">
      <c r="AL52" s="221"/>
      <c r="AM52" s="198"/>
      <c r="AN52" s="198"/>
      <c r="AO52" s="198"/>
      <c r="AP52" s="198"/>
      <c r="AQ52" s="198"/>
      <c r="AR52" s="198"/>
      <c r="AS52" s="198"/>
      <c r="AT52" s="198"/>
      <c r="AU52" s="198"/>
      <c r="AV52" s="198"/>
      <c r="AW52" s="198"/>
      <c r="AX52" s="198"/>
      <c r="AY52" s="198"/>
      <c r="AZ52" s="198"/>
      <c r="BA52" s="198"/>
      <c r="BB52" s="198"/>
    </row>
    <row r="53" spans="38:54" ht="13.5" customHeight="1" x14ac:dyDescent="0.3">
      <c r="AL53" s="221"/>
      <c r="AM53" s="198"/>
      <c r="AN53" s="198"/>
      <c r="AO53" s="198"/>
      <c r="AP53" s="198"/>
      <c r="AQ53" s="198"/>
      <c r="AR53" s="198"/>
      <c r="AS53" s="198"/>
      <c r="AT53" s="198"/>
      <c r="AU53" s="198"/>
      <c r="AV53" s="198"/>
      <c r="AW53" s="198"/>
      <c r="AX53" s="198"/>
      <c r="AY53" s="198"/>
      <c r="AZ53" s="198"/>
      <c r="BA53" s="198"/>
      <c r="BB53" s="198"/>
    </row>
    <row r="54" spans="38:54" ht="13.5" customHeight="1" x14ac:dyDescent="0.3">
      <c r="AL54" s="221"/>
      <c r="AM54" s="198"/>
      <c r="AN54" s="198"/>
      <c r="AO54" s="198"/>
      <c r="AP54" s="198"/>
      <c r="AQ54" s="198"/>
      <c r="AR54" s="198"/>
      <c r="AS54" s="198"/>
      <c r="AT54" s="198"/>
      <c r="AU54" s="198"/>
      <c r="AV54" s="198"/>
      <c r="AW54" s="198"/>
      <c r="AX54" s="198"/>
      <c r="AY54" s="198"/>
      <c r="AZ54" s="198"/>
      <c r="BA54" s="198"/>
      <c r="BB54" s="198"/>
    </row>
    <row r="55" spans="38:54" ht="13.5" customHeight="1" x14ac:dyDescent="0.3">
      <c r="AL55" s="221"/>
      <c r="AM55" s="198"/>
      <c r="AN55" s="198"/>
      <c r="AO55" s="198"/>
      <c r="AP55" s="198"/>
      <c r="AQ55" s="198"/>
      <c r="AR55" s="198"/>
      <c r="AS55" s="198"/>
      <c r="AT55" s="198"/>
      <c r="AU55" s="198"/>
      <c r="AV55" s="198"/>
      <c r="AW55" s="198"/>
      <c r="AX55" s="198"/>
      <c r="AY55" s="198"/>
      <c r="AZ55" s="198"/>
      <c r="BA55" s="198"/>
      <c r="BB55" s="198"/>
    </row>
    <row r="56" spans="38:54" ht="13.5" customHeight="1" x14ac:dyDescent="0.3">
      <c r="AL56" s="221"/>
      <c r="AM56" s="198"/>
      <c r="AN56" s="198"/>
      <c r="AO56" s="198"/>
      <c r="AP56" s="198"/>
      <c r="AQ56" s="198"/>
      <c r="AR56" s="198"/>
      <c r="AS56" s="198"/>
      <c r="AT56" s="198"/>
      <c r="AU56" s="198"/>
      <c r="AV56" s="198"/>
      <c r="AW56" s="198"/>
      <c r="AX56" s="198"/>
      <c r="AY56" s="198"/>
      <c r="AZ56" s="198"/>
      <c r="BA56" s="198"/>
      <c r="BB56" s="198"/>
    </row>
    <row r="57" spans="38:54" ht="13.5" customHeight="1" x14ac:dyDescent="0.3">
      <c r="AL57" s="221"/>
      <c r="AM57" s="198"/>
      <c r="AN57" s="198"/>
      <c r="AO57" s="198"/>
      <c r="AP57" s="198"/>
      <c r="AQ57" s="198"/>
      <c r="AR57" s="198"/>
      <c r="AS57" s="198"/>
      <c r="AT57" s="198"/>
      <c r="AU57" s="198"/>
      <c r="AV57" s="198"/>
      <c r="AW57" s="198"/>
      <c r="AX57" s="198"/>
      <c r="AY57" s="198"/>
      <c r="AZ57" s="198"/>
      <c r="BA57" s="198"/>
      <c r="BB57" s="198"/>
    </row>
    <row r="58" spans="38:54" ht="13.5" customHeight="1" x14ac:dyDescent="0.3">
      <c r="AL58" s="221"/>
      <c r="AM58" s="198"/>
      <c r="AN58" s="198"/>
      <c r="AO58" s="198"/>
      <c r="AP58" s="198"/>
      <c r="AQ58" s="198"/>
      <c r="AR58" s="198"/>
      <c r="AS58" s="198"/>
      <c r="AT58" s="198"/>
      <c r="AU58" s="198"/>
      <c r="AV58" s="198"/>
      <c r="AW58" s="198"/>
      <c r="AX58" s="198"/>
      <c r="AY58" s="198"/>
      <c r="AZ58" s="198"/>
      <c r="BA58" s="198"/>
      <c r="BB58" s="198"/>
    </row>
    <row r="59" spans="38:54" ht="13.5" customHeight="1" x14ac:dyDescent="0.3">
      <c r="AL59" s="221"/>
      <c r="AM59" s="198"/>
      <c r="AN59" s="198"/>
      <c r="AO59" s="198"/>
      <c r="AP59" s="198"/>
      <c r="AQ59" s="198"/>
      <c r="AR59" s="198"/>
      <c r="AS59" s="198"/>
      <c r="AT59" s="198"/>
      <c r="AU59" s="198"/>
      <c r="AV59" s="198"/>
      <c r="AW59" s="198"/>
      <c r="AX59" s="198"/>
      <c r="AY59" s="198"/>
      <c r="AZ59" s="198"/>
      <c r="BA59" s="198"/>
      <c r="BB59" s="198"/>
    </row>
    <row r="60" spans="38:54" ht="13.5" customHeight="1" x14ac:dyDescent="0.3">
      <c r="AL60" s="221"/>
      <c r="AM60" s="198"/>
      <c r="AN60" s="198"/>
      <c r="AO60" s="198"/>
      <c r="AP60" s="198"/>
      <c r="AQ60" s="198"/>
      <c r="AR60" s="198"/>
      <c r="AS60" s="198"/>
      <c r="AT60" s="198"/>
      <c r="AU60" s="198"/>
      <c r="AV60" s="198"/>
      <c r="AW60" s="198"/>
      <c r="AX60" s="198"/>
      <c r="AY60" s="198"/>
      <c r="AZ60" s="198"/>
      <c r="BA60" s="198"/>
      <c r="BB60" s="198"/>
    </row>
    <row r="61" spans="38:54" ht="13.5" customHeight="1" x14ac:dyDescent="0.3">
      <c r="AL61" s="221"/>
      <c r="AM61" s="198"/>
      <c r="AN61" s="198"/>
      <c r="AO61" s="198"/>
      <c r="AP61" s="198"/>
      <c r="AQ61" s="198"/>
      <c r="AR61" s="198"/>
      <c r="AS61" s="198"/>
      <c r="AT61" s="198"/>
      <c r="AU61" s="198"/>
      <c r="AV61" s="198"/>
      <c r="AW61" s="198"/>
      <c r="AX61" s="198"/>
      <c r="AY61" s="198"/>
      <c r="AZ61" s="198"/>
      <c r="BA61" s="198"/>
      <c r="BB61" s="198"/>
    </row>
    <row r="62" spans="38:54" ht="13.5" customHeight="1" x14ac:dyDescent="0.3">
      <c r="AL62" s="221"/>
      <c r="AM62" s="198"/>
      <c r="AN62" s="198"/>
      <c r="AO62" s="198"/>
      <c r="AP62" s="198"/>
      <c r="AQ62" s="198"/>
      <c r="AR62" s="198"/>
      <c r="AS62" s="198"/>
      <c r="AT62" s="198"/>
      <c r="AU62" s="198"/>
      <c r="AV62" s="198"/>
      <c r="AW62" s="198"/>
      <c r="AX62" s="198"/>
      <c r="AY62" s="198"/>
      <c r="AZ62" s="198"/>
      <c r="BA62" s="198"/>
      <c r="BB62" s="198"/>
    </row>
    <row r="63" spans="38:54" ht="13.5" customHeight="1" x14ac:dyDescent="0.3">
      <c r="AL63" s="221"/>
      <c r="AM63" s="198"/>
      <c r="AN63" s="198"/>
      <c r="AO63" s="198"/>
      <c r="AP63" s="198"/>
      <c r="AQ63" s="198"/>
      <c r="AR63" s="198"/>
      <c r="AS63" s="198"/>
      <c r="AT63" s="198"/>
      <c r="AU63" s="198"/>
      <c r="AV63" s="198"/>
      <c r="AW63" s="198"/>
      <c r="AX63" s="198"/>
      <c r="AY63" s="198"/>
      <c r="AZ63" s="198"/>
      <c r="BA63" s="198"/>
      <c r="BB63" s="198"/>
    </row>
    <row r="64" spans="38:54" ht="13.5" customHeight="1" x14ac:dyDescent="0.3">
      <c r="AL64" s="221"/>
      <c r="AM64" s="198"/>
      <c r="AN64" s="198"/>
      <c r="AO64" s="198"/>
      <c r="AP64" s="198"/>
      <c r="AQ64" s="198"/>
      <c r="AR64" s="198"/>
      <c r="AS64" s="198"/>
      <c r="AT64" s="198"/>
      <c r="AU64" s="198"/>
      <c r="AV64" s="198"/>
      <c r="AW64" s="198"/>
      <c r="AX64" s="198"/>
      <c r="AY64" s="198"/>
      <c r="AZ64" s="198"/>
      <c r="BA64" s="198"/>
      <c r="BB64" s="198"/>
    </row>
    <row r="65" spans="38:54" ht="13.5" customHeight="1" x14ac:dyDescent="0.3">
      <c r="AL65" s="221"/>
      <c r="AM65" s="198"/>
      <c r="AN65" s="198"/>
      <c r="AO65" s="198"/>
      <c r="AP65" s="198"/>
      <c r="AQ65" s="198"/>
      <c r="AR65" s="198"/>
      <c r="AS65" s="198"/>
      <c r="AT65" s="198"/>
      <c r="AU65" s="198"/>
      <c r="AV65" s="198"/>
      <c r="AW65" s="198"/>
      <c r="AX65" s="198"/>
      <c r="AY65" s="198"/>
      <c r="AZ65" s="198"/>
      <c r="BA65" s="198"/>
      <c r="BB65" s="198"/>
    </row>
    <row r="66" spans="38:54" ht="13.5" customHeight="1" x14ac:dyDescent="0.3">
      <c r="AL66" s="221"/>
      <c r="AM66" s="198"/>
      <c r="AN66" s="198"/>
      <c r="AO66" s="198"/>
      <c r="AP66" s="198"/>
      <c r="AQ66" s="198"/>
      <c r="AR66" s="198"/>
      <c r="AS66" s="198"/>
      <c r="AT66" s="198"/>
      <c r="AU66" s="198"/>
      <c r="AV66" s="198"/>
      <c r="AW66" s="198"/>
      <c r="AX66" s="198"/>
      <c r="AY66" s="198"/>
      <c r="AZ66" s="198"/>
      <c r="BA66" s="198"/>
      <c r="BB66" s="198"/>
    </row>
    <row r="67" spans="38:54" ht="13.5" customHeight="1" x14ac:dyDescent="0.3">
      <c r="AL67" s="221"/>
      <c r="AM67" s="198"/>
      <c r="AN67" s="198"/>
      <c r="AO67" s="198"/>
      <c r="AP67" s="198"/>
      <c r="AQ67" s="198"/>
      <c r="AR67" s="198"/>
      <c r="AS67" s="198"/>
      <c r="AT67" s="198"/>
      <c r="AU67" s="198"/>
      <c r="AV67" s="198"/>
      <c r="AW67" s="198"/>
      <c r="AX67" s="198"/>
      <c r="AY67" s="198"/>
      <c r="AZ67" s="198"/>
      <c r="BA67" s="198"/>
      <c r="BB67" s="198"/>
    </row>
    <row r="68" spans="38:54" ht="13.5" customHeight="1" x14ac:dyDescent="0.3">
      <c r="AL68" s="221"/>
      <c r="AM68" s="198"/>
      <c r="AN68" s="198"/>
      <c r="AO68" s="198"/>
      <c r="AP68" s="198"/>
      <c r="AQ68" s="198"/>
      <c r="AR68" s="198"/>
      <c r="AS68" s="198"/>
      <c r="AT68" s="198"/>
      <c r="AU68" s="198"/>
      <c r="AV68" s="198"/>
      <c r="AW68" s="198"/>
      <c r="AX68" s="198"/>
      <c r="AY68" s="198"/>
      <c r="AZ68" s="198"/>
      <c r="BA68" s="198"/>
      <c r="BB68" s="198"/>
    </row>
    <row r="69" spans="38:54" ht="13.5" customHeight="1" x14ac:dyDescent="0.3">
      <c r="AL69" s="221"/>
      <c r="AM69" s="198"/>
      <c r="AN69" s="198"/>
      <c r="AO69" s="198"/>
      <c r="AP69" s="198"/>
      <c r="AQ69" s="198"/>
      <c r="AR69" s="198"/>
      <c r="AS69" s="198"/>
      <c r="AT69" s="198"/>
      <c r="AU69" s="198"/>
      <c r="AV69" s="198"/>
      <c r="AW69" s="198"/>
      <c r="AX69" s="198"/>
      <c r="AY69" s="198"/>
      <c r="AZ69" s="198"/>
      <c r="BA69" s="198"/>
      <c r="BB69" s="198"/>
    </row>
    <row r="70" spans="38:54" ht="13.5" customHeight="1" x14ac:dyDescent="0.3">
      <c r="AL70" s="221"/>
      <c r="AM70" s="198"/>
      <c r="AN70" s="198"/>
      <c r="AO70" s="198"/>
      <c r="AP70" s="198"/>
      <c r="AQ70" s="198"/>
      <c r="AR70" s="198"/>
      <c r="AS70" s="198"/>
      <c r="AT70" s="198"/>
      <c r="AU70" s="198"/>
      <c r="AV70" s="198"/>
      <c r="AW70" s="198"/>
      <c r="AX70" s="198"/>
      <c r="AY70" s="198"/>
      <c r="AZ70" s="198"/>
      <c r="BA70" s="198"/>
      <c r="BB70" s="198"/>
    </row>
    <row r="71" spans="38:54" ht="13.5" customHeight="1" x14ac:dyDescent="0.3">
      <c r="AL71" s="221"/>
      <c r="AM71" s="198"/>
      <c r="AN71" s="198"/>
      <c r="AO71" s="198"/>
      <c r="AP71" s="198"/>
      <c r="AQ71" s="198"/>
      <c r="AR71" s="198"/>
      <c r="AS71" s="198"/>
      <c r="AT71" s="198"/>
      <c r="AU71" s="198"/>
      <c r="AV71" s="198"/>
      <c r="AW71" s="198"/>
      <c r="AX71" s="198"/>
      <c r="AY71" s="198"/>
      <c r="AZ71" s="198"/>
      <c r="BA71" s="198"/>
      <c r="BB71" s="198"/>
    </row>
    <row r="72" spans="38:54" ht="13.5" customHeight="1" x14ac:dyDescent="0.3">
      <c r="AL72" s="221"/>
      <c r="AM72" s="198"/>
      <c r="AN72" s="198"/>
      <c r="AO72" s="198"/>
      <c r="AP72" s="198"/>
      <c r="AQ72" s="198"/>
      <c r="AR72" s="198"/>
      <c r="AS72" s="198"/>
      <c r="AT72" s="198"/>
      <c r="AU72" s="198"/>
      <c r="AV72" s="198"/>
      <c r="AW72" s="198"/>
      <c r="AX72" s="198"/>
      <c r="AY72" s="198"/>
      <c r="AZ72" s="198"/>
      <c r="BA72" s="198"/>
      <c r="BB72" s="198"/>
    </row>
    <row r="73" spans="38:54" ht="13.5" customHeight="1" x14ac:dyDescent="0.3">
      <c r="AL73" s="221"/>
      <c r="AM73" s="198"/>
      <c r="AN73" s="198"/>
      <c r="AO73" s="198"/>
      <c r="AP73" s="198"/>
      <c r="AQ73" s="198"/>
      <c r="AR73" s="198"/>
      <c r="AS73" s="198"/>
      <c r="AT73" s="198"/>
      <c r="AU73" s="198"/>
      <c r="AV73" s="198"/>
      <c r="AW73" s="198"/>
      <c r="AX73" s="198"/>
      <c r="AY73" s="198"/>
      <c r="AZ73" s="198"/>
      <c r="BA73" s="198"/>
      <c r="BB73" s="198"/>
    </row>
    <row r="74" spans="38:54" ht="13.5" customHeight="1" x14ac:dyDescent="0.3">
      <c r="AL74" s="221"/>
      <c r="AM74" s="198"/>
      <c r="AN74" s="198"/>
      <c r="AO74" s="198"/>
      <c r="AP74" s="198"/>
      <c r="AQ74" s="198"/>
      <c r="AR74" s="198"/>
      <c r="AS74" s="198"/>
      <c r="AT74" s="198"/>
      <c r="AU74" s="198"/>
      <c r="AV74" s="198"/>
      <c r="AW74" s="198"/>
      <c r="AX74" s="198"/>
      <c r="AY74" s="198"/>
      <c r="AZ74" s="198"/>
      <c r="BA74" s="198"/>
      <c r="BB74" s="198"/>
    </row>
    <row r="75" spans="38:54" ht="13.5" customHeight="1" x14ac:dyDescent="0.3">
      <c r="AL75" s="221"/>
      <c r="AM75" s="198"/>
      <c r="AN75" s="198"/>
      <c r="AO75" s="198"/>
      <c r="AP75" s="198"/>
      <c r="AQ75" s="198"/>
      <c r="AR75" s="198"/>
      <c r="AS75" s="198"/>
      <c r="AT75" s="198"/>
      <c r="AU75" s="198"/>
      <c r="AV75" s="198"/>
      <c r="AW75" s="198"/>
      <c r="AX75" s="198"/>
      <c r="AY75" s="198"/>
      <c r="AZ75" s="198"/>
      <c r="BA75" s="198"/>
      <c r="BB75" s="198"/>
    </row>
    <row r="76" spans="38:54" ht="13.5" customHeight="1" x14ac:dyDescent="0.3">
      <c r="AL76" s="221"/>
      <c r="AM76" s="198"/>
      <c r="AN76" s="198"/>
      <c r="AO76" s="198"/>
      <c r="AP76" s="198"/>
      <c r="AQ76" s="198"/>
      <c r="AR76" s="198"/>
      <c r="AS76" s="198"/>
      <c r="AT76" s="198"/>
      <c r="AU76" s="198"/>
      <c r="AV76" s="198"/>
      <c r="AW76" s="198"/>
      <c r="AX76" s="198"/>
      <c r="AY76" s="198"/>
      <c r="AZ76" s="198"/>
      <c r="BA76" s="198"/>
      <c r="BB76" s="198"/>
    </row>
    <row r="77" spans="38:54" ht="13.5" customHeight="1" x14ac:dyDescent="0.3">
      <c r="AL77" s="221"/>
      <c r="AM77" s="198"/>
      <c r="AN77" s="198"/>
      <c r="AO77" s="198"/>
      <c r="AP77" s="198"/>
      <c r="AQ77" s="198"/>
      <c r="AR77" s="198"/>
      <c r="AS77" s="198"/>
      <c r="AT77" s="198"/>
      <c r="AU77" s="198"/>
      <c r="AV77" s="198"/>
      <c r="AW77" s="198"/>
      <c r="AX77" s="198"/>
      <c r="AY77" s="198"/>
      <c r="AZ77" s="198"/>
      <c r="BA77" s="198"/>
      <c r="BB77" s="198"/>
    </row>
    <row r="78" spans="38:54" ht="13.5" customHeight="1" x14ac:dyDescent="0.3">
      <c r="AL78" s="221"/>
      <c r="AM78" s="198"/>
      <c r="AN78" s="198"/>
      <c r="AO78" s="198"/>
      <c r="AP78" s="198"/>
      <c r="AQ78" s="198"/>
      <c r="AR78" s="198"/>
      <c r="AS78" s="198"/>
      <c r="AT78" s="198"/>
      <c r="AU78" s="198"/>
      <c r="AV78" s="198"/>
      <c r="AW78" s="198"/>
      <c r="AX78" s="198"/>
      <c r="AY78" s="198"/>
      <c r="AZ78" s="198"/>
      <c r="BA78" s="198"/>
      <c r="BB78" s="198"/>
    </row>
    <row r="79" spans="38:54" ht="13.5" customHeight="1" x14ac:dyDescent="0.3">
      <c r="AL79" s="221"/>
      <c r="AM79" s="198"/>
      <c r="AN79" s="198"/>
      <c r="AO79" s="198"/>
      <c r="AP79" s="198"/>
      <c r="AQ79" s="198"/>
      <c r="AR79" s="198"/>
      <c r="AS79" s="198"/>
      <c r="AT79" s="198"/>
      <c r="AU79" s="198"/>
      <c r="AV79" s="198"/>
      <c r="AW79" s="198"/>
      <c r="AX79" s="198"/>
      <c r="AY79" s="198"/>
      <c r="AZ79" s="198"/>
      <c r="BA79" s="198"/>
      <c r="BB79" s="198"/>
    </row>
    <row r="80" spans="38:54" ht="13.5" customHeight="1" x14ac:dyDescent="0.3">
      <c r="AL80" s="221"/>
      <c r="AM80" s="198"/>
      <c r="AN80" s="198"/>
      <c r="AO80" s="198"/>
      <c r="AP80" s="198"/>
      <c r="AQ80" s="198"/>
      <c r="AR80" s="198"/>
      <c r="AS80" s="198"/>
      <c r="AT80" s="198"/>
      <c r="AU80" s="198"/>
      <c r="AV80" s="198"/>
      <c r="AW80" s="198"/>
      <c r="AX80" s="198"/>
      <c r="AY80" s="198"/>
      <c r="AZ80" s="198"/>
      <c r="BA80" s="198"/>
      <c r="BB80" s="198"/>
    </row>
    <row r="81" spans="38:54" ht="13.5" customHeight="1" x14ac:dyDescent="0.3">
      <c r="AL81" s="221"/>
      <c r="AM81" s="198"/>
      <c r="AN81" s="198"/>
      <c r="AO81" s="198"/>
      <c r="AP81" s="198"/>
      <c r="AQ81" s="198"/>
      <c r="AR81" s="198"/>
      <c r="AS81" s="198"/>
      <c r="AT81" s="198"/>
      <c r="AU81" s="198"/>
      <c r="AV81" s="198"/>
      <c r="AW81" s="198"/>
      <c r="AX81" s="198"/>
      <c r="AY81" s="198"/>
      <c r="AZ81" s="198"/>
      <c r="BA81" s="198"/>
      <c r="BB81" s="198"/>
    </row>
    <row r="82" spans="38:54" ht="13.5" customHeight="1" x14ac:dyDescent="0.3">
      <c r="AL82" s="221"/>
      <c r="AM82" s="198"/>
      <c r="AN82" s="198"/>
      <c r="AO82" s="198"/>
      <c r="AP82" s="198"/>
      <c r="AQ82" s="198"/>
      <c r="AR82" s="198"/>
      <c r="AS82" s="198"/>
      <c r="AT82" s="198"/>
      <c r="AU82" s="198"/>
      <c r="AV82" s="198"/>
      <c r="AW82" s="198"/>
      <c r="AX82" s="198"/>
      <c r="AY82" s="198"/>
      <c r="AZ82" s="198"/>
      <c r="BA82" s="198"/>
      <c r="BB82" s="198"/>
    </row>
    <row r="83" spans="38:54" ht="13.5" customHeight="1" x14ac:dyDescent="0.3">
      <c r="AL83" s="221"/>
      <c r="AM83" s="198"/>
      <c r="AN83" s="198"/>
      <c r="AO83" s="198"/>
      <c r="AP83" s="198"/>
      <c r="AQ83" s="198"/>
      <c r="AR83" s="198"/>
      <c r="AS83" s="198"/>
      <c r="AT83" s="198"/>
      <c r="AU83" s="198"/>
      <c r="AV83" s="198"/>
      <c r="AW83" s="198"/>
      <c r="AX83" s="198"/>
      <c r="AY83" s="198"/>
      <c r="AZ83" s="198"/>
      <c r="BA83" s="198"/>
      <c r="BB83" s="198"/>
    </row>
    <row r="84" spans="38:54" ht="13.5" customHeight="1" x14ac:dyDescent="0.3">
      <c r="AL84" s="221"/>
      <c r="AM84" s="198"/>
      <c r="AN84" s="198"/>
      <c r="AO84" s="198"/>
      <c r="AP84" s="198"/>
      <c r="AQ84" s="198"/>
      <c r="AR84" s="198"/>
      <c r="AS84" s="198"/>
      <c r="AT84" s="198"/>
      <c r="AU84" s="198"/>
      <c r="AV84" s="198"/>
      <c r="AW84" s="198"/>
      <c r="AX84" s="198"/>
      <c r="AY84" s="198"/>
      <c r="AZ84" s="198"/>
      <c r="BA84" s="198"/>
      <c r="BB84" s="198"/>
    </row>
    <row r="85" spans="38:54" ht="13.5" customHeight="1" x14ac:dyDescent="0.3">
      <c r="AL85" s="221"/>
      <c r="AM85" s="198"/>
      <c r="AN85" s="198"/>
      <c r="AO85" s="198"/>
      <c r="AP85" s="198"/>
      <c r="AQ85" s="198"/>
      <c r="AR85" s="198"/>
      <c r="AS85" s="198"/>
      <c r="AT85" s="198"/>
      <c r="AU85" s="198"/>
      <c r="AV85" s="198"/>
      <c r="AW85" s="198"/>
      <c r="AX85" s="198"/>
      <c r="AY85" s="198"/>
      <c r="AZ85" s="198"/>
      <c r="BA85" s="198"/>
      <c r="BB85" s="198"/>
    </row>
    <row r="86" spans="38:54" ht="13.5" customHeight="1" x14ac:dyDescent="0.3">
      <c r="AL86" s="221"/>
      <c r="AM86" s="198"/>
      <c r="AN86" s="198"/>
      <c r="AO86" s="198"/>
      <c r="AP86" s="198"/>
      <c r="AQ86" s="198"/>
      <c r="AR86" s="198"/>
      <c r="AS86" s="198"/>
      <c r="AT86" s="198"/>
      <c r="AU86" s="198"/>
      <c r="AV86" s="198"/>
      <c r="AW86" s="198"/>
      <c r="AX86" s="198"/>
      <c r="AY86" s="198"/>
      <c r="AZ86" s="198"/>
      <c r="BA86" s="198"/>
      <c r="BB86" s="198"/>
    </row>
    <row r="87" spans="38:54" ht="13.5" customHeight="1" x14ac:dyDescent="0.3">
      <c r="AL87" s="221"/>
      <c r="AM87" s="198"/>
      <c r="AN87" s="198"/>
      <c r="AO87" s="198"/>
      <c r="AP87" s="198"/>
      <c r="AQ87" s="198"/>
      <c r="AR87" s="198"/>
      <c r="AS87" s="198"/>
      <c r="AT87" s="198"/>
      <c r="AU87" s="198"/>
      <c r="AV87" s="198"/>
      <c r="AW87" s="198"/>
      <c r="AX87" s="198"/>
      <c r="AY87" s="198"/>
      <c r="AZ87" s="198"/>
      <c r="BA87" s="198"/>
      <c r="BB87" s="198"/>
    </row>
    <row r="88" spans="38:54" ht="13.5" customHeight="1" x14ac:dyDescent="0.3">
      <c r="AL88" s="221"/>
      <c r="AM88" s="198"/>
      <c r="AN88" s="198"/>
      <c r="AO88" s="198"/>
      <c r="AP88" s="198"/>
      <c r="AQ88" s="198"/>
      <c r="AR88" s="198"/>
      <c r="AS88" s="198"/>
      <c r="AT88" s="198"/>
      <c r="AU88" s="198"/>
      <c r="AV88" s="198"/>
      <c r="AW88" s="198"/>
      <c r="AX88" s="198"/>
      <c r="AY88" s="198"/>
      <c r="AZ88" s="198"/>
      <c r="BA88" s="198"/>
      <c r="BB88" s="198"/>
    </row>
    <row r="89" spans="38:54" ht="13.5" customHeight="1" x14ac:dyDescent="0.3">
      <c r="AL89" s="221"/>
      <c r="AM89" s="198"/>
      <c r="AN89" s="198"/>
      <c r="AO89" s="198"/>
      <c r="AP89" s="198"/>
      <c r="AQ89" s="198"/>
      <c r="AR89" s="198"/>
      <c r="AS89" s="198"/>
      <c r="AT89" s="198"/>
      <c r="AU89" s="198"/>
      <c r="AV89" s="198"/>
      <c r="AW89" s="198"/>
      <c r="AX89" s="198"/>
      <c r="AY89" s="198"/>
      <c r="AZ89" s="198"/>
      <c r="BA89" s="198"/>
      <c r="BB89" s="198"/>
    </row>
    <row r="90" spans="38:54" ht="13.5" customHeight="1" x14ac:dyDescent="0.3">
      <c r="AL90" s="221"/>
      <c r="AM90" s="198"/>
      <c r="AN90" s="198"/>
      <c r="AO90" s="198"/>
      <c r="AP90" s="198"/>
      <c r="AQ90" s="198"/>
      <c r="AR90" s="198"/>
      <c r="AS90" s="198"/>
      <c r="AT90" s="198"/>
      <c r="AU90" s="198"/>
      <c r="AV90" s="198"/>
      <c r="AW90" s="198"/>
      <c r="AX90" s="198"/>
      <c r="AY90" s="198"/>
      <c r="AZ90" s="198"/>
      <c r="BA90" s="198"/>
      <c r="BB90" s="198"/>
    </row>
    <row r="91" spans="38:54" ht="13.5" customHeight="1" x14ac:dyDescent="0.3">
      <c r="AL91" s="221"/>
      <c r="AM91" s="198"/>
      <c r="AN91" s="198"/>
      <c r="AO91" s="198"/>
      <c r="AP91" s="198"/>
      <c r="AQ91" s="198"/>
      <c r="AR91" s="198"/>
      <c r="AS91" s="198"/>
      <c r="AT91" s="198"/>
      <c r="AU91" s="198"/>
      <c r="AV91" s="198"/>
      <c r="AW91" s="198"/>
      <c r="AX91" s="198"/>
      <c r="AY91" s="198"/>
      <c r="AZ91" s="198"/>
      <c r="BA91" s="198"/>
      <c r="BB91" s="198"/>
    </row>
    <row r="92" spans="38:54" ht="13.5" customHeight="1" x14ac:dyDescent="0.3">
      <c r="AL92" s="221"/>
      <c r="AM92" s="198"/>
      <c r="AN92" s="198"/>
      <c r="AO92" s="198"/>
      <c r="AP92" s="198"/>
      <c r="AQ92" s="198"/>
      <c r="AR92" s="198"/>
      <c r="AS92" s="198"/>
      <c r="AT92" s="198"/>
      <c r="AU92" s="198"/>
      <c r="AV92" s="198"/>
      <c r="AW92" s="198"/>
      <c r="AX92" s="198"/>
      <c r="AY92" s="198"/>
      <c r="AZ92" s="198"/>
      <c r="BA92" s="198"/>
      <c r="BB92" s="198"/>
    </row>
    <row r="93" spans="38:54" ht="13.5" customHeight="1" x14ac:dyDescent="0.3">
      <c r="AL93" s="221"/>
      <c r="AM93" s="198"/>
      <c r="AN93" s="198"/>
      <c r="AO93" s="198"/>
      <c r="AP93" s="198"/>
      <c r="AQ93" s="198"/>
      <c r="AR93" s="198"/>
      <c r="AS93" s="198"/>
      <c r="AT93" s="198"/>
      <c r="AU93" s="198"/>
      <c r="AV93" s="198"/>
      <c r="AW93" s="198"/>
      <c r="AX93" s="198"/>
      <c r="AY93" s="198"/>
      <c r="AZ93" s="198"/>
      <c r="BA93" s="198"/>
      <c r="BB93" s="198"/>
    </row>
    <row r="94" spans="38:54" ht="13.5" customHeight="1" x14ac:dyDescent="0.3">
      <c r="AL94" s="221"/>
      <c r="AM94" s="198"/>
      <c r="AN94" s="198"/>
      <c r="AO94" s="198"/>
      <c r="AP94" s="198"/>
      <c r="AQ94" s="198"/>
      <c r="AR94" s="198"/>
      <c r="AS94" s="198"/>
      <c r="AT94" s="198"/>
      <c r="AU94" s="198"/>
      <c r="AV94" s="198"/>
      <c r="AW94" s="198"/>
      <c r="AX94" s="198"/>
      <c r="AY94" s="198"/>
      <c r="AZ94" s="198"/>
      <c r="BA94" s="198"/>
      <c r="BB94" s="198"/>
    </row>
    <row r="95" spans="38:54" ht="13.5" customHeight="1" x14ac:dyDescent="0.3">
      <c r="AL95" s="221"/>
      <c r="AM95" s="198"/>
      <c r="AN95" s="198"/>
      <c r="AO95" s="198"/>
      <c r="AP95" s="198"/>
      <c r="AQ95" s="198"/>
      <c r="AR95" s="198"/>
      <c r="AS95" s="198"/>
      <c r="AT95" s="198"/>
      <c r="AU95" s="198"/>
      <c r="AV95" s="198"/>
      <c r="AW95" s="198"/>
      <c r="AX95" s="198"/>
      <c r="AY95" s="198"/>
      <c r="AZ95" s="198"/>
      <c r="BA95" s="198"/>
      <c r="BB95" s="198"/>
    </row>
    <row r="96" spans="38:54" ht="13.5" customHeight="1" x14ac:dyDescent="0.3">
      <c r="AL96" s="221"/>
      <c r="AM96" s="198"/>
      <c r="AN96" s="198"/>
      <c r="AO96" s="198"/>
      <c r="AP96" s="198"/>
      <c r="AQ96" s="198"/>
      <c r="AR96" s="198"/>
      <c r="AS96" s="198"/>
      <c r="AT96" s="198"/>
      <c r="AU96" s="198"/>
      <c r="AV96" s="198"/>
      <c r="AW96" s="198"/>
      <c r="AX96" s="198"/>
      <c r="AY96" s="198"/>
      <c r="AZ96" s="198"/>
      <c r="BA96" s="198"/>
      <c r="BB96" s="198"/>
    </row>
    <row r="97" spans="38:54" ht="13.5" customHeight="1" x14ac:dyDescent="0.3">
      <c r="AL97" s="221"/>
      <c r="AM97" s="198"/>
      <c r="AN97" s="198"/>
      <c r="AO97" s="198"/>
      <c r="AP97" s="198"/>
      <c r="AQ97" s="198"/>
      <c r="AR97" s="198"/>
      <c r="AS97" s="198"/>
      <c r="AT97" s="198"/>
      <c r="AU97" s="198"/>
      <c r="AV97" s="198"/>
      <c r="AW97" s="198"/>
      <c r="AX97" s="198"/>
      <c r="AY97" s="198"/>
      <c r="AZ97" s="198"/>
      <c r="BA97" s="198"/>
      <c r="BB97" s="198"/>
    </row>
    <row r="98" spans="38:54" ht="13.5" customHeight="1" x14ac:dyDescent="0.3">
      <c r="AL98" s="221"/>
      <c r="AM98" s="198"/>
      <c r="AN98" s="198"/>
      <c r="AO98" s="198"/>
      <c r="AP98" s="198"/>
      <c r="AQ98" s="198"/>
      <c r="AR98" s="198"/>
      <c r="AS98" s="198"/>
      <c r="AT98" s="198"/>
      <c r="AU98" s="198"/>
      <c r="AV98" s="198"/>
      <c r="AW98" s="198"/>
      <c r="AX98" s="198"/>
      <c r="AY98" s="198"/>
      <c r="AZ98" s="198"/>
      <c r="BA98" s="198"/>
      <c r="BB98" s="198"/>
    </row>
    <row r="99" spans="38:54" ht="13.5" customHeight="1" x14ac:dyDescent="0.3">
      <c r="AL99" s="221"/>
      <c r="AM99" s="198"/>
      <c r="AN99" s="198"/>
      <c r="AO99" s="198"/>
      <c r="AP99" s="198"/>
      <c r="AQ99" s="198"/>
      <c r="AR99" s="198"/>
      <c r="AS99" s="198"/>
      <c r="AT99" s="198"/>
      <c r="AU99" s="198"/>
      <c r="AV99" s="198"/>
      <c r="AW99" s="198"/>
      <c r="AX99" s="198"/>
      <c r="AY99" s="198"/>
      <c r="AZ99" s="198"/>
      <c r="BA99" s="198"/>
      <c r="BB99" s="198"/>
    </row>
    <row r="100" spans="38:54" ht="13.5" customHeight="1" x14ac:dyDescent="0.3">
      <c r="AL100" s="221"/>
      <c r="AM100" s="198"/>
      <c r="AN100" s="198"/>
      <c r="AO100" s="198"/>
      <c r="AP100" s="198"/>
      <c r="AQ100" s="198"/>
      <c r="AR100" s="198"/>
      <c r="AS100" s="198"/>
      <c r="AT100" s="198"/>
      <c r="AU100" s="198"/>
      <c r="AV100" s="198"/>
      <c r="AW100" s="198"/>
      <c r="AX100" s="198"/>
      <c r="AY100" s="198"/>
      <c r="AZ100" s="198"/>
      <c r="BA100" s="198"/>
      <c r="BB100" s="198"/>
    </row>
    <row r="101" spans="38:54" ht="13.5" customHeight="1" x14ac:dyDescent="0.3">
      <c r="AL101" s="221"/>
      <c r="AM101" s="198"/>
      <c r="AN101" s="198"/>
      <c r="AO101" s="198"/>
      <c r="AP101" s="198"/>
      <c r="AQ101" s="198"/>
      <c r="AR101" s="198"/>
      <c r="AS101" s="198"/>
      <c r="AT101" s="198"/>
      <c r="AU101" s="198"/>
      <c r="AV101" s="198"/>
      <c r="AW101" s="198"/>
      <c r="AX101" s="198"/>
      <c r="AY101" s="198"/>
      <c r="AZ101" s="198"/>
      <c r="BA101" s="198"/>
      <c r="BB101" s="198"/>
    </row>
    <row r="102" spans="38:54" ht="13.5" customHeight="1" x14ac:dyDescent="0.3">
      <c r="AL102" s="221"/>
      <c r="AM102" s="198"/>
      <c r="AN102" s="198"/>
      <c r="AO102" s="198"/>
      <c r="AP102" s="198"/>
      <c r="AQ102" s="198"/>
      <c r="AR102" s="198"/>
      <c r="AS102" s="198"/>
      <c r="AT102" s="198"/>
      <c r="AU102" s="198"/>
      <c r="AV102" s="198"/>
      <c r="AW102" s="198"/>
      <c r="AX102" s="198"/>
      <c r="AY102" s="198"/>
      <c r="AZ102" s="198"/>
      <c r="BA102" s="198"/>
      <c r="BB102" s="198"/>
    </row>
    <row r="103" spans="38:54" ht="13.5" customHeight="1" x14ac:dyDescent="0.3">
      <c r="AL103" s="221"/>
      <c r="AM103" s="198"/>
      <c r="AN103" s="198"/>
      <c r="AO103" s="198"/>
      <c r="AP103" s="198"/>
      <c r="AQ103" s="198"/>
      <c r="AR103" s="198"/>
      <c r="AS103" s="198"/>
      <c r="AT103" s="198"/>
      <c r="AU103" s="198"/>
      <c r="AV103" s="198"/>
      <c r="AW103" s="198"/>
      <c r="AX103" s="198"/>
      <c r="AY103" s="198"/>
      <c r="AZ103" s="198"/>
      <c r="BA103" s="198"/>
      <c r="BB103" s="198"/>
    </row>
    <row r="104" spans="38:54" ht="13.5" customHeight="1" x14ac:dyDescent="0.3">
      <c r="AL104" s="221"/>
      <c r="AM104" s="198"/>
      <c r="AN104" s="198"/>
      <c r="AO104" s="198"/>
      <c r="AP104" s="198"/>
      <c r="AQ104" s="198"/>
      <c r="AR104" s="198"/>
      <c r="AS104" s="198"/>
      <c r="AT104" s="198"/>
      <c r="AU104" s="198"/>
      <c r="AV104" s="198"/>
      <c r="AW104" s="198"/>
      <c r="AX104" s="198"/>
      <c r="AY104" s="198"/>
      <c r="AZ104" s="198"/>
      <c r="BA104" s="198"/>
      <c r="BB104" s="198"/>
    </row>
    <row r="105" spans="38:54" ht="13.5" customHeight="1" x14ac:dyDescent="0.3">
      <c r="AL105" s="221"/>
      <c r="AM105" s="198"/>
      <c r="AN105" s="198"/>
      <c r="AO105" s="198"/>
      <c r="AP105" s="198"/>
      <c r="AQ105" s="198"/>
      <c r="AR105" s="198"/>
      <c r="AS105" s="198"/>
      <c r="AT105" s="198"/>
      <c r="AU105" s="198"/>
      <c r="AV105" s="198"/>
      <c r="AW105" s="198"/>
      <c r="AX105" s="198"/>
      <c r="AY105" s="198"/>
      <c r="AZ105" s="198"/>
      <c r="BA105" s="198"/>
      <c r="BB105" s="198"/>
    </row>
    <row r="106" spans="38:54" ht="13.5" customHeight="1" x14ac:dyDescent="0.3">
      <c r="AL106" s="221"/>
      <c r="AM106" s="198"/>
      <c r="AN106" s="198"/>
      <c r="AO106" s="198"/>
      <c r="AP106" s="198"/>
      <c r="AQ106" s="198"/>
      <c r="AR106" s="198"/>
      <c r="AS106" s="198"/>
      <c r="AT106" s="198"/>
      <c r="AU106" s="198"/>
      <c r="AV106" s="198"/>
      <c r="AW106" s="198"/>
      <c r="AX106" s="198"/>
      <c r="AY106" s="198"/>
      <c r="AZ106" s="198"/>
      <c r="BA106" s="198"/>
      <c r="BB106" s="198"/>
    </row>
    <row r="107" spans="38:54" ht="13.5" customHeight="1" x14ac:dyDescent="0.3">
      <c r="AL107" s="221"/>
      <c r="AM107" s="198"/>
      <c r="AN107" s="198"/>
      <c r="AO107" s="198"/>
      <c r="AP107" s="198"/>
      <c r="AQ107" s="198"/>
      <c r="AR107" s="198"/>
      <c r="AS107" s="198"/>
      <c r="AT107" s="198"/>
      <c r="AU107" s="198"/>
      <c r="AV107" s="198"/>
      <c r="AW107" s="198"/>
      <c r="AX107" s="198"/>
      <c r="AY107" s="198"/>
      <c r="AZ107" s="198"/>
      <c r="BA107" s="198"/>
      <c r="BB107" s="198"/>
    </row>
    <row r="108" spans="38:54" ht="13.5" customHeight="1" x14ac:dyDescent="0.3">
      <c r="AL108" s="221"/>
      <c r="AM108" s="198"/>
      <c r="AN108" s="198"/>
      <c r="AO108" s="198"/>
      <c r="AP108" s="198"/>
      <c r="AQ108" s="198"/>
      <c r="AR108" s="198"/>
      <c r="AS108" s="198"/>
      <c r="AT108" s="198"/>
      <c r="AU108" s="198"/>
      <c r="AV108" s="198"/>
      <c r="AW108" s="198"/>
      <c r="AX108" s="198"/>
      <c r="AY108" s="198"/>
      <c r="AZ108" s="198"/>
      <c r="BA108" s="198"/>
      <c r="BB108" s="198"/>
    </row>
    <row r="109" spans="38:54" ht="13.5" customHeight="1" x14ac:dyDescent="0.3">
      <c r="AL109" s="221"/>
      <c r="AM109" s="198"/>
      <c r="AN109" s="198"/>
      <c r="AO109" s="198"/>
      <c r="AP109" s="198"/>
      <c r="AQ109" s="198"/>
      <c r="AR109" s="198"/>
      <c r="AS109" s="198"/>
      <c r="AT109" s="198"/>
      <c r="AU109" s="198"/>
      <c r="AV109" s="198"/>
      <c r="AW109" s="198"/>
      <c r="AX109" s="198"/>
      <c r="AY109" s="198"/>
      <c r="AZ109" s="198"/>
      <c r="BA109" s="198"/>
      <c r="BB109" s="198"/>
    </row>
    <row r="110" spans="38:54" ht="13.5" customHeight="1" x14ac:dyDescent="0.3">
      <c r="AL110" s="221"/>
      <c r="AM110" s="198"/>
      <c r="AN110" s="198"/>
      <c r="AO110" s="198"/>
      <c r="AP110" s="198"/>
      <c r="AQ110" s="198"/>
      <c r="AR110" s="198"/>
      <c r="AS110" s="198"/>
      <c r="AT110" s="198"/>
      <c r="AU110" s="198"/>
      <c r="AV110" s="198"/>
      <c r="AW110" s="198"/>
      <c r="AX110" s="198"/>
      <c r="AY110" s="198"/>
      <c r="AZ110" s="198"/>
      <c r="BA110" s="198"/>
      <c r="BB110" s="198"/>
    </row>
    <row r="111" spans="38:54" ht="13.5" customHeight="1" x14ac:dyDescent="0.3">
      <c r="AL111" s="221"/>
      <c r="AM111" s="198"/>
      <c r="AN111" s="198"/>
      <c r="AO111" s="198"/>
      <c r="AP111" s="198"/>
      <c r="AQ111" s="198"/>
      <c r="AR111" s="198"/>
      <c r="AS111" s="198"/>
      <c r="AT111" s="198"/>
      <c r="AU111" s="198"/>
      <c r="AV111" s="198"/>
      <c r="AW111" s="198"/>
      <c r="AX111" s="198"/>
      <c r="AY111" s="198"/>
      <c r="AZ111" s="198"/>
      <c r="BA111" s="198"/>
      <c r="BB111" s="198"/>
    </row>
    <row r="112" spans="38:54" ht="13.5" customHeight="1" x14ac:dyDescent="0.3">
      <c r="AL112" s="221"/>
      <c r="AM112" s="198"/>
      <c r="AN112" s="198"/>
      <c r="AO112" s="198"/>
      <c r="AP112" s="198"/>
      <c r="AQ112" s="198"/>
      <c r="AR112" s="198"/>
      <c r="AS112" s="198"/>
      <c r="AT112" s="198"/>
      <c r="AU112" s="198"/>
      <c r="AV112" s="198"/>
      <c r="AW112" s="198"/>
      <c r="AX112" s="198"/>
      <c r="AY112" s="198"/>
      <c r="AZ112" s="198"/>
      <c r="BA112" s="198"/>
      <c r="BB112" s="198"/>
    </row>
    <row r="113" spans="38:54" ht="13.5" customHeight="1" x14ac:dyDescent="0.3">
      <c r="AL113" s="221"/>
      <c r="AM113" s="198"/>
      <c r="AN113" s="198"/>
      <c r="AO113" s="198"/>
      <c r="AP113" s="198"/>
      <c r="AQ113" s="198"/>
      <c r="AR113" s="198"/>
      <c r="AS113" s="198"/>
      <c r="AT113" s="198"/>
      <c r="AU113" s="198"/>
      <c r="AV113" s="198"/>
      <c r="AW113" s="198"/>
      <c r="AX113" s="198"/>
      <c r="AY113" s="198"/>
      <c r="AZ113" s="198"/>
      <c r="BA113" s="198"/>
      <c r="BB113" s="198"/>
    </row>
    <row r="114" spans="38:54" ht="13.5" customHeight="1" x14ac:dyDescent="0.3">
      <c r="AL114" s="221"/>
      <c r="AM114" s="198"/>
      <c r="AN114" s="198"/>
      <c r="AO114" s="198"/>
      <c r="AP114" s="198"/>
      <c r="AQ114" s="198"/>
      <c r="AR114" s="198"/>
      <c r="AS114" s="198"/>
      <c r="AT114" s="198"/>
      <c r="AU114" s="198"/>
      <c r="AV114" s="198"/>
      <c r="AW114" s="198"/>
      <c r="AX114" s="198"/>
      <c r="AY114" s="198"/>
      <c r="AZ114" s="198"/>
      <c r="BA114" s="198"/>
      <c r="BB114" s="198"/>
    </row>
    <row r="115" spans="38:54" ht="13.5" customHeight="1" x14ac:dyDescent="0.3">
      <c r="AL115" s="221"/>
      <c r="AM115" s="198"/>
      <c r="AN115" s="198"/>
      <c r="AO115" s="198"/>
      <c r="AP115" s="198"/>
      <c r="AQ115" s="198"/>
      <c r="AR115" s="198"/>
      <c r="AS115" s="198"/>
      <c r="AT115" s="198"/>
      <c r="AU115" s="198"/>
      <c r="AV115" s="198"/>
      <c r="AW115" s="198"/>
      <c r="AX115" s="198"/>
      <c r="AY115" s="198"/>
      <c r="AZ115" s="198"/>
      <c r="BA115" s="198"/>
      <c r="BB115" s="198"/>
    </row>
    <row r="116" spans="38:54" ht="13.5" customHeight="1" x14ac:dyDescent="0.3">
      <c r="AL116" s="221"/>
      <c r="AM116" s="198"/>
      <c r="AN116" s="198"/>
      <c r="AO116" s="198"/>
      <c r="AP116" s="198"/>
      <c r="AQ116" s="198"/>
      <c r="AR116" s="198"/>
      <c r="AS116" s="198"/>
      <c r="AT116" s="198"/>
      <c r="AU116" s="198"/>
      <c r="AV116" s="198"/>
      <c r="AW116" s="198"/>
      <c r="AX116" s="198"/>
      <c r="AY116" s="198"/>
      <c r="AZ116" s="198"/>
      <c r="BA116" s="198"/>
      <c r="BB116" s="198"/>
    </row>
    <row r="117" spans="38:54" ht="13.5" customHeight="1" x14ac:dyDescent="0.3">
      <c r="AL117" s="221"/>
      <c r="AM117" s="198"/>
      <c r="AN117" s="198"/>
      <c r="AO117" s="198"/>
      <c r="AP117" s="198"/>
      <c r="AQ117" s="198"/>
      <c r="AR117" s="198"/>
      <c r="AS117" s="198"/>
      <c r="AT117" s="198"/>
      <c r="AU117" s="198"/>
      <c r="AV117" s="198"/>
      <c r="AW117" s="198"/>
      <c r="AX117" s="198"/>
      <c r="AY117" s="198"/>
      <c r="AZ117" s="198"/>
      <c r="BA117" s="198"/>
      <c r="BB117" s="198"/>
    </row>
    <row r="118" spans="38:54" ht="13.5" customHeight="1" x14ac:dyDescent="0.3">
      <c r="AL118" s="221"/>
      <c r="AM118" s="198"/>
      <c r="AN118" s="198"/>
      <c r="AO118" s="198"/>
      <c r="AP118" s="198"/>
      <c r="AQ118" s="198"/>
      <c r="AR118" s="198"/>
      <c r="AS118" s="198"/>
      <c r="AT118" s="198"/>
      <c r="AU118" s="198"/>
      <c r="AV118" s="198"/>
      <c r="AW118" s="198"/>
      <c r="AX118" s="198"/>
      <c r="AY118" s="198"/>
      <c r="AZ118" s="198"/>
      <c r="BA118" s="198"/>
      <c r="BB118" s="198"/>
    </row>
    <row r="119" spans="38:54" ht="13.5" customHeight="1" x14ac:dyDescent="0.3">
      <c r="AL119" s="221"/>
      <c r="AM119" s="198"/>
      <c r="AN119" s="198"/>
      <c r="AO119" s="198"/>
      <c r="AP119" s="198"/>
      <c r="AQ119" s="198"/>
      <c r="AR119" s="198"/>
      <c r="AS119" s="198"/>
      <c r="AT119" s="198"/>
      <c r="AU119" s="198"/>
      <c r="AV119" s="198"/>
      <c r="AW119" s="198"/>
      <c r="AX119" s="198"/>
      <c r="AY119" s="198"/>
      <c r="AZ119" s="198"/>
      <c r="BA119" s="198"/>
      <c r="BB119" s="198"/>
    </row>
    <row r="120" spans="38:54" ht="13.5" customHeight="1" x14ac:dyDescent="0.3">
      <c r="AL120" s="221"/>
      <c r="AM120" s="198"/>
      <c r="AN120" s="198"/>
      <c r="AO120" s="198"/>
      <c r="AP120" s="198"/>
      <c r="AQ120" s="198"/>
      <c r="AR120" s="198"/>
      <c r="AS120" s="198"/>
      <c r="AT120" s="198"/>
      <c r="AU120" s="198"/>
      <c r="AV120" s="198"/>
      <c r="AW120" s="198"/>
      <c r="AX120" s="198"/>
      <c r="AY120" s="198"/>
      <c r="AZ120" s="198"/>
      <c r="BA120" s="198"/>
      <c r="BB120" s="198"/>
    </row>
    <row r="121" spans="38:54" ht="13.5" customHeight="1" x14ac:dyDescent="0.3">
      <c r="AL121" s="221"/>
      <c r="AM121" s="198"/>
      <c r="AN121" s="198"/>
      <c r="AO121" s="198"/>
      <c r="AP121" s="198"/>
      <c r="AQ121" s="198"/>
      <c r="AR121" s="198"/>
      <c r="AS121" s="198"/>
      <c r="AT121" s="198"/>
      <c r="AU121" s="198"/>
      <c r="AV121" s="198"/>
      <c r="AW121" s="198"/>
      <c r="AX121" s="198"/>
      <c r="AY121" s="198"/>
      <c r="AZ121" s="198"/>
      <c r="BA121" s="198"/>
      <c r="BB121" s="198"/>
    </row>
    <row r="122" spans="38:54" ht="13.5" customHeight="1" x14ac:dyDescent="0.3">
      <c r="AL122" s="221"/>
      <c r="AM122" s="198"/>
      <c r="AN122" s="198"/>
      <c r="AO122" s="198"/>
      <c r="AP122" s="198"/>
      <c r="AQ122" s="198"/>
      <c r="AR122" s="198"/>
      <c r="AS122" s="198"/>
      <c r="AT122" s="198"/>
      <c r="AU122" s="198"/>
      <c r="AV122" s="198"/>
      <c r="AW122" s="198"/>
      <c r="AX122" s="198"/>
      <c r="AY122" s="198"/>
      <c r="AZ122" s="198"/>
      <c r="BA122" s="198"/>
      <c r="BB122" s="198"/>
    </row>
    <row r="123" spans="38:54" ht="13.5" customHeight="1" x14ac:dyDescent="0.3">
      <c r="AL123" s="221"/>
      <c r="AM123" s="198"/>
      <c r="AN123" s="198"/>
      <c r="AO123" s="198"/>
      <c r="AP123" s="198"/>
      <c r="AQ123" s="198"/>
      <c r="AR123" s="198"/>
      <c r="AS123" s="198"/>
      <c r="AT123" s="198"/>
      <c r="AU123" s="198"/>
      <c r="AV123" s="198"/>
      <c r="AW123" s="198"/>
      <c r="AX123" s="198"/>
      <c r="AY123" s="198"/>
      <c r="AZ123" s="198"/>
      <c r="BA123" s="198"/>
      <c r="BB123" s="198"/>
    </row>
    <row r="124" spans="38:54" ht="13.5" customHeight="1" x14ac:dyDescent="0.3">
      <c r="AL124" s="221"/>
      <c r="AM124" s="198"/>
      <c r="AN124" s="198"/>
      <c r="AO124" s="198"/>
      <c r="AP124" s="198"/>
      <c r="AQ124" s="198"/>
      <c r="AR124" s="198"/>
      <c r="AS124" s="198"/>
      <c r="AT124" s="198"/>
      <c r="AU124" s="198"/>
      <c r="AV124" s="198"/>
      <c r="AW124" s="198"/>
      <c r="AX124" s="198"/>
      <c r="AY124" s="198"/>
      <c r="AZ124" s="198"/>
      <c r="BA124" s="198"/>
      <c r="BB124" s="198"/>
    </row>
    <row r="125" spans="38:54" ht="13.5" customHeight="1" x14ac:dyDescent="0.3">
      <c r="AL125" s="221"/>
      <c r="AM125" s="198"/>
      <c r="AN125" s="198"/>
      <c r="AO125" s="198"/>
      <c r="AP125" s="198"/>
      <c r="AQ125" s="198"/>
      <c r="AR125" s="198"/>
      <c r="AS125" s="198"/>
      <c r="AT125" s="198"/>
      <c r="AU125" s="198"/>
      <c r="AV125" s="198"/>
      <c r="AW125" s="198"/>
      <c r="AX125" s="198"/>
      <c r="AY125" s="198"/>
      <c r="AZ125" s="198"/>
      <c r="BA125" s="198"/>
      <c r="BB125" s="198"/>
    </row>
    <row r="126" spans="38:54" ht="13.5" customHeight="1" x14ac:dyDescent="0.3">
      <c r="AL126" s="221"/>
      <c r="AM126" s="198"/>
      <c r="AN126" s="198"/>
      <c r="AO126" s="198"/>
      <c r="AP126" s="198"/>
      <c r="AQ126" s="198"/>
      <c r="AR126" s="198"/>
      <c r="AS126" s="198"/>
      <c r="AT126" s="198"/>
      <c r="AU126" s="198"/>
      <c r="AV126" s="198"/>
      <c r="AW126" s="198"/>
      <c r="AX126" s="198"/>
      <c r="AY126" s="198"/>
      <c r="AZ126" s="198"/>
      <c r="BA126" s="198"/>
      <c r="BB126" s="198"/>
    </row>
    <row r="127" spans="38:54" ht="13.5" customHeight="1" x14ac:dyDescent="0.3">
      <c r="AL127" s="221"/>
      <c r="AM127" s="198"/>
      <c r="AN127" s="198"/>
      <c r="AO127" s="198"/>
      <c r="AP127" s="198"/>
      <c r="AQ127" s="198"/>
      <c r="AR127" s="198"/>
      <c r="AS127" s="198"/>
      <c r="AT127" s="198"/>
      <c r="AU127" s="198"/>
      <c r="AV127" s="198"/>
      <c r="AW127" s="198"/>
      <c r="AX127" s="198"/>
      <c r="AY127" s="198"/>
      <c r="AZ127" s="198"/>
      <c r="BA127" s="198"/>
      <c r="BB127" s="198"/>
    </row>
    <row r="128" spans="38:54" ht="13.5" customHeight="1" x14ac:dyDescent="0.3">
      <c r="AL128" s="221"/>
      <c r="AM128" s="198"/>
      <c r="AN128" s="198"/>
      <c r="AO128" s="198"/>
      <c r="AP128" s="198"/>
      <c r="AQ128" s="198"/>
      <c r="AR128" s="198"/>
      <c r="AS128" s="198"/>
      <c r="AT128" s="198"/>
      <c r="AU128" s="198"/>
      <c r="AV128" s="198"/>
      <c r="AW128" s="198"/>
      <c r="AX128" s="198"/>
      <c r="AY128" s="198"/>
      <c r="AZ128" s="198"/>
      <c r="BA128" s="198"/>
      <c r="BB128" s="198"/>
    </row>
    <row r="129" spans="38:54" ht="13.5" customHeight="1" x14ac:dyDescent="0.3">
      <c r="AL129" s="221"/>
      <c r="AM129" s="198"/>
      <c r="AN129" s="198"/>
      <c r="AO129" s="198"/>
      <c r="AP129" s="198"/>
      <c r="AQ129" s="198"/>
      <c r="AR129" s="198"/>
      <c r="AS129" s="198"/>
      <c r="AT129" s="198"/>
      <c r="AU129" s="198"/>
      <c r="AV129" s="198"/>
      <c r="AW129" s="198"/>
      <c r="AX129" s="198"/>
      <c r="AY129" s="198"/>
      <c r="AZ129" s="198"/>
      <c r="BA129" s="198"/>
      <c r="BB129" s="198"/>
    </row>
    <row r="130" spans="38:54" ht="13.5" customHeight="1" x14ac:dyDescent="0.3">
      <c r="AL130" s="221"/>
      <c r="AM130" s="198"/>
      <c r="AN130" s="198"/>
      <c r="AO130" s="198"/>
      <c r="AP130" s="198"/>
      <c r="AQ130" s="198"/>
      <c r="AR130" s="198"/>
      <c r="AS130" s="198"/>
      <c r="AT130" s="198"/>
      <c r="AU130" s="198"/>
      <c r="AV130" s="198"/>
      <c r="AW130" s="198"/>
      <c r="AX130" s="198"/>
      <c r="AY130" s="198"/>
      <c r="AZ130" s="198"/>
      <c r="BA130" s="198"/>
      <c r="BB130" s="198"/>
    </row>
    <row r="131" spans="38:54" ht="13.5" customHeight="1" x14ac:dyDescent="0.3">
      <c r="AL131" s="221"/>
      <c r="AM131" s="198"/>
      <c r="AN131" s="198"/>
      <c r="AO131" s="198"/>
      <c r="AP131" s="198"/>
      <c r="AQ131" s="198"/>
      <c r="AR131" s="198"/>
      <c r="AS131" s="198"/>
      <c r="AT131" s="198"/>
      <c r="AU131" s="198"/>
      <c r="AV131" s="198"/>
      <c r="AW131" s="198"/>
      <c r="AX131" s="198"/>
      <c r="AY131" s="198"/>
      <c r="AZ131" s="198"/>
      <c r="BA131" s="198"/>
      <c r="BB131" s="198"/>
    </row>
    <row r="132" spans="38:54" ht="13.5" customHeight="1" x14ac:dyDescent="0.3">
      <c r="AL132" s="221"/>
      <c r="AM132" s="198"/>
      <c r="AN132" s="198"/>
      <c r="AO132" s="198"/>
      <c r="AP132" s="198"/>
      <c r="AQ132" s="198"/>
      <c r="AR132" s="198"/>
      <c r="AS132" s="198"/>
      <c r="AT132" s="198"/>
      <c r="AU132" s="198"/>
      <c r="AV132" s="198"/>
      <c r="AW132" s="198"/>
      <c r="AX132" s="198"/>
      <c r="AY132" s="198"/>
      <c r="AZ132" s="198"/>
      <c r="BA132" s="198"/>
      <c r="BB132" s="198"/>
    </row>
    <row r="133" spans="38:54" ht="13.5" customHeight="1" x14ac:dyDescent="0.3">
      <c r="AL133" s="221"/>
      <c r="AM133" s="198"/>
      <c r="AN133" s="198"/>
      <c r="AO133" s="198"/>
      <c r="AP133" s="198"/>
      <c r="AQ133" s="198"/>
      <c r="AR133" s="198"/>
      <c r="AS133" s="198"/>
      <c r="AT133" s="198"/>
      <c r="AU133" s="198"/>
      <c r="AV133" s="198"/>
      <c r="AW133" s="198"/>
      <c r="AX133" s="198"/>
      <c r="AY133" s="198"/>
      <c r="AZ133" s="198"/>
      <c r="BA133" s="198"/>
      <c r="BB133" s="198"/>
    </row>
    <row r="134" spans="38:54" ht="13.5" customHeight="1" x14ac:dyDescent="0.3">
      <c r="AL134" s="221"/>
      <c r="AM134" s="198"/>
      <c r="AN134" s="198"/>
      <c r="AO134" s="198"/>
      <c r="AP134" s="198"/>
      <c r="AQ134" s="198"/>
      <c r="AR134" s="198"/>
      <c r="AS134" s="198"/>
      <c r="AT134" s="198"/>
      <c r="AU134" s="198"/>
      <c r="AV134" s="198"/>
      <c r="AW134" s="198"/>
      <c r="AX134" s="198"/>
      <c r="AY134" s="198"/>
      <c r="AZ134" s="198"/>
      <c r="BA134" s="198"/>
      <c r="BB134" s="198"/>
    </row>
    <row r="135" spans="38:54" ht="13.5" customHeight="1" x14ac:dyDescent="0.3">
      <c r="AL135" s="221"/>
      <c r="AM135" s="198"/>
      <c r="AN135" s="198"/>
      <c r="AO135" s="198"/>
      <c r="AP135" s="198"/>
      <c r="AQ135" s="198"/>
      <c r="AR135" s="198"/>
      <c r="AS135" s="198"/>
      <c r="AT135" s="198"/>
      <c r="AU135" s="198"/>
      <c r="AV135" s="198"/>
      <c r="AW135" s="198"/>
      <c r="AX135" s="198"/>
      <c r="AY135" s="198"/>
      <c r="AZ135" s="198"/>
      <c r="BA135" s="198"/>
      <c r="BB135" s="198"/>
    </row>
    <row r="136" spans="38:54" ht="13.5" customHeight="1" x14ac:dyDescent="0.3">
      <c r="AL136" s="221"/>
      <c r="AM136" s="198"/>
      <c r="AN136" s="198"/>
      <c r="AO136" s="198"/>
      <c r="AP136" s="198"/>
      <c r="AQ136" s="198"/>
      <c r="AR136" s="198"/>
      <c r="AS136" s="198"/>
      <c r="AT136" s="198"/>
      <c r="AU136" s="198"/>
      <c r="AV136" s="198"/>
      <c r="AW136" s="198"/>
      <c r="AX136" s="198"/>
      <c r="AY136" s="198"/>
      <c r="AZ136" s="198"/>
      <c r="BA136" s="198"/>
      <c r="BB136" s="198"/>
    </row>
    <row r="137" spans="38:54" ht="13.5" customHeight="1" x14ac:dyDescent="0.3">
      <c r="AL137" s="221"/>
      <c r="AM137" s="198"/>
      <c r="AN137" s="198"/>
      <c r="AO137" s="198"/>
      <c r="AP137" s="198"/>
      <c r="AQ137" s="198"/>
      <c r="AR137" s="198"/>
      <c r="AS137" s="198"/>
      <c r="AT137" s="198"/>
      <c r="AU137" s="198"/>
      <c r="AV137" s="198"/>
      <c r="AW137" s="198"/>
      <c r="AX137" s="198"/>
      <c r="AY137" s="198"/>
      <c r="AZ137" s="198"/>
      <c r="BA137" s="198"/>
      <c r="BB137" s="198"/>
    </row>
    <row r="138" spans="38:54" ht="13.5" customHeight="1" x14ac:dyDescent="0.3">
      <c r="AL138" s="221"/>
      <c r="AM138" s="198"/>
      <c r="AN138" s="198"/>
      <c r="AO138" s="198"/>
      <c r="AP138" s="198"/>
      <c r="AQ138" s="198"/>
      <c r="AR138" s="198"/>
      <c r="AS138" s="198"/>
      <c r="AT138" s="198"/>
      <c r="AU138" s="198"/>
      <c r="AV138" s="198"/>
      <c r="AW138" s="198"/>
      <c r="AX138" s="198"/>
      <c r="AY138" s="198"/>
      <c r="AZ138" s="198"/>
      <c r="BA138" s="198"/>
      <c r="BB138" s="198"/>
    </row>
    <row r="139" spans="38:54" ht="13.5" customHeight="1" x14ac:dyDescent="0.3">
      <c r="AL139" s="221"/>
      <c r="AM139" s="198"/>
      <c r="AN139" s="198"/>
      <c r="AO139" s="198"/>
      <c r="AP139" s="198"/>
      <c r="AQ139" s="198"/>
      <c r="AR139" s="198"/>
      <c r="AS139" s="198"/>
      <c r="AT139" s="198"/>
      <c r="AU139" s="198"/>
      <c r="AV139" s="198"/>
      <c r="AW139" s="198"/>
      <c r="AX139" s="198"/>
      <c r="AY139" s="198"/>
      <c r="AZ139" s="198"/>
      <c r="BA139" s="198"/>
      <c r="BB139" s="198"/>
    </row>
    <row r="140" spans="38:54" ht="13.5" customHeight="1" x14ac:dyDescent="0.3">
      <c r="AL140" s="221"/>
      <c r="AM140" s="198"/>
      <c r="AN140" s="198"/>
      <c r="AO140" s="198"/>
      <c r="AP140" s="198"/>
      <c r="AQ140" s="198"/>
      <c r="AR140" s="198"/>
      <c r="AS140" s="198"/>
      <c r="AT140" s="198"/>
      <c r="AU140" s="198"/>
      <c r="AV140" s="198"/>
      <c r="AW140" s="198"/>
      <c r="AX140" s="198"/>
      <c r="AY140" s="198"/>
      <c r="AZ140" s="198"/>
      <c r="BA140" s="198"/>
      <c r="BB140" s="198"/>
    </row>
    <row r="141" spans="38:54" ht="13.5" customHeight="1" x14ac:dyDescent="0.3">
      <c r="AL141" s="221"/>
      <c r="AM141" s="198"/>
      <c r="AN141" s="198"/>
      <c r="AO141" s="198"/>
      <c r="AP141" s="198"/>
      <c r="AQ141" s="198"/>
      <c r="AR141" s="198"/>
      <c r="AS141" s="198"/>
      <c r="AT141" s="198"/>
      <c r="AU141" s="198"/>
      <c r="AV141" s="198"/>
      <c r="AW141" s="198"/>
      <c r="AX141" s="198"/>
      <c r="AY141" s="198"/>
      <c r="AZ141" s="198"/>
      <c r="BA141" s="198"/>
      <c r="BB141" s="198"/>
    </row>
    <row r="142" spans="38:54" ht="13.5" customHeight="1" x14ac:dyDescent="0.3">
      <c r="AL142" s="221"/>
      <c r="AM142" s="198"/>
      <c r="AN142" s="198"/>
      <c r="AO142" s="198"/>
      <c r="AP142" s="198"/>
      <c r="AQ142" s="198"/>
      <c r="AR142" s="198"/>
      <c r="AS142" s="198"/>
      <c r="AT142" s="198"/>
      <c r="AU142" s="198"/>
      <c r="AV142" s="198"/>
      <c r="AW142" s="198"/>
      <c r="AX142" s="198"/>
      <c r="AY142" s="198"/>
      <c r="AZ142" s="198"/>
      <c r="BA142" s="198"/>
      <c r="BB142" s="198"/>
    </row>
    <row r="143" spans="38:54" ht="13.5" customHeight="1" x14ac:dyDescent="0.3">
      <c r="AL143" s="221"/>
      <c r="AM143" s="198"/>
      <c r="AN143" s="198"/>
      <c r="AO143" s="198"/>
      <c r="AP143" s="198"/>
      <c r="AQ143" s="198"/>
      <c r="AR143" s="198"/>
      <c r="AS143" s="198"/>
      <c r="AT143" s="198"/>
      <c r="AU143" s="198"/>
      <c r="AV143" s="198"/>
      <c r="AW143" s="198"/>
      <c r="AX143" s="198"/>
      <c r="AY143" s="198"/>
      <c r="AZ143" s="198"/>
      <c r="BA143" s="198"/>
      <c r="BB143" s="198"/>
    </row>
    <row r="144" spans="38:54" ht="13.5" customHeight="1" x14ac:dyDescent="0.3">
      <c r="AL144" s="221"/>
      <c r="AM144" s="198"/>
      <c r="AN144" s="198"/>
      <c r="AO144" s="198"/>
      <c r="AP144" s="198"/>
      <c r="AQ144" s="198"/>
      <c r="AR144" s="198"/>
      <c r="AS144" s="198"/>
      <c r="AT144" s="198"/>
      <c r="AU144" s="198"/>
      <c r="AV144" s="198"/>
      <c r="AW144" s="198"/>
      <c r="AX144" s="198"/>
      <c r="AY144" s="198"/>
      <c r="AZ144" s="198"/>
      <c r="BA144" s="198"/>
      <c r="BB144" s="198"/>
    </row>
    <row r="145" spans="38:54" ht="13.5" customHeight="1" x14ac:dyDescent="0.3">
      <c r="AL145" s="221"/>
      <c r="AM145" s="198"/>
      <c r="AN145" s="198"/>
      <c r="AO145" s="198"/>
      <c r="AP145" s="198"/>
      <c r="AQ145" s="198"/>
      <c r="AR145" s="198"/>
      <c r="AS145" s="198"/>
      <c r="AT145" s="198"/>
      <c r="AU145" s="198"/>
      <c r="AV145" s="198"/>
      <c r="AW145" s="198"/>
      <c r="AX145" s="198"/>
      <c r="AY145" s="198"/>
      <c r="AZ145" s="198"/>
      <c r="BA145" s="198"/>
      <c r="BB145" s="198"/>
    </row>
    <row r="146" spans="38:54" ht="13.5" customHeight="1" x14ac:dyDescent="0.3">
      <c r="AL146" s="221"/>
      <c r="AM146" s="198"/>
      <c r="AN146" s="198"/>
      <c r="AO146" s="198"/>
      <c r="AP146" s="198"/>
      <c r="AQ146" s="198"/>
      <c r="AR146" s="198"/>
      <c r="AS146" s="198"/>
      <c r="AT146" s="198"/>
      <c r="AU146" s="198"/>
      <c r="AV146" s="198"/>
      <c r="AW146" s="198"/>
      <c r="AX146" s="198"/>
      <c r="AY146" s="198"/>
      <c r="AZ146" s="198"/>
      <c r="BA146" s="198"/>
      <c r="BB146" s="198"/>
    </row>
    <row r="147" spans="38:54" ht="13.5" customHeight="1" x14ac:dyDescent="0.3">
      <c r="AL147" s="221"/>
      <c r="AM147" s="198"/>
      <c r="AN147" s="198"/>
      <c r="AO147" s="198"/>
      <c r="AP147" s="198"/>
      <c r="AQ147" s="198"/>
      <c r="AR147" s="198"/>
      <c r="AS147" s="198"/>
      <c r="AT147" s="198"/>
      <c r="AU147" s="198"/>
      <c r="AV147" s="198"/>
      <c r="AW147" s="198"/>
      <c r="AX147" s="198"/>
      <c r="AY147" s="198"/>
      <c r="AZ147" s="198"/>
      <c r="BA147" s="198"/>
      <c r="BB147" s="198"/>
    </row>
    <row r="148" spans="38:54" ht="13.5" customHeight="1" x14ac:dyDescent="0.3">
      <c r="AL148" s="221"/>
      <c r="AM148" s="198"/>
      <c r="AN148" s="198"/>
      <c r="AO148" s="198"/>
      <c r="AP148" s="198"/>
      <c r="AQ148" s="198"/>
      <c r="AR148" s="198"/>
      <c r="AS148" s="198"/>
      <c r="AT148" s="198"/>
      <c r="AU148" s="198"/>
      <c r="AV148" s="198"/>
      <c r="AW148" s="198"/>
      <c r="AX148" s="198"/>
      <c r="AY148" s="198"/>
      <c r="AZ148" s="198"/>
      <c r="BA148" s="198"/>
      <c r="BB148" s="198"/>
    </row>
    <row r="149" spans="38:54" ht="13.5" customHeight="1" x14ac:dyDescent="0.3">
      <c r="AL149" s="221"/>
      <c r="AM149" s="198"/>
      <c r="AN149" s="198"/>
      <c r="AO149" s="198"/>
      <c r="AP149" s="198"/>
      <c r="AQ149" s="198"/>
      <c r="AR149" s="198"/>
      <c r="AS149" s="198"/>
      <c r="AT149" s="198"/>
      <c r="AU149" s="198"/>
      <c r="AV149" s="198"/>
      <c r="AW149" s="198"/>
      <c r="AX149" s="198"/>
      <c r="AY149" s="198"/>
      <c r="AZ149" s="198"/>
      <c r="BA149" s="198"/>
      <c r="BB149" s="198"/>
    </row>
    <row r="150" spans="38:54" ht="13.5" customHeight="1" x14ac:dyDescent="0.3">
      <c r="AL150" s="221"/>
      <c r="AM150" s="198"/>
      <c r="AN150" s="198"/>
      <c r="AO150" s="198"/>
      <c r="AP150" s="198"/>
      <c r="AQ150" s="198"/>
      <c r="AR150" s="198"/>
      <c r="AS150" s="198"/>
      <c r="AT150" s="198"/>
      <c r="AU150" s="198"/>
      <c r="AV150" s="198"/>
      <c r="AW150" s="198"/>
      <c r="AX150" s="198"/>
      <c r="AY150" s="198"/>
      <c r="AZ150" s="198"/>
      <c r="BA150" s="198"/>
      <c r="BB150" s="198"/>
    </row>
    <row r="151" spans="38:54" ht="13.5" customHeight="1" x14ac:dyDescent="0.3">
      <c r="AL151" s="221"/>
      <c r="AM151" s="198"/>
      <c r="AN151" s="198"/>
      <c r="AO151" s="198"/>
      <c r="AP151" s="198"/>
      <c r="AQ151" s="198"/>
      <c r="AR151" s="198"/>
      <c r="AS151" s="198"/>
      <c r="AT151" s="198"/>
      <c r="AU151" s="198"/>
      <c r="AV151" s="198"/>
      <c r="AW151" s="198"/>
      <c r="AX151" s="198"/>
      <c r="AY151" s="198"/>
      <c r="AZ151" s="198"/>
      <c r="BA151" s="198"/>
      <c r="BB151" s="198"/>
    </row>
    <row r="152" spans="38:54" ht="13.5" customHeight="1" x14ac:dyDescent="0.3">
      <c r="AL152" s="221"/>
      <c r="AM152" s="198"/>
      <c r="AN152" s="198"/>
      <c r="AO152" s="198"/>
      <c r="AP152" s="198"/>
      <c r="AQ152" s="198"/>
      <c r="AR152" s="198"/>
      <c r="AS152" s="198"/>
      <c r="AT152" s="198"/>
      <c r="AU152" s="198"/>
      <c r="AV152" s="198"/>
      <c r="AW152" s="198"/>
      <c r="AX152" s="198"/>
      <c r="AY152" s="198"/>
      <c r="AZ152" s="198"/>
      <c r="BA152" s="198"/>
      <c r="BB152" s="198"/>
    </row>
    <row r="153" spans="38:54" ht="13.5" customHeight="1" x14ac:dyDescent="0.3">
      <c r="AL153" s="221"/>
      <c r="AM153" s="198"/>
      <c r="AN153" s="198"/>
      <c r="AO153" s="198"/>
      <c r="AP153" s="198"/>
      <c r="AQ153" s="198"/>
      <c r="AR153" s="198"/>
      <c r="AS153" s="198"/>
      <c r="AT153" s="198"/>
      <c r="AU153" s="198"/>
      <c r="AV153" s="198"/>
      <c r="AW153" s="198"/>
      <c r="AX153" s="198"/>
      <c r="AY153" s="198"/>
      <c r="AZ153" s="198"/>
      <c r="BA153" s="198"/>
      <c r="BB153" s="198"/>
    </row>
    <row r="154" spans="38:54" ht="13.5" customHeight="1" x14ac:dyDescent="0.3">
      <c r="AL154" s="221"/>
      <c r="AM154" s="198"/>
      <c r="AN154" s="198"/>
      <c r="AO154" s="198"/>
      <c r="AP154" s="198"/>
      <c r="AQ154" s="198"/>
      <c r="AR154" s="198"/>
      <c r="AS154" s="198"/>
      <c r="AT154" s="198"/>
      <c r="AU154" s="198"/>
      <c r="AV154" s="198"/>
      <c r="AW154" s="198"/>
      <c r="AX154" s="198"/>
      <c r="AY154" s="198"/>
      <c r="AZ154" s="198"/>
      <c r="BA154" s="198"/>
      <c r="BB154" s="198"/>
    </row>
    <row r="155" spans="38:54" ht="13.5" customHeight="1" x14ac:dyDescent="0.3">
      <c r="AL155" s="221"/>
      <c r="AM155" s="198"/>
      <c r="AN155" s="198"/>
      <c r="AO155" s="198"/>
      <c r="AP155" s="198"/>
      <c r="AQ155" s="198"/>
      <c r="AR155" s="198"/>
      <c r="AS155" s="198"/>
      <c r="AT155" s="198"/>
      <c r="AU155" s="198"/>
      <c r="AV155" s="198"/>
      <c r="AW155" s="198"/>
      <c r="AX155" s="198"/>
      <c r="AY155" s="198"/>
      <c r="AZ155" s="198"/>
      <c r="BA155" s="198"/>
      <c r="BB155" s="198"/>
    </row>
    <row r="156" spans="38:54" ht="13.5" customHeight="1" x14ac:dyDescent="0.3">
      <c r="AL156" s="221"/>
      <c r="AM156" s="198"/>
      <c r="AN156" s="198"/>
      <c r="AO156" s="198"/>
      <c r="AP156" s="198"/>
      <c r="AQ156" s="198"/>
      <c r="AR156" s="198"/>
      <c r="AS156" s="198"/>
      <c r="AT156" s="198"/>
      <c r="AU156" s="198"/>
      <c r="AV156" s="198"/>
      <c r="AW156" s="198"/>
      <c r="AX156" s="198"/>
      <c r="AY156" s="198"/>
      <c r="AZ156" s="198"/>
      <c r="BA156" s="198"/>
      <c r="BB156" s="198"/>
    </row>
    <row r="157" spans="38:54" ht="13.5" customHeight="1" x14ac:dyDescent="0.3">
      <c r="AL157" s="221"/>
      <c r="AM157" s="198"/>
      <c r="AN157" s="198"/>
      <c r="AO157" s="198"/>
      <c r="AP157" s="198"/>
      <c r="AQ157" s="198"/>
      <c r="AR157" s="198"/>
      <c r="AS157" s="198"/>
      <c r="AT157" s="198"/>
      <c r="AU157" s="198"/>
      <c r="AV157" s="198"/>
      <c r="AW157" s="198"/>
      <c r="AX157" s="198"/>
      <c r="AY157" s="198"/>
      <c r="AZ157" s="198"/>
      <c r="BA157" s="198"/>
      <c r="BB157" s="198"/>
    </row>
    <row r="158" spans="38:54" ht="13.5" customHeight="1" x14ac:dyDescent="0.3">
      <c r="AL158" s="221"/>
      <c r="AM158" s="198"/>
      <c r="AN158" s="198"/>
      <c r="AO158" s="198"/>
      <c r="AP158" s="198"/>
      <c r="AQ158" s="198"/>
      <c r="AR158" s="198"/>
      <c r="AS158" s="198"/>
      <c r="AT158" s="198"/>
      <c r="AU158" s="198"/>
      <c r="AV158" s="198"/>
      <c r="AW158" s="198"/>
      <c r="AX158" s="198"/>
      <c r="AY158" s="198"/>
      <c r="AZ158" s="198"/>
      <c r="BA158" s="198"/>
      <c r="BB158" s="198"/>
    </row>
    <row r="159" spans="38:54" ht="13.5" customHeight="1" x14ac:dyDescent="0.3">
      <c r="AL159" s="221"/>
      <c r="AM159" s="198"/>
      <c r="AN159" s="198"/>
      <c r="AO159" s="198"/>
      <c r="AP159" s="198"/>
      <c r="AQ159" s="198"/>
      <c r="AR159" s="198"/>
      <c r="AS159" s="198"/>
      <c r="AT159" s="198"/>
      <c r="AU159" s="198"/>
      <c r="AV159" s="198"/>
      <c r="AW159" s="198"/>
      <c r="AX159" s="198"/>
      <c r="AY159" s="198"/>
      <c r="AZ159" s="198"/>
      <c r="BA159" s="198"/>
      <c r="BB159" s="198"/>
    </row>
    <row r="160" spans="38:54" ht="13.5" customHeight="1" x14ac:dyDescent="0.3">
      <c r="AL160" s="221"/>
      <c r="AM160" s="198"/>
      <c r="AN160" s="198"/>
      <c r="AO160" s="198"/>
      <c r="AP160" s="198"/>
      <c r="AQ160" s="198"/>
      <c r="AR160" s="198"/>
      <c r="AS160" s="198"/>
      <c r="AT160" s="198"/>
      <c r="AU160" s="198"/>
      <c r="AV160" s="198"/>
      <c r="AW160" s="198"/>
      <c r="AX160" s="198"/>
      <c r="AY160" s="198"/>
      <c r="AZ160" s="198"/>
      <c r="BA160" s="198"/>
      <c r="BB160" s="198"/>
    </row>
    <row r="161" spans="38:54" ht="13.5" customHeight="1" x14ac:dyDescent="0.3">
      <c r="AL161" s="221"/>
      <c r="AM161" s="198"/>
      <c r="AN161" s="198"/>
      <c r="AO161" s="198"/>
      <c r="AP161" s="198"/>
      <c r="AQ161" s="198"/>
      <c r="AR161" s="198"/>
      <c r="AS161" s="198"/>
      <c r="AT161" s="198"/>
      <c r="AU161" s="198"/>
      <c r="AV161" s="198"/>
      <c r="AW161" s="198"/>
      <c r="AX161" s="198"/>
      <c r="AY161" s="198"/>
      <c r="AZ161" s="198"/>
      <c r="BA161" s="198"/>
      <c r="BB161" s="198"/>
    </row>
    <row r="162" spans="38:54" ht="13.5" customHeight="1" x14ac:dyDescent="0.3">
      <c r="AL162" s="221"/>
      <c r="AM162" s="198"/>
      <c r="AN162" s="198"/>
      <c r="AO162" s="198"/>
      <c r="AP162" s="198"/>
      <c r="AQ162" s="198"/>
      <c r="AR162" s="198"/>
      <c r="AS162" s="198"/>
      <c r="AT162" s="198"/>
      <c r="AU162" s="198"/>
      <c r="AV162" s="198"/>
      <c r="AW162" s="198"/>
      <c r="AX162" s="198"/>
      <c r="AY162" s="198"/>
      <c r="AZ162" s="198"/>
      <c r="BA162" s="198"/>
      <c r="BB162" s="198"/>
    </row>
    <row r="163" spans="38:54" ht="13.5" customHeight="1" x14ac:dyDescent="0.3">
      <c r="AL163" s="221"/>
      <c r="AM163" s="198"/>
      <c r="AN163" s="198"/>
      <c r="AO163" s="198"/>
      <c r="AP163" s="198"/>
      <c r="AQ163" s="198"/>
      <c r="AR163" s="198"/>
      <c r="AS163" s="198"/>
      <c r="AT163" s="198"/>
      <c r="AU163" s="198"/>
      <c r="AV163" s="198"/>
      <c r="AW163" s="198"/>
      <c r="AX163" s="198"/>
      <c r="AY163" s="198"/>
      <c r="AZ163" s="198"/>
      <c r="BA163" s="198"/>
      <c r="BB163" s="198"/>
    </row>
    <row r="164" spans="38:54" ht="13.5" customHeight="1" x14ac:dyDescent="0.3">
      <c r="AL164" s="221"/>
      <c r="AM164" s="198"/>
      <c r="AN164" s="198"/>
      <c r="AO164" s="198"/>
      <c r="AP164" s="198"/>
      <c r="AQ164" s="198"/>
      <c r="AR164" s="198"/>
      <c r="AS164" s="198"/>
      <c r="AT164" s="198"/>
      <c r="AU164" s="198"/>
      <c r="AV164" s="198"/>
      <c r="AW164" s="198"/>
      <c r="AX164" s="198"/>
      <c r="AY164" s="198"/>
      <c r="AZ164" s="198"/>
      <c r="BA164" s="198"/>
      <c r="BB164" s="198"/>
    </row>
    <row r="165" spans="38:54" ht="13.5" customHeight="1" x14ac:dyDescent="0.3">
      <c r="AL165" s="221"/>
      <c r="AM165" s="198"/>
      <c r="AN165" s="198"/>
      <c r="AO165" s="198"/>
      <c r="AP165" s="198"/>
      <c r="AQ165" s="198"/>
      <c r="AR165" s="198"/>
      <c r="AS165" s="198"/>
      <c r="AT165" s="198"/>
      <c r="AU165" s="198"/>
      <c r="AV165" s="198"/>
      <c r="AW165" s="198"/>
      <c r="AX165" s="198"/>
      <c r="AY165" s="198"/>
      <c r="AZ165" s="198"/>
      <c r="BA165" s="198"/>
      <c r="BB165" s="198"/>
    </row>
    <row r="166" spans="38:54" ht="13.5" customHeight="1" x14ac:dyDescent="0.3">
      <c r="AL166" s="221"/>
      <c r="AM166" s="198"/>
      <c r="AN166" s="198"/>
      <c r="AO166" s="198"/>
      <c r="AP166" s="198"/>
      <c r="AQ166" s="198"/>
      <c r="AR166" s="198"/>
      <c r="AS166" s="198"/>
      <c r="AT166" s="198"/>
      <c r="AU166" s="198"/>
      <c r="AV166" s="198"/>
      <c r="AW166" s="198"/>
      <c r="AX166" s="198"/>
      <c r="AY166" s="198"/>
      <c r="AZ166" s="198"/>
      <c r="BA166" s="198"/>
      <c r="BB166" s="198"/>
    </row>
    <row r="167" spans="38:54" ht="13.5" customHeight="1" x14ac:dyDescent="0.3">
      <c r="AL167" s="221"/>
      <c r="AM167" s="198"/>
      <c r="AN167" s="198"/>
      <c r="AO167" s="198"/>
      <c r="AP167" s="198"/>
      <c r="AQ167" s="198"/>
      <c r="AR167" s="198"/>
      <c r="AS167" s="198"/>
      <c r="AT167" s="198"/>
      <c r="AU167" s="198"/>
      <c r="AV167" s="198"/>
      <c r="AW167" s="198"/>
      <c r="AX167" s="198"/>
      <c r="AY167" s="198"/>
      <c r="AZ167" s="198"/>
      <c r="BA167" s="198"/>
      <c r="BB167" s="198"/>
    </row>
    <row r="168" spans="38:54" ht="13.5" customHeight="1" x14ac:dyDescent="0.3">
      <c r="AL168" s="221"/>
      <c r="AM168" s="198"/>
      <c r="AN168" s="198"/>
      <c r="AO168" s="198"/>
      <c r="AP168" s="198"/>
      <c r="AQ168" s="198"/>
      <c r="AR168" s="198"/>
      <c r="AS168" s="198"/>
      <c r="AT168" s="198"/>
      <c r="AU168" s="198"/>
      <c r="AV168" s="198"/>
      <c r="AW168" s="198"/>
      <c r="AX168" s="198"/>
      <c r="AY168" s="198"/>
      <c r="AZ168" s="198"/>
      <c r="BA168" s="198"/>
      <c r="BB168" s="198"/>
    </row>
    <row r="169" spans="38:54" ht="13.5" customHeight="1" x14ac:dyDescent="0.3">
      <c r="AL169" s="221"/>
      <c r="AM169" s="198"/>
      <c r="AN169" s="198"/>
      <c r="AO169" s="198"/>
      <c r="AP169" s="198"/>
      <c r="AQ169" s="198"/>
      <c r="AR169" s="198"/>
      <c r="AS169" s="198"/>
      <c r="AT169" s="198"/>
      <c r="AU169" s="198"/>
      <c r="AV169" s="198"/>
      <c r="AW169" s="198"/>
      <c r="AX169" s="198"/>
      <c r="AY169" s="198"/>
      <c r="AZ169" s="198"/>
      <c r="BA169" s="198"/>
      <c r="BB169" s="198"/>
    </row>
    <row r="170" spans="38:54" ht="13.5" customHeight="1" x14ac:dyDescent="0.3">
      <c r="AL170" s="221"/>
      <c r="AM170" s="198"/>
      <c r="AN170" s="198"/>
      <c r="AO170" s="198"/>
      <c r="AP170" s="198"/>
      <c r="AQ170" s="198"/>
      <c r="AR170" s="198"/>
      <c r="AS170" s="198"/>
      <c r="AT170" s="198"/>
      <c r="AU170" s="198"/>
      <c r="AV170" s="198"/>
      <c r="AW170" s="198"/>
      <c r="AX170" s="198"/>
      <c r="AY170" s="198"/>
      <c r="AZ170" s="198"/>
      <c r="BA170" s="198"/>
      <c r="BB170" s="198"/>
    </row>
    <row r="171" spans="38:54" ht="13.5" customHeight="1" x14ac:dyDescent="0.3">
      <c r="AL171" s="221"/>
      <c r="AM171" s="198"/>
      <c r="AN171" s="198"/>
      <c r="AO171" s="198"/>
      <c r="AP171" s="198"/>
      <c r="AQ171" s="198"/>
      <c r="AR171" s="198"/>
      <c r="AS171" s="198"/>
      <c r="AT171" s="198"/>
      <c r="AU171" s="198"/>
      <c r="AV171" s="198"/>
      <c r="AW171" s="198"/>
      <c r="AX171" s="198"/>
      <c r="AY171" s="198"/>
      <c r="AZ171" s="198"/>
      <c r="BA171" s="198"/>
      <c r="BB171" s="198"/>
    </row>
    <row r="172" spans="38:54" ht="13.5" customHeight="1" x14ac:dyDescent="0.3">
      <c r="AL172" s="221"/>
      <c r="AM172" s="198"/>
      <c r="AN172" s="198"/>
      <c r="AO172" s="198"/>
      <c r="AP172" s="198"/>
      <c r="AQ172" s="198"/>
      <c r="AR172" s="198"/>
      <c r="AS172" s="198"/>
      <c r="AT172" s="198"/>
      <c r="AU172" s="198"/>
      <c r="AV172" s="198"/>
      <c r="AW172" s="198"/>
      <c r="AX172" s="198"/>
      <c r="AY172" s="198"/>
      <c r="AZ172" s="198"/>
      <c r="BA172" s="198"/>
      <c r="BB172" s="198"/>
    </row>
    <row r="173" spans="38:54" ht="13.5" customHeight="1" x14ac:dyDescent="0.3">
      <c r="AL173" s="221"/>
      <c r="AM173" s="198"/>
      <c r="AN173" s="198"/>
      <c r="AO173" s="198"/>
      <c r="AP173" s="198"/>
      <c r="AQ173" s="198"/>
      <c r="AR173" s="198"/>
      <c r="AS173" s="198"/>
      <c r="AT173" s="198"/>
      <c r="AU173" s="198"/>
      <c r="AV173" s="198"/>
      <c r="AW173" s="198"/>
      <c r="AX173" s="198"/>
      <c r="AY173" s="198"/>
      <c r="AZ173" s="198"/>
      <c r="BA173" s="198"/>
      <c r="BB173" s="198"/>
    </row>
    <row r="174" spans="38:54" ht="13.5" customHeight="1" x14ac:dyDescent="0.3">
      <c r="AL174" s="221"/>
      <c r="AM174" s="198"/>
      <c r="AN174" s="198"/>
      <c r="AO174" s="198"/>
      <c r="AP174" s="198"/>
      <c r="AQ174" s="198"/>
      <c r="AR174" s="198"/>
      <c r="AS174" s="198"/>
      <c r="AT174" s="198"/>
      <c r="AU174" s="198"/>
      <c r="AV174" s="198"/>
      <c r="AW174" s="198"/>
      <c r="AX174" s="198"/>
      <c r="AY174" s="198"/>
      <c r="AZ174" s="198"/>
      <c r="BA174" s="198"/>
      <c r="BB174" s="198"/>
    </row>
    <row r="175" spans="38:54" ht="13.5" customHeight="1" x14ac:dyDescent="0.3">
      <c r="AL175" s="221"/>
      <c r="AM175" s="198"/>
      <c r="AN175" s="198"/>
      <c r="AO175" s="198"/>
      <c r="AP175" s="198"/>
      <c r="AQ175" s="198"/>
      <c r="AR175" s="198"/>
      <c r="AS175" s="198"/>
      <c r="AT175" s="198"/>
      <c r="AU175" s="198"/>
      <c r="AV175" s="198"/>
      <c r="AW175" s="198"/>
      <c r="AX175" s="198"/>
      <c r="AY175" s="198"/>
      <c r="AZ175" s="198"/>
      <c r="BA175" s="198"/>
      <c r="BB175" s="198"/>
    </row>
    <row r="176" spans="38:54" ht="13.5" customHeight="1" x14ac:dyDescent="0.3">
      <c r="AL176" s="221"/>
      <c r="AM176" s="198"/>
      <c r="AN176" s="198"/>
      <c r="AO176" s="198"/>
      <c r="AP176" s="198"/>
      <c r="AQ176" s="198"/>
      <c r="AR176" s="198"/>
      <c r="AS176" s="198"/>
      <c r="AT176" s="198"/>
      <c r="AU176" s="198"/>
      <c r="AV176" s="198"/>
      <c r="AW176" s="198"/>
      <c r="AX176" s="198"/>
      <c r="AY176" s="198"/>
      <c r="AZ176" s="198"/>
      <c r="BA176" s="198"/>
      <c r="BB176" s="198"/>
    </row>
    <row r="177" spans="38:54" ht="13.5" customHeight="1" x14ac:dyDescent="0.3">
      <c r="AL177" s="221"/>
      <c r="AM177" s="198"/>
      <c r="AN177" s="198"/>
      <c r="AO177" s="198"/>
      <c r="AP177" s="198"/>
      <c r="AQ177" s="198"/>
      <c r="AR177" s="198"/>
      <c r="AS177" s="198"/>
      <c r="AT177" s="198"/>
      <c r="AU177" s="198"/>
      <c r="AV177" s="198"/>
      <c r="AW177" s="198"/>
      <c r="AX177" s="198"/>
      <c r="AY177" s="198"/>
      <c r="AZ177" s="198"/>
      <c r="BA177" s="198"/>
      <c r="BB177" s="198"/>
    </row>
    <row r="178" spans="38:54" ht="13.5" customHeight="1" x14ac:dyDescent="0.3">
      <c r="AL178" s="221"/>
      <c r="AM178" s="198"/>
      <c r="AN178" s="198"/>
      <c r="AO178" s="198"/>
      <c r="AP178" s="198"/>
      <c r="AQ178" s="198"/>
      <c r="AR178" s="198"/>
      <c r="AS178" s="198"/>
      <c r="AT178" s="198"/>
      <c r="AU178" s="198"/>
      <c r="AV178" s="198"/>
      <c r="AW178" s="198"/>
      <c r="AX178" s="198"/>
      <c r="AY178" s="198"/>
      <c r="AZ178" s="198"/>
      <c r="BA178" s="198"/>
      <c r="BB178" s="198"/>
    </row>
    <row r="179" spans="38:54" ht="13.5" customHeight="1" x14ac:dyDescent="0.3">
      <c r="AL179" s="221"/>
      <c r="AM179" s="198"/>
      <c r="AN179" s="198"/>
      <c r="AO179" s="198"/>
      <c r="AP179" s="198"/>
      <c r="AQ179" s="198"/>
      <c r="AR179" s="198"/>
      <c r="AS179" s="198"/>
      <c r="AT179" s="198"/>
      <c r="AU179" s="198"/>
      <c r="AV179" s="198"/>
      <c r="AW179" s="198"/>
      <c r="AX179" s="198"/>
      <c r="AY179" s="198"/>
      <c r="AZ179" s="198"/>
      <c r="BA179" s="198"/>
      <c r="BB179" s="198"/>
    </row>
    <row r="180" spans="38:54" ht="13.5" customHeight="1" x14ac:dyDescent="0.3">
      <c r="AL180" s="221"/>
      <c r="AM180" s="198"/>
      <c r="AN180" s="198"/>
      <c r="AO180" s="198"/>
      <c r="AP180" s="198"/>
      <c r="AQ180" s="198"/>
      <c r="AR180" s="198"/>
      <c r="AS180" s="198"/>
      <c r="AT180" s="198"/>
      <c r="AU180" s="198"/>
      <c r="AV180" s="198"/>
      <c r="AW180" s="198"/>
      <c r="AX180" s="198"/>
      <c r="AY180" s="198"/>
      <c r="AZ180" s="198"/>
      <c r="BA180" s="198"/>
      <c r="BB180" s="198"/>
    </row>
    <row r="181" spans="38:54" ht="13.5" customHeight="1" x14ac:dyDescent="0.3">
      <c r="AL181" s="221"/>
      <c r="AM181" s="198"/>
      <c r="AN181" s="198"/>
      <c r="AO181" s="198"/>
      <c r="AP181" s="198"/>
      <c r="AQ181" s="198"/>
      <c r="AR181" s="198"/>
      <c r="AS181" s="198"/>
      <c r="AT181" s="198"/>
      <c r="AU181" s="198"/>
      <c r="AV181" s="198"/>
      <c r="AW181" s="198"/>
      <c r="AX181" s="198"/>
      <c r="AY181" s="198"/>
      <c r="AZ181" s="198"/>
      <c r="BA181" s="198"/>
      <c r="BB181" s="198"/>
    </row>
    <row r="182" spans="38:54" ht="13.5" customHeight="1" x14ac:dyDescent="0.3">
      <c r="AL182" s="221"/>
      <c r="AM182" s="198"/>
      <c r="AN182" s="198"/>
      <c r="AO182" s="198"/>
      <c r="AP182" s="198"/>
      <c r="AQ182" s="198"/>
      <c r="AR182" s="198"/>
      <c r="AS182" s="198"/>
      <c r="AT182" s="198"/>
      <c r="AU182" s="198"/>
      <c r="AV182" s="198"/>
      <c r="AW182" s="198"/>
      <c r="AX182" s="198"/>
      <c r="AY182" s="198"/>
      <c r="AZ182" s="198"/>
      <c r="BA182" s="198"/>
      <c r="BB182" s="198"/>
    </row>
    <row r="183" spans="38:54" ht="13.5" customHeight="1" x14ac:dyDescent="0.3">
      <c r="AL183" s="221"/>
      <c r="AM183" s="198"/>
      <c r="AN183" s="198"/>
      <c r="AO183" s="198"/>
      <c r="AP183" s="198"/>
      <c r="AQ183" s="198"/>
      <c r="AR183" s="198"/>
      <c r="AS183" s="198"/>
      <c r="AT183" s="198"/>
      <c r="AU183" s="198"/>
      <c r="AV183" s="198"/>
      <c r="AW183" s="198"/>
      <c r="AX183" s="198"/>
      <c r="AY183" s="198"/>
      <c r="AZ183" s="198"/>
      <c r="BA183" s="198"/>
      <c r="BB183" s="198"/>
    </row>
    <row r="184" spans="38:54" ht="13.5" customHeight="1" x14ac:dyDescent="0.3">
      <c r="AL184" s="221"/>
      <c r="AM184" s="198"/>
      <c r="AN184" s="198"/>
      <c r="AO184" s="198"/>
      <c r="AP184" s="198"/>
      <c r="AQ184" s="198"/>
      <c r="AR184" s="198"/>
      <c r="AS184" s="198"/>
      <c r="AT184" s="198"/>
      <c r="AU184" s="198"/>
      <c r="AV184" s="198"/>
      <c r="AW184" s="198"/>
      <c r="AX184" s="198"/>
      <c r="AY184" s="198"/>
      <c r="AZ184" s="198"/>
      <c r="BA184" s="198"/>
      <c r="BB184" s="198"/>
    </row>
    <row r="185" spans="38:54" ht="13.5" customHeight="1" x14ac:dyDescent="0.3">
      <c r="AL185" s="221"/>
      <c r="AM185" s="198"/>
      <c r="AN185" s="198"/>
      <c r="AO185" s="198"/>
      <c r="AP185" s="198"/>
      <c r="AQ185" s="198"/>
      <c r="AR185" s="198"/>
      <c r="AS185" s="198"/>
      <c r="AT185" s="198"/>
      <c r="AU185" s="198"/>
      <c r="AV185" s="198"/>
      <c r="AW185" s="198"/>
      <c r="AX185" s="198"/>
      <c r="AY185" s="198"/>
      <c r="AZ185" s="198"/>
      <c r="BA185" s="198"/>
      <c r="BB185" s="198"/>
    </row>
    <row r="186" spans="38:54" ht="13.5" customHeight="1" x14ac:dyDescent="0.3">
      <c r="AL186" s="221"/>
      <c r="AM186" s="198"/>
      <c r="AN186" s="198"/>
      <c r="AO186" s="198"/>
      <c r="AP186" s="198"/>
      <c r="AQ186" s="198"/>
      <c r="AR186" s="198"/>
      <c r="AS186" s="198"/>
      <c r="AT186" s="198"/>
      <c r="AU186" s="198"/>
      <c r="AV186" s="198"/>
      <c r="AW186" s="198"/>
      <c r="AX186" s="198"/>
      <c r="AY186" s="198"/>
      <c r="AZ186" s="198"/>
      <c r="BA186" s="198"/>
      <c r="BB186" s="198"/>
    </row>
    <row r="187" spans="38:54" ht="13.5" customHeight="1" x14ac:dyDescent="0.3">
      <c r="AL187" s="221"/>
      <c r="AM187" s="198"/>
      <c r="AN187" s="198"/>
      <c r="AO187" s="198"/>
      <c r="AP187" s="198"/>
      <c r="AQ187" s="198"/>
      <c r="AR187" s="198"/>
      <c r="AS187" s="198"/>
      <c r="AT187" s="198"/>
      <c r="AU187" s="198"/>
      <c r="AV187" s="198"/>
      <c r="AW187" s="198"/>
      <c r="AX187" s="198"/>
      <c r="AY187" s="198"/>
      <c r="AZ187" s="198"/>
      <c r="BA187" s="198"/>
      <c r="BB187" s="198"/>
    </row>
    <row r="188" spans="38:54" ht="13.5" customHeight="1" x14ac:dyDescent="0.3">
      <c r="AL188" s="221"/>
      <c r="AM188" s="198"/>
      <c r="AN188" s="198"/>
      <c r="AO188" s="198"/>
      <c r="AP188" s="198"/>
      <c r="AQ188" s="198"/>
      <c r="AR188" s="198"/>
      <c r="AS188" s="198"/>
      <c r="AT188" s="198"/>
      <c r="AU188" s="198"/>
      <c r="AV188" s="198"/>
      <c r="AW188" s="198"/>
      <c r="AX188" s="198"/>
      <c r="AY188" s="198"/>
      <c r="AZ188" s="198"/>
      <c r="BA188" s="198"/>
      <c r="BB188" s="198"/>
    </row>
    <row r="189" spans="38:54" ht="13.5" customHeight="1" x14ac:dyDescent="0.3">
      <c r="AL189" s="221"/>
      <c r="AM189" s="198"/>
      <c r="AN189" s="198"/>
      <c r="AO189" s="198"/>
      <c r="AP189" s="198"/>
      <c r="AQ189" s="198"/>
      <c r="AR189" s="198"/>
      <c r="AS189" s="198"/>
      <c r="AT189" s="198"/>
      <c r="AU189" s="198"/>
      <c r="AV189" s="198"/>
      <c r="AW189" s="198"/>
      <c r="AX189" s="198"/>
      <c r="AY189" s="198"/>
      <c r="AZ189" s="198"/>
      <c r="BA189" s="198"/>
      <c r="BB189" s="198"/>
    </row>
    <row r="190" spans="38:54" ht="13.5" customHeight="1" x14ac:dyDescent="0.3">
      <c r="AL190" s="221"/>
      <c r="AM190" s="198"/>
      <c r="AN190" s="198"/>
      <c r="AO190" s="198"/>
      <c r="AP190" s="198"/>
      <c r="AQ190" s="198"/>
      <c r="AR190" s="198"/>
      <c r="AS190" s="198"/>
      <c r="AT190" s="198"/>
      <c r="AU190" s="198"/>
      <c r="AV190" s="198"/>
      <c r="AW190" s="198"/>
      <c r="AX190" s="198"/>
      <c r="AY190" s="198"/>
      <c r="AZ190" s="198"/>
      <c r="BA190" s="198"/>
      <c r="BB190" s="198"/>
    </row>
    <row r="191" spans="38:54" ht="13.5" customHeight="1" x14ac:dyDescent="0.3">
      <c r="AL191" s="221"/>
      <c r="AM191" s="198"/>
      <c r="AN191" s="198"/>
      <c r="AO191" s="198"/>
      <c r="AP191" s="198"/>
      <c r="AQ191" s="198"/>
      <c r="AR191" s="198"/>
      <c r="AS191" s="198"/>
      <c r="AT191" s="198"/>
      <c r="AU191" s="198"/>
      <c r="AV191" s="198"/>
      <c r="AW191" s="198"/>
      <c r="AX191" s="198"/>
      <c r="AY191" s="198"/>
      <c r="AZ191" s="198"/>
      <c r="BA191" s="198"/>
      <c r="BB191" s="198"/>
    </row>
    <row r="192" spans="38:54" ht="13.5" customHeight="1" x14ac:dyDescent="0.3">
      <c r="AL192" s="221"/>
      <c r="AM192" s="198"/>
      <c r="AN192" s="198"/>
      <c r="AO192" s="198"/>
      <c r="AP192" s="198"/>
      <c r="AQ192" s="198"/>
      <c r="AR192" s="198"/>
      <c r="AS192" s="198"/>
      <c r="AT192" s="198"/>
      <c r="AU192" s="198"/>
      <c r="AV192" s="198"/>
      <c r="AW192" s="198"/>
      <c r="AX192" s="198"/>
      <c r="AY192" s="198"/>
      <c r="AZ192" s="198"/>
      <c r="BA192" s="198"/>
      <c r="BB192" s="198"/>
    </row>
    <row r="193" spans="38:54" ht="13.5" customHeight="1" x14ac:dyDescent="0.3">
      <c r="AL193" s="221"/>
      <c r="AM193" s="198"/>
      <c r="AN193" s="198"/>
      <c r="AO193" s="198"/>
      <c r="AP193" s="198"/>
      <c r="AQ193" s="198"/>
      <c r="AR193" s="198"/>
      <c r="AS193" s="198"/>
      <c r="AT193" s="198"/>
      <c r="AU193" s="198"/>
      <c r="AV193" s="198"/>
      <c r="AW193" s="198"/>
      <c r="AX193" s="198"/>
      <c r="AY193" s="198"/>
      <c r="AZ193" s="198"/>
      <c r="BA193" s="198"/>
      <c r="BB193" s="198"/>
    </row>
    <row r="194" spans="38:54" ht="13.5" customHeight="1" x14ac:dyDescent="0.3">
      <c r="AL194" s="221"/>
      <c r="AM194" s="198"/>
      <c r="AN194" s="198"/>
      <c r="AO194" s="198"/>
      <c r="AP194" s="198"/>
      <c r="AQ194" s="198"/>
      <c r="AR194" s="198"/>
      <c r="AS194" s="198"/>
      <c r="AT194" s="198"/>
      <c r="AU194" s="198"/>
      <c r="AV194" s="198"/>
      <c r="AW194" s="198"/>
      <c r="AX194" s="198"/>
      <c r="AY194" s="198"/>
      <c r="AZ194" s="198"/>
      <c r="BA194" s="198"/>
      <c r="BB194" s="198"/>
    </row>
    <row r="195" spans="38:54" ht="13.5" customHeight="1" x14ac:dyDescent="0.3">
      <c r="AL195" s="221"/>
      <c r="AM195" s="198"/>
      <c r="AN195" s="198"/>
      <c r="AO195" s="198"/>
      <c r="AP195" s="198"/>
      <c r="AQ195" s="198"/>
      <c r="AR195" s="198"/>
      <c r="AS195" s="198"/>
      <c r="AT195" s="198"/>
      <c r="AU195" s="198"/>
      <c r="AV195" s="198"/>
      <c r="AW195" s="198"/>
      <c r="AX195" s="198"/>
      <c r="AY195" s="198"/>
      <c r="AZ195" s="198"/>
      <c r="BA195" s="198"/>
      <c r="BB195" s="198"/>
    </row>
    <row r="196" spans="38:54" ht="13.5" customHeight="1" x14ac:dyDescent="0.3">
      <c r="AL196" s="221"/>
      <c r="AM196" s="198"/>
      <c r="AN196" s="198"/>
      <c r="AO196" s="198"/>
      <c r="AP196" s="198"/>
      <c r="AQ196" s="198"/>
      <c r="AR196" s="198"/>
      <c r="AS196" s="198"/>
      <c r="AT196" s="198"/>
      <c r="AU196" s="198"/>
      <c r="AV196" s="198"/>
      <c r="AW196" s="198"/>
      <c r="AX196" s="198"/>
      <c r="AY196" s="198"/>
      <c r="AZ196" s="198"/>
      <c r="BA196" s="198"/>
      <c r="BB196" s="198"/>
    </row>
    <row r="197" spans="38:54" ht="13.5" customHeight="1" x14ac:dyDescent="0.3">
      <c r="AL197" s="221"/>
      <c r="AM197" s="198"/>
      <c r="AN197" s="198"/>
      <c r="AO197" s="198"/>
      <c r="AP197" s="198"/>
      <c r="AQ197" s="198"/>
      <c r="AR197" s="198"/>
      <c r="AS197" s="198"/>
      <c r="AT197" s="198"/>
      <c r="AU197" s="198"/>
      <c r="AV197" s="198"/>
      <c r="AW197" s="198"/>
      <c r="AX197" s="198"/>
      <c r="AY197" s="198"/>
      <c r="AZ197" s="198"/>
      <c r="BA197" s="198"/>
      <c r="BB197" s="198"/>
    </row>
    <row r="198" spans="38:54" ht="13.5" customHeight="1" x14ac:dyDescent="0.3">
      <c r="AL198" s="221"/>
      <c r="AM198" s="198"/>
      <c r="AN198" s="198"/>
      <c r="AO198" s="198"/>
      <c r="AP198" s="198"/>
      <c r="AQ198" s="198"/>
      <c r="AR198" s="198"/>
      <c r="AS198" s="198"/>
      <c r="AT198" s="198"/>
      <c r="AU198" s="198"/>
      <c r="AV198" s="198"/>
      <c r="AW198" s="198"/>
      <c r="AX198" s="198"/>
      <c r="AY198" s="198"/>
      <c r="AZ198" s="198"/>
      <c r="BA198" s="198"/>
      <c r="BB198" s="198"/>
    </row>
    <row r="199" spans="38:54" ht="13.5" customHeight="1" x14ac:dyDescent="0.3">
      <c r="AL199" s="221"/>
      <c r="AM199" s="198"/>
      <c r="AN199" s="198"/>
      <c r="AO199" s="198"/>
      <c r="AP199" s="198"/>
      <c r="AQ199" s="198"/>
      <c r="AR199" s="198"/>
      <c r="AS199" s="198"/>
      <c r="AT199" s="198"/>
      <c r="AU199" s="198"/>
      <c r="AV199" s="198"/>
      <c r="AW199" s="198"/>
      <c r="AX199" s="198"/>
      <c r="AY199" s="198"/>
      <c r="AZ199" s="198"/>
      <c r="BA199" s="198"/>
      <c r="BB199" s="198"/>
    </row>
    <row r="200" spans="38:54" ht="13.5" customHeight="1" x14ac:dyDescent="0.3">
      <c r="AL200" s="221"/>
      <c r="AM200" s="198"/>
      <c r="AN200" s="198"/>
      <c r="AO200" s="198"/>
      <c r="AP200" s="198"/>
      <c r="AQ200" s="198"/>
      <c r="AR200" s="198"/>
      <c r="AS200" s="198"/>
      <c r="AT200" s="198"/>
      <c r="AU200" s="198"/>
      <c r="AV200" s="198"/>
      <c r="AW200" s="198"/>
      <c r="AX200" s="198"/>
      <c r="AY200" s="198"/>
      <c r="AZ200" s="198"/>
      <c r="BA200" s="198"/>
      <c r="BB200" s="198"/>
    </row>
    <row r="201" spans="38:54" ht="13.5" customHeight="1" x14ac:dyDescent="0.3">
      <c r="AL201" s="221"/>
      <c r="AM201" s="198"/>
      <c r="AN201" s="198"/>
      <c r="AO201" s="198"/>
      <c r="AP201" s="198"/>
      <c r="AQ201" s="198"/>
      <c r="AR201" s="198"/>
      <c r="AS201" s="198"/>
      <c r="AT201" s="198"/>
      <c r="AU201" s="198"/>
      <c r="AV201" s="198"/>
      <c r="AW201" s="198"/>
      <c r="AX201" s="198"/>
      <c r="AY201" s="198"/>
      <c r="AZ201" s="198"/>
      <c r="BA201" s="198"/>
      <c r="BB201" s="198"/>
    </row>
    <row r="202" spans="38:54" ht="13.5" customHeight="1" x14ac:dyDescent="0.3">
      <c r="AL202" s="221"/>
      <c r="AM202" s="198"/>
      <c r="AN202" s="198"/>
      <c r="AO202" s="198"/>
      <c r="AP202" s="198"/>
      <c r="AQ202" s="198"/>
      <c r="AR202" s="198"/>
      <c r="AS202" s="198"/>
      <c r="AT202" s="198"/>
      <c r="AU202" s="198"/>
      <c r="AV202" s="198"/>
      <c r="AW202" s="198"/>
      <c r="AX202" s="198"/>
      <c r="AY202" s="198"/>
      <c r="AZ202" s="198"/>
      <c r="BA202" s="198"/>
      <c r="BB202" s="198"/>
    </row>
    <row r="203" spans="38:54" ht="13.5" customHeight="1" x14ac:dyDescent="0.3">
      <c r="AL203" s="221"/>
      <c r="AM203" s="198"/>
      <c r="AN203" s="198"/>
      <c r="AO203" s="198"/>
      <c r="AP203" s="198"/>
      <c r="AQ203" s="198"/>
      <c r="AR203" s="198"/>
      <c r="AS203" s="198"/>
      <c r="AT203" s="198"/>
      <c r="AU203" s="198"/>
      <c r="AV203" s="198"/>
      <c r="AW203" s="198"/>
      <c r="AX203" s="198"/>
      <c r="AY203" s="198"/>
      <c r="AZ203" s="198"/>
      <c r="BA203" s="198"/>
      <c r="BB203" s="198"/>
    </row>
    <row r="204" spans="38:54" ht="13.5" customHeight="1" x14ac:dyDescent="0.3">
      <c r="AL204" s="221"/>
      <c r="AM204" s="198"/>
      <c r="AN204" s="198"/>
      <c r="AO204" s="198"/>
      <c r="AP204" s="198"/>
      <c r="AQ204" s="198"/>
      <c r="AR204" s="198"/>
      <c r="AS204" s="198"/>
      <c r="AT204" s="198"/>
      <c r="AU204" s="198"/>
      <c r="AV204" s="198"/>
      <c r="AW204" s="198"/>
      <c r="AX204" s="198"/>
      <c r="AY204" s="198"/>
      <c r="AZ204" s="198"/>
      <c r="BA204" s="198"/>
      <c r="BB204" s="198"/>
    </row>
    <row r="205" spans="38:54" ht="13.5" customHeight="1" x14ac:dyDescent="0.3">
      <c r="AL205" s="221"/>
      <c r="AM205" s="198"/>
      <c r="AN205" s="198"/>
      <c r="AO205" s="198"/>
      <c r="AP205" s="198"/>
      <c r="AQ205" s="198"/>
      <c r="AR205" s="198"/>
      <c r="AS205" s="198"/>
      <c r="AT205" s="198"/>
      <c r="AU205" s="198"/>
      <c r="AV205" s="198"/>
      <c r="AW205" s="198"/>
      <c r="AX205" s="198"/>
      <c r="AY205" s="198"/>
      <c r="AZ205" s="198"/>
      <c r="BA205" s="198"/>
      <c r="BB205" s="198"/>
    </row>
    <row r="206" spans="38:54" ht="13.5" customHeight="1" x14ac:dyDescent="0.3">
      <c r="AL206" s="221"/>
      <c r="AM206" s="198"/>
      <c r="AN206" s="198"/>
      <c r="AO206" s="198"/>
      <c r="AP206" s="198"/>
      <c r="AQ206" s="198"/>
      <c r="AR206" s="198"/>
      <c r="AS206" s="198"/>
      <c r="AT206" s="198"/>
      <c r="AU206" s="198"/>
      <c r="AV206" s="198"/>
      <c r="AW206" s="198"/>
      <c r="AX206" s="198"/>
      <c r="AY206" s="198"/>
      <c r="AZ206" s="198"/>
      <c r="BA206" s="198"/>
      <c r="BB206" s="198"/>
    </row>
    <row r="207" spans="38:54" ht="13.5" customHeight="1" x14ac:dyDescent="0.3">
      <c r="AL207" s="221"/>
      <c r="AM207" s="198"/>
      <c r="AN207" s="198"/>
      <c r="AO207" s="198"/>
      <c r="AP207" s="198"/>
      <c r="AQ207" s="198"/>
      <c r="AR207" s="198"/>
      <c r="AS207" s="198"/>
      <c r="AT207" s="198"/>
      <c r="AU207" s="198"/>
      <c r="AV207" s="198"/>
      <c r="AW207" s="198"/>
      <c r="AX207" s="198"/>
      <c r="AY207" s="198"/>
      <c r="AZ207" s="198"/>
      <c r="BA207" s="198"/>
      <c r="BB207" s="198"/>
    </row>
    <row r="208" spans="38:54" ht="13.5" customHeight="1" x14ac:dyDescent="0.3">
      <c r="AL208" s="221"/>
      <c r="AM208" s="198"/>
      <c r="AN208" s="198"/>
      <c r="AO208" s="198"/>
      <c r="AP208" s="198"/>
      <c r="AQ208" s="198"/>
      <c r="AR208" s="198"/>
      <c r="AS208" s="198"/>
      <c r="AT208" s="198"/>
      <c r="AU208" s="198"/>
      <c r="AV208" s="198"/>
      <c r="AW208" s="198"/>
      <c r="AX208" s="198"/>
      <c r="AY208" s="198"/>
      <c r="AZ208" s="198"/>
      <c r="BA208" s="198"/>
      <c r="BB208" s="198"/>
    </row>
    <row r="209" spans="38:54" ht="13.5" customHeight="1" x14ac:dyDescent="0.3">
      <c r="AL209" s="221"/>
      <c r="AM209" s="198"/>
      <c r="AN209" s="198"/>
      <c r="AO209" s="198"/>
      <c r="AP209" s="198"/>
      <c r="AQ209" s="198"/>
      <c r="AR209" s="198"/>
      <c r="AS209" s="198"/>
      <c r="AT209" s="198"/>
      <c r="AU209" s="198"/>
      <c r="AV209" s="198"/>
      <c r="AW209" s="198"/>
      <c r="AX209" s="198"/>
      <c r="AY209" s="198"/>
      <c r="AZ209" s="198"/>
      <c r="BA209" s="198"/>
      <c r="BB209" s="198"/>
    </row>
    <row r="210" spans="38:54" ht="13.5" customHeight="1" x14ac:dyDescent="0.3">
      <c r="AL210" s="221"/>
      <c r="AM210" s="198"/>
      <c r="AN210" s="198"/>
      <c r="AO210" s="198"/>
      <c r="AP210" s="198"/>
      <c r="AQ210" s="198"/>
      <c r="AR210" s="198"/>
      <c r="AS210" s="198"/>
      <c r="AT210" s="198"/>
      <c r="AU210" s="198"/>
      <c r="AV210" s="198"/>
      <c r="AW210" s="198"/>
      <c r="AX210" s="198"/>
      <c r="AY210" s="198"/>
      <c r="AZ210" s="198"/>
      <c r="BA210" s="198"/>
      <c r="BB210" s="198"/>
    </row>
    <row r="211" spans="38:54" ht="13.5" customHeight="1" x14ac:dyDescent="0.3">
      <c r="AL211" s="221"/>
      <c r="AM211" s="198"/>
      <c r="AN211" s="198"/>
      <c r="AO211" s="198"/>
      <c r="AP211" s="198"/>
      <c r="AQ211" s="198"/>
      <c r="AR211" s="198"/>
      <c r="AS211" s="198"/>
      <c r="AT211" s="198"/>
      <c r="AU211" s="198"/>
      <c r="AV211" s="198"/>
      <c r="AW211" s="198"/>
      <c r="AX211" s="198"/>
      <c r="AY211" s="198"/>
      <c r="AZ211" s="198"/>
      <c r="BA211" s="198"/>
      <c r="BB211" s="198"/>
    </row>
    <row r="212" spans="38:54" ht="13.5" customHeight="1" x14ac:dyDescent="0.3">
      <c r="AL212" s="221"/>
      <c r="AM212" s="198"/>
      <c r="AN212" s="198"/>
      <c r="AO212" s="198"/>
      <c r="AP212" s="198"/>
      <c r="AQ212" s="198"/>
      <c r="AR212" s="198"/>
      <c r="AS212" s="198"/>
      <c r="AT212" s="198"/>
      <c r="AU212" s="198"/>
      <c r="AV212" s="198"/>
      <c r="AW212" s="198"/>
      <c r="AX212" s="198"/>
      <c r="AY212" s="198"/>
      <c r="AZ212" s="198"/>
      <c r="BA212" s="198"/>
      <c r="BB212" s="198"/>
    </row>
    <row r="213" spans="38:54" ht="13.5" customHeight="1" x14ac:dyDescent="0.3">
      <c r="AL213" s="221"/>
      <c r="AM213" s="198"/>
      <c r="AN213" s="198"/>
      <c r="AO213" s="198"/>
      <c r="AP213" s="198"/>
      <c r="AQ213" s="198"/>
      <c r="AR213" s="198"/>
      <c r="AS213" s="198"/>
      <c r="AT213" s="198"/>
      <c r="AU213" s="198"/>
      <c r="AV213" s="198"/>
      <c r="AW213" s="198"/>
      <c r="AX213" s="198"/>
      <c r="AY213" s="198"/>
      <c r="AZ213" s="198"/>
      <c r="BA213" s="198"/>
      <c r="BB213" s="198"/>
    </row>
    <row r="214" spans="38:54" ht="13.5" customHeight="1" x14ac:dyDescent="0.3">
      <c r="AL214" s="221"/>
      <c r="AM214" s="198"/>
      <c r="AN214" s="198"/>
      <c r="AO214" s="198"/>
      <c r="AP214" s="198"/>
      <c r="AQ214" s="198"/>
      <c r="AR214" s="198"/>
      <c r="AS214" s="198"/>
      <c r="AT214" s="198"/>
      <c r="AU214" s="198"/>
      <c r="AV214" s="198"/>
      <c r="AW214" s="198"/>
      <c r="AX214" s="198"/>
      <c r="AY214" s="198"/>
      <c r="AZ214" s="198"/>
      <c r="BA214" s="198"/>
      <c r="BB214" s="198"/>
    </row>
    <row r="215" spans="38:54" ht="13.5" customHeight="1" x14ac:dyDescent="0.3">
      <c r="AL215" s="221"/>
      <c r="AM215" s="198"/>
      <c r="AN215" s="198"/>
      <c r="AO215" s="198"/>
      <c r="AP215" s="198"/>
      <c r="AQ215" s="198"/>
      <c r="AR215" s="198"/>
      <c r="AS215" s="198"/>
      <c r="AT215" s="198"/>
      <c r="AU215" s="198"/>
      <c r="AV215" s="198"/>
      <c r="AW215" s="198"/>
      <c r="AX215" s="198"/>
      <c r="AY215" s="198"/>
      <c r="AZ215" s="198"/>
      <c r="BA215" s="198"/>
      <c r="BB215" s="198"/>
    </row>
    <row r="216" spans="38:54" ht="13.5" customHeight="1" x14ac:dyDescent="0.3">
      <c r="AL216" s="221"/>
      <c r="AM216" s="198"/>
      <c r="AN216" s="198"/>
      <c r="AO216" s="198"/>
      <c r="AP216" s="198"/>
      <c r="AQ216" s="198"/>
      <c r="AR216" s="198"/>
      <c r="AS216" s="198"/>
      <c r="AT216" s="198"/>
      <c r="AU216" s="198"/>
      <c r="AV216" s="198"/>
      <c r="AW216" s="198"/>
      <c r="AX216" s="198"/>
      <c r="AY216" s="198"/>
      <c r="AZ216" s="198"/>
      <c r="BA216" s="198"/>
      <c r="BB216" s="198"/>
    </row>
    <row r="217" spans="38:54" ht="13.5" customHeight="1" x14ac:dyDescent="0.3">
      <c r="AL217" s="221"/>
      <c r="AM217" s="198"/>
      <c r="AN217" s="198"/>
      <c r="AO217" s="198"/>
      <c r="AP217" s="198"/>
      <c r="AQ217" s="198"/>
      <c r="AR217" s="198"/>
      <c r="AS217" s="198"/>
      <c r="AT217" s="198"/>
      <c r="AU217" s="198"/>
      <c r="AV217" s="198"/>
      <c r="AW217" s="198"/>
      <c r="AX217" s="198"/>
      <c r="AY217" s="198"/>
      <c r="AZ217" s="198"/>
      <c r="BA217" s="198"/>
      <c r="BB217" s="198"/>
    </row>
    <row r="218" spans="38:54" ht="13.5" customHeight="1" x14ac:dyDescent="0.3">
      <c r="AL218" s="221"/>
      <c r="AM218" s="198"/>
      <c r="AN218" s="198"/>
      <c r="AO218" s="198"/>
      <c r="AP218" s="198"/>
      <c r="AQ218" s="198"/>
      <c r="AR218" s="198"/>
      <c r="AS218" s="198"/>
      <c r="AT218" s="198"/>
      <c r="AU218" s="198"/>
      <c r="AV218" s="198"/>
      <c r="AW218" s="198"/>
      <c r="AX218" s="198"/>
      <c r="AY218" s="198"/>
      <c r="AZ218" s="198"/>
      <c r="BA218" s="198"/>
      <c r="BB218" s="198"/>
    </row>
    <row r="219" spans="38:54" ht="13.5" customHeight="1" x14ac:dyDescent="0.3">
      <c r="AL219" s="221"/>
      <c r="AM219" s="198"/>
      <c r="AN219" s="198"/>
      <c r="AO219" s="198"/>
      <c r="AP219" s="198"/>
      <c r="AQ219" s="198"/>
      <c r="AR219" s="198"/>
      <c r="AS219" s="198"/>
      <c r="AT219" s="198"/>
      <c r="AU219" s="198"/>
      <c r="AV219" s="198"/>
      <c r="AW219" s="198"/>
      <c r="AX219" s="198"/>
      <c r="AY219" s="198"/>
      <c r="AZ219" s="198"/>
      <c r="BA219" s="198"/>
      <c r="BB219" s="198"/>
    </row>
    <row r="220" spans="38:54" ht="13.5" customHeight="1" x14ac:dyDescent="0.3">
      <c r="AL220" s="221"/>
      <c r="AM220" s="198"/>
      <c r="AN220" s="198"/>
      <c r="AO220" s="198"/>
      <c r="AP220" s="198"/>
      <c r="AQ220" s="198"/>
      <c r="AR220" s="198"/>
      <c r="AS220" s="198"/>
      <c r="AT220" s="198"/>
      <c r="AU220" s="198"/>
      <c r="AV220" s="198"/>
      <c r="AW220" s="198"/>
      <c r="AX220" s="198"/>
      <c r="AY220" s="198"/>
      <c r="AZ220" s="198"/>
      <c r="BA220" s="198"/>
      <c r="BB220" s="198"/>
    </row>
    <row r="221" spans="38:54" ht="13.5" customHeight="1" x14ac:dyDescent="0.3">
      <c r="AL221" s="221"/>
      <c r="AM221" s="198"/>
      <c r="AN221" s="198"/>
      <c r="AO221" s="198"/>
      <c r="AP221" s="198"/>
      <c r="AQ221" s="198"/>
      <c r="AR221" s="198"/>
      <c r="AS221" s="198"/>
      <c r="AT221" s="198"/>
      <c r="AU221" s="198"/>
      <c r="AV221" s="198"/>
      <c r="AW221" s="198"/>
      <c r="AX221" s="198"/>
      <c r="AY221" s="198"/>
      <c r="AZ221" s="198"/>
      <c r="BA221" s="198"/>
      <c r="BB221" s="198"/>
    </row>
    <row r="222" spans="38:54" ht="13.5" customHeight="1" x14ac:dyDescent="0.3">
      <c r="AL222" s="221"/>
      <c r="AM222" s="198"/>
      <c r="AN222" s="198"/>
      <c r="AO222" s="198"/>
      <c r="AP222" s="198"/>
      <c r="AQ222" s="198"/>
      <c r="AR222" s="198"/>
      <c r="AS222" s="198"/>
      <c r="AT222" s="198"/>
      <c r="AU222" s="198"/>
      <c r="AV222" s="198"/>
      <c r="AW222" s="198"/>
      <c r="AX222" s="198"/>
      <c r="AY222" s="198"/>
      <c r="AZ222" s="198"/>
      <c r="BA222" s="198"/>
      <c r="BB222" s="198"/>
    </row>
    <row r="223" spans="38:54" ht="13.5" customHeight="1" x14ac:dyDescent="0.3">
      <c r="AL223" s="221"/>
      <c r="AM223" s="198"/>
      <c r="AN223" s="198"/>
      <c r="AO223" s="198"/>
      <c r="AP223" s="198"/>
      <c r="AQ223" s="198"/>
      <c r="AR223" s="198"/>
      <c r="AS223" s="198"/>
      <c r="AT223" s="198"/>
      <c r="AU223" s="198"/>
      <c r="AV223" s="198"/>
      <c r="AW223" s="198"/>
      <c r="AX223" s="198"/>
      <c r="AY223" s="198"/>
      <c r="AZ223" s="198"/>
      <c r="BA223" s="198"/>
      <c r="BB223" s="198"/>
    </row>
    <row r="224" spans="38:54" ht="13.5" customHeight="1" x14ac:dyDescent="0.3">
      <c r="AL224" s="221"/>
      <c r="AM224" s="198"/>
      <c r="AN224" s="198"/>
      <c r="AO224" s="198"/>
      <c r="AP224" s="198"/>
      <c r="AQ224" s="198"/>
      <c r="AR224" s="198"/>
      <c r="AS224" s="198"/>
      <c r="AT224" s="198"/>
      <c r="AU224" s="198"/>
      <c r="AV224" s="198"/>
      <c r="AW224" s="198"/>
      <c r="AX224" s="198"/>
      <c r="AY224" s="198"/>
      <c r="AZ224" s="198"/>
      <c r="BA224" s="198"/>
      <c r="BB224" s="198"/>
    </row>
    <row r="225" spans="38:54" ht="13.5" customHeight="1" x14ac:dyDescent="0.3">
      <c r="AL225" s="221"/>
      <c r="AM225" s="198"/>
      <c r="AN225" s="198"/>
      <c r="AO225" s="198"/>
      <c r="AP225" s="198"/>
      <c r="AQ225" s="198"/>
      <c r="AR225" s="198"/>
      <c r="AS225" s="198"/>
      <c r="AT225" s="198"/>
      <c r="AU225" s="198"/>
      <c r="AV225" s="198"/>
      <c r="AW225" s="198"/>
      <c r="AX225" s="198"/>
      <c r="AY225" s="198"/>
      <c r="AZ225" s="198"/>
      <c r="BA225" s="198"/>
      <c r="BB225" s="198"/>
    </row>
    <row r="226" spans="38:54" ht="13.5" customHeight="1" x14ac:dyDescent="0.3">
      <c r="AL226" s="221"/>
      <c r="AM226" s="198"/>
      <c r="AN226" s="198"/>
      <c r="AO226" s="198"/>
      <c r="AP226" s="198"/>
      <c r="AQ226" s="198"/>
      <c r="AR226" s="198"/>
      <c r="AS226" s="198"/>
      <c r="AT226" s="198"/>
      <c r="AU226" s="198"/>
      <c r="AV226" s="198"/>
      <c r="AW226" s="198"/>
      <c r="AX226" s="198"/>
      <c r="AY226" s="198"/>
      <c r="AZ226" s="198"/>
      <c r="BA226" s="198"/>
      <c r="BB226" s="198"/>
    </row>
    <row r="227" spans="38:54" ht="13.5" customHeight="1" x14ac:dyDescent="0.3">
      <c r="AL227" s="221"/>
      <c r="AM227" s="198"/>
      <c r="AN227" s="198"/>
      <c r="AO227" s="198"/>
      <c r="AP227" s="198"/>
      <c r="AQ227" s="198"/>
      <c r="AR227" s="198"/>
      <c r="AS227" s="198"/>
      <c r="AT227" s="198"/>
      <c r="AU227" s="198"/>
      <c r="AV227" s="198"/>
      <c r="AW227" s="198"/>
      <c r="AX227" s="198"/>
      <c r="AY227" s="198"/>
      <c r="AZ227" s="198"/>
      <c r="BA227" s="198"/>
      <c r="BB227" s="198"/>
    </row>
    <row r="228" spans="38:54" ht="13.5" customHeight="1" x14ac:dyDescent="0.3">
      <c r="AL228" s="221"/>
      <c r="AM228" s="198"/>
      <c r="AN228" s="198"/>
      <c r="AO228" s="198"/>
      <c r="AP228" s="198"/>
      <c r="AQ228" s="198"/>
      <c r="AR228" s="198"/>
      <c r="AS228" s="198"/>
      <c r="AT228" s="198"/>
      <c r="AU228" s="198"/>
      <c r="AV228" s="198"/>
      <c r="AW228" s="198"/>
      <c r="AX228" s="198"/>
      <c r="AY228" s="198"/>
      <c r="AZ228" s="198"/>
      <c r="BA228" s="198"/>
      <c r="BB228" s="198"/>
    </row>
    <row r="229" spans="38:54" ht="13.5" customHeight="1" x14ac:dyDescent="0.3">
      <c r="AL229" s="221"/>
      <c r="AM229" s="198"/>
      <c r="AN229" s="198"/>
      <c r="AO229" s="198"/>
      <c r="AP229" s="198"/>
      <c r="AQ229" s="198"/>
      <c r="AR229" s="198"/>
      <c r="AS229" s="198"/>
      <c r="AT229" s="198"/>
      <c r="AU229" s="198"/>
      <c r="AV229" s="198"/>
      <c r="AW229" s="198"/>
      <c r="AX229" s="198"/>
      <c r="AY229" s="198"/>
      <c r="AZ229" s="198"/>
      <c r="BA229" s="198"/>
      <c r="BB229" s="198"/>
    </row>
    <row r="230" spans="38:54" ht="13.5" customHeight="1" x14ac:dyDescent="0.3">
      <c r="AL230" s="221"/>
      <c r="AM230" s="198"/>
      <c r="AN230" s="198"/>
      <c r="AO230" s="198"/>
      <c r="AP230" s="198"/>
      <c r="AQ230" s="198"/>
      <c r="AR230" s="198"/>
      <c r="AS230" s="198"/>
      <c r="AT230" s="198"/>
      <c r="AU230" s="198"/>
      <c r="AV230" s="198"/>
      <c r="AW230" s="198"/>
      <c r="AX230" s="198"/>
      <c r="AY230" s="198"/>
      <c r="AZ230" s="198"/>
      <c r="BA230" s="198"/>
      <c r="BB230" s="198"/>
    </row>
    <row r="231" spans="38:54" ht="13.5" customHeight="1" x14ac:dyDescent="0.3">
      <c r="AL231" s="221"/>
      <c r="AM231" s="198"/>
      <c r="AN231" s="198"/>
      <c r="AO231" s="198"/>
      <c r="AP231" s="198"/>
      <c r="AQ231" s="198"/>
      <c r="AR231" s="198"/>
      <c r="AS231" s="198"/>
      <c r="AT231" s="198"/>
      <c r="AU231" s="198"/>
      <c r="AV231" s="198"/>
      <c r="AW231" s="198"/>
      <c r="AX231" s="198"/>
      <c r="AY231" s="198"/>
      <c r="AZ231" s="198"/>
      <c r="BA231" s="198"/>
      <c r="BB231" s="198"/>
    </row>
    <row r="232" spans="38:54" ht="13.5" customHeight="1" x14ac:dyDescent="0.3">
      <c r="AL232" s="221"/>
      <c r="AM232" s="198"/>
      <c r="AN232" s="198"/>
      <c r="AO232" s="198"/>
      <c r="AP232" s="198"/>
      <c r="AQ232" s="198"/>
      <c r="AR232" s="198"/>
      <c r="AS232" s="198"/>
      <c r="AT232" s="198"/>
      <c r="AU232" s="198"/>
      <c r="AV232" s="198"/>
      <c r="AW232" s="198"/>
      <c r="AX232" s="198"/>
      <c r="AY232" s="198"/>
      <c r="AZ232" s="198"/>
      <c r="BA232" s="198"/>
      <c r="BB232" s="198"/>
    </row>
    <row r="233" spans="38:54" ht="13.5" customHeight="1" x14ac:dyDescent="0.3">
      <c r="AL233" s="221"/>
      <c r="AM233" s="198"/>
      <c r="AN233" s="198"/>
      <c r="AO233" s="198"/>
      <c r="AP233" s="198"/>
      <c r="AQ233" s="198"/>
      <c r="AR233" s="198"/>
      <c r="AS233" s="198"/>
      <c r="AT233" s="198"/>
      <c r="AU233" s="198"/>
      <c r="AV233" s="198"/>
      <c r="AW233" s="198"/>
      <c r="AX233" s="198"/>
      <c r="AY233" s="198"/>
      <c r="AZ233" s="198"/>
      <c r="BA233" s="198"/>
      <c r="BB233" s="198"/>
    </row>
    <row r="234" spans="38:54" ht="13.5" customHeight="1" x14ac:dyDescent="0.3">
      <c r="AL234" s="221"/>
      <c r="AM234" s="198"/>
      <c r="AN234" s="198"/>
      <c r="AO234" s="198"/>
      <c r="AP234" s="198"/>
      <c r="AQ234" s="198"/>
      <c r="AR234" s="198"/>
      <c r="AS234" s="198"/>
      <c r="AT234" s="198"/>
      <c r="AU234" s="198"/>
      <c r="AV234" s="198"/>
      <c r="AW234" s="198"/>
      <c r="AX234" s="198"/>
      <c r="AY234" s="198"/>
      <c r="AZ234" s="198"/>
      <c r="BA234" s="198"/>
      <c r="BB234" s="198"/>
    </row>
    <row r="235" spans="38:54" ht="13.5" customHeight="1" x14ac:dyDescent="0.3">
      <c r="AL235" s="221"/>
      <c r="AM235" s="198"/>
      <c r="AN235" s="198"/>
      <c r="AO235" s="198"/>
      <c r="AP235" s="198"/>
      <c r="AQ235" s="198"/>
      <c r="AR235" s="198"/>
      <c r="AS235" s="198"/>
      <c r="AT235" s="198"/>
      <c r="AU235" s="198"/>
      <c r="AV235" s="198"/>
      <c r="AW235" s="198"/>
      <c r="AX235" s="198"/>
      <c r="AY235" s="198"/>
      <c r="AZ235" s="198"/>
      <c r="BA235" s="198"/>
      <c r="BB235" s="198"/>
    </row>
    <row r="236" spans="38:54" ht="13.5" customHeight="1" x14ac:dyDescent="0.3"/>
    <row r="237" spans="38:54" ht="13.5" customHeight="1" x14ac:dyDescent="0.3"/>
    <row r="238" spans="38:54" ht="13.5" customHeight="1" x14ac:dyDescent="0.3"/>
    <row r="239" spans="38:54" ht="13.5" customHeight="1" x14ac:dyDescent="0.3"/>
    <row r="240" spans="38:54" ht="13.5" customHeight="1" x14ac:dyDescent="0.3"/>
    <row r="241" ht="13.5" customHeight="1" x14ac:dyDescent="0.3"/>
    <row r="242" ht="13.5" customHeight="1" x14ac:dyDescent="0.3"/>
    <row r="243" ht="13.5" customHeight="1" x14ac:dyDescent="0.3"/>
    <row r="244" ht="13.5" customHeight="1" x14ac:dyDescent="0.3"/>
    <row r="245" ht="13.5" customHeight="1" x14ac:dyDescent="0.3"/>
    <row r="246" ht="13.5" customHeight="1" x14ac:dyDescent="0.3"/>
    <row r="247" ht="13.5" customHeight="1" x14ac:dyDescent="0.3"/>
    <row r="248" ht="13.5" customHeight="1" x14ac:dyDescent="0.3"/>
    <row r="249" ht="13.5" customHeight="1" x14ac:dyDescent="0.3"/>
    <row r="250" ht="13.5" customHeight="1" x14ac:dyDescent="0.3"/>
    <row r="251" ht="13.5" customHeight="1" x14ac:dyDescent="0.3"/>
    <row r="252" ht="13.5" customHeight="1" x14ac:dyDescent="0.3"/>
    <row r="253" ht="13.5" customHeight="1" x14ac:dyDescent="0.3"/>
    <row r="254" ht="13.5" customHeight="1" x14ac:dyDescent="0.3"/>
    <row r="255" ht="13.5" customHeight="1" x14ac:dyDescent="0.3"/>
    <row r="256" ht="13.5" customHeight="1" x14ac:dyDescent="0.3"/>
    <row r="257" ht="13.5" customHeight="1" x14ac:dyDescent="0.3"/>
    <row r="258" ht="13.5" customHeight="1" x14ac:dyDescent="0.3"/>
    <row r="259" ht="13.5" customHeight="1" x14ac:dyDescent="0.3"/>
    <row r="260" ht="13.5" customHeight="1" x14ac:dyDescent="0.3"/>
    <row r="261" ht="13.5" customHeight="1" x14ac:dyDescent="0.3"/>
    <row r="262" ht="13.5" customHeight="1" x14ac:dyDescent="0.3"/>
    <row r="263" ht="13.5" customHeight="1" x14ac:dyDescent="0.3"/>
    <row r="264" ht="13.5" customHeight="1" x14ac:dyDescent="0.3"/>
    <row r="265" ht="13.5" customHeight="1" x14ac:dyDescent="0.3"/>
    <row r="266" ht="13.5" customHeight="1" x14ac:dyDescent="0.3"/>
    <row r="267" ht="13.5" customHeight="1" x14ac:dyDescent="0.3"/>
    <row r="268" ht="13.5" customHeight="1" x14ac:dyDescent="0.3"/>
    <row r="269" ht="13.5" customHeight="1" x14ac:dyDescent="0.3"/>
    <row r="270" ht="13.5" customHeight="1" x14ac:dyDescent="0.3"/>
    <row r="271" ht="13.5" customHeight="1" x14ac:dyDescent="0.3"/>
    <row r="272" ht="13.5" customHeight="1" x14ac:dyDescent="0.3"/>
    <row r="273" ht="13.5" customHeight="1" x14ac:dyDescent="0.3"/>
    <row r="274" ht="13.5" customHeight="1" x14ac:dyDescent="0.3"/>
    <row r="275" ht="13.5" customHeight="1" x14ac:dyDescent="0.3"/>
    <row r="276" ht="13.5" customHeight="1" x14ac:dyDescent="0.3"/>
    <row r="277" ht="13.5" customHeight="1" x14ac:dyDescent="0.3"/>
    <row r="278" ht="13.5" customHeight="1" x14ac:dyDescent="0.3"/>
    <row r="279" ht="13.5" customHeight="1" x14ac:dyDescent="0.3"/>
    <row r="280" ht="13.5" customHeight="1" x14ac:dyDescent="0.3"/>
    <row r="281" ht="13.5" customHeight="1" x14ac:dyDescent="0.3"/>
    <row r="282" ht="13.5" customHeight="1" x14ac:dyDescent="0.3"/>
    <row r="283" ht="13.5" customHeight="1" x14ac:dyDescent="0.3"/>
    <row r="284" ht="13.5" customHeight="1" x14ac:dyDescent="0.3"/>
    <row r="285" ht="13.5" customHeight="1" x14ac:dyDescent="0.3"/>
    <row r="286" ht="13.5" customHeight="1" x14ac:dyDescent="0.3"/>
    <row r="287" ht="13.5" customHeight="1" x14ac:dyDescent="0.3"/>
    <row r="288" ht="13.5" customHeight="1" x14ac:dyDescent="0.3"/>
    <row r="289" ht="13.5" customHeight="1" x14ac:dyDescent="0.3"/>
    <row r="290" ht="13.5" customHeight="1" x14ac:dyDescent="0.3"/>
    <row r="291" ht="13.5" customHeight="1" x14ac:dyDescent="0.3"/>
    <row r="292" ht="13.5" customHeight="1" x14ac:dyDescent="0.3"/>
    <row r="293" ht="13.5" customHeight="1" x14ac:dyDescent="0.3"/>
    <row r="294" ht="13.5" customHeight="1" x14ac:dyDescent="0.3"/>
    <row r="295" ht="13.5" customHeight="1" x14ac:dyDescent="0.3"/>
    <row r="296" ht="13.5" customHeight="1" x14ac:dyDescent="0.3"/>
    <row r="297" ht="13.5" customHeight="1" x14ac:dyDescent="0.3"/>
    <row r="298" ht="13.5" customHeight="1" x14ac:dyDescent="0.3"/>
    <row r="299" ht="13.5" customHeight="1" x14ac:dyDescent="0.3"/>
    <row r="300" ht="13.5" customHeight="1" x14ac:dyDescent="0.3"/>
    <row r="301" ht="13.5" customHeight="1" x14ac:dyDescent="0.3"/>
    <row r="302" ht="13.5" customHeight="1" x14ac:dyDescent="0.3"/>
    <row r="303" ht="13.5" customHeight="1" x14ac:dyDescent="0.3"/>
    <row r="304" ht="13.5" customHeight="1" x14ac:dyDescent="0.3"/>
    <row r="305" ht="13.5" customHeight="1" x14ac:dyDescent="0.3"/>
    <row r="306" ht="13.5" customHeight="1" x14ac:dyDescent="0.3"/>
    <row r="307" ht="13.5" customHeight="1" x14ac:dyDescent="0.3"/>
    <row r="308" ht="13.5" customHeight="1" x14ac:dyDescent="0.3"/>
    <row r="309" ht="13.5" customHeight="1" x14ac:dyDescent="0.3"/>
    <row r="310" ht="13.5" customHeight="1" x14ac:dyDescent="0.3"/>
    <row r="311" ht="13.5" customHeight="1" x14ac:dyDescent="0.3"/>
    <row r="312" ht="13.5" customHeight="1" x14ac:dyDescent="0.3"/>
    <row r="313" ht="13.5" customHeight="1" x14ac:dyDescent="0.3"/>
    <row r="314" ht="13.5" customHeight="1" x14ac:dyDescent="0.3"/>
    <row r="315" ht="13.5" customHeight="1" x14ac:dyDescent="0.3"/>
    <row r="316" ht="13.5" customHeight="1" x14ac:dyDescent="0.3"/>
    <row r="317" ht="13.5" customHeight="1" x14ac:dyDescent="0.3"/>
    <row r="318" ht="13.5" customHeight="1" x14ac:dyDescent="0.3"/>
    <row r="319" ht="13.5" customHeight="1" x14ac:dyDescent="0.3"/>
    <row r="320" ht="13.5" customHeight="1" x14ac:dyDescent="0.3"/>
    <row r="321" ht="13.5" customHeight="1" x14ac:dyDescent="0.3"/>
    <row r="322" ht="13.5" customHeight="1" x14ac:dyDescent="0.3"/>
    <row r="323" ht="13.5" customHeight="1" x14ac:dyDescent="0.3"/>
    <row r="324" ht="13.5" customHeight="1" x14ac:dyDescent="0.3"/>
    <row r="325" ht="13.5" customHeight="1" x14ac:dyDescent="0.3"/>
    <row r="326" ht="13.5" customHeight="1" x14ac:dyDescent="0.3"/>
    <row r="327" ht="13.5" customHeight="1" x14ac:dyDescent="0.3"/>
    <row r="328" ht="13.5" customHeight="1" x14ac:dyDescent="0.3"/>
    <row r="329" ht="13.5" customHeight="1" x14ac:dyDescent="0.3"/>
    <row r="330" ht="13.5" customHeight="1" x14ac:dyDescent="0.3"/>
    <row r="331" ht="13.5" customHeight="1" x14ac:dyDescent="0.3"/>
    <row r="332" ht="13.5" customHeight="1" x14ac:dyDescent="0.3"/>
    <row r="333" ht="13.5" customHeight="1" x14ac:dyDescent="0.3"/>
    <row r="334" ht="13.5" customHeight="1" x14ac:dyDescent="0.3"/>
    <row r="335" ht="13.5" customHeight="1" x14ac:dyDescent="0.3"/>
    <row r="336" ht="13.5" customHeight="1" x14ac:dyDescent="0.3"/>
    <row r="337" ht="13.5" customHeight="1" x14ac:dyDescent="0.3"/>
    <row r="338" ht="13.5" customHeight="1" x14ac:dyDescent="0.3"/>
    <row r="339" ht="13.5" customHeight="1" x14ac:dyDescent="0.3"/>
    <row r="340" ht="13.5" customHeight="1" x14ac:dyDescent="0.3"/>
    <row r="341" ht="13.5" customHeight="1" x14ac:dyDescent="0.3"/>
    <row r="342" ht="13.5" customHeight="1" x14ac:dyDescent="0.3"/>
    <row r="343" ht="13.5" customHeight="1" x14ac:dyDescent="0.3"/>
    <row r="344" ht="13.5" customHeight="1" x14ac:dyDescent="0.3"/>
    <row r="345" ht="13.5" customHeight="1" x14ac:dyDescent="0.3"/>
    <row r="346" ht="13.5" customHeight="1" x14ac:dyDescent="0.3"/>
    <row r="347" ht="13.5" customHeight="1" x14ac:dyDescent="0.3"/>
    <row r="348" ht="13.5" customHeight="1" x14ac:dyDescent="0.3"/>
    <row r="349" ht="13.5" customHeight="1" x14ac:dyDescent="0.3"/>
    <row r="350" ht="13.5" customHeight="1" x14ac:dyDescent="0.3"/>
    <row r="351" ht="13.5" customHeight="1" x14ac:dyDescent="0.3"/>
    <row r="352" ht="13.5" customHeight="1" x14ac:dyDescent="0.3"/>
    <row r="353" ht="13.5" customHeight="1" x14ac:dyDescent="0.3"/>
    <row r="354" ht="13.5" customHeight="1" x14ac:dyDescent="0.3"/>
    <row r="355" ht="13.5" customHeight="1" x14ac:dyDescent="0.3"/>
    <row r="356" ht="13.5" customHeight="1" x14ac:dyDescent="0.3"/>
    <row r="357" ht="13.5" customHeight="1" x14ac:dyDescent="0.3"/>
    <row r="358" ht="13.5" customHeight="1" x14ac:dyDescent="0.3"/>
    <row r="359" ht="13.5" customHeight="1" x14ac:dyDescent="0.3"/>
    <row r="360" ht="13.5" customHeight="1" x14ac:dyDescent="0.3"/>
    <row r="361" ht="13.5" customHeight="1" x14ac:dyDescent="0.3"/>
    <row r="362" ht="13.5" customHeight="1" x14ac:dyDescent="0.3"/>
    <row r="363" ht="13.5" customHeight="1" x14ac:dyDescent="0.3"/>
    <row r="364" ht="13.5" customHeight="1" x14ac:dyDescent="0.3"/>
    <row r="365" ht="13.5" customHeight="1" x14ac:dyDescent="0.3"/>
    <row r="366" ht="13.5" customHeight="1" x14ac:dyDescent="0.3"/>
    <row r="367" ht="13.5" customHeight="1" x14ac:dyDescent="0.3"/>
    <row r="368" ht="13.5" customHeight="1" x14ac:dyDescent="0.3"/>
    <row r="369" ht="13.5" customHeight="1" x14ac:dyDescent="0.3"/>
    <row r="370" ht="13.5" customHeight="1" x14ac:dyDescent="0.3"/>
    <row r="371" ht="13.5" customHeight="1" x14ac:dyDescent="0.3"/>
    <row r="372" ht="13.5" customHeight="1" x14ac:dyDescent="0.3"/>
    <row r="373" ht="13.5" customHeight="1" x14ac:dyDescent="0.3"/>
    <row r="374" ht="13.5" customHeight="1" x14ac:dyDescent="0.3"/>
    <row r="375" ht="13.5" customHeight="1" x14ac:dyDescent="0.3"/>
    <row r="376" ht="13.5" customHeight="1" x14ac:dyDescent="0.3"/>
    <row r="377" ht="13.5" customHeight="1" x14ac:dyDescent="0.3"/>
    <row r="378" ht="13.5" customHeight="1" x14ac:dyDescent="0.3"/>
    <row r="379" ht="13.5" customHeight="1" x14ac:dyDescent="0.3"/>
    <row r="380" ht="13.5" customHeight="1" x14ac:dyDescent="0.3"/>
    <row r="381" ht="13.5" customHeight="1" x14ac:dyDescent="0.3"/>
    <row r="382" ht="13.5" customHeight="1" x14ac:dyDescent="0.3"/>
    <row r="383" ht="13.5" customHeight="1" x14ac:dyDescent="0.3"/>
    <row r="384" ht="13.5" customHeight="1" x14ac:dyDescent="0.3"/>
    <row r="385" ht="13.5" customHeight="1" x14ac:dyDescent="0.3"/>
    <row r="386" ht="13.5" customHeight="1" x14ac:dyDescent="0.3"/>
    <row r="387" ht="13.5" customHeight="1" x14ac:dyDescent="0.3"/>
    <row r="388" ht="13.5" customHeight="1" x14ac:dyDescent="0.3"/>
    <row r="389" ht="13.5" customHeight="1" x14ac:dyDescent="0.3"/>
    <row r="390" ht="13.5" customHeight="1" x14ac:dyDescent="0.3"/>
    <row r="391" ht="13.5" customHeight="1" x14ac:dyDescent="0.3"/>
    <row r="392" ht="13.5" customHeight="1" x14ac:dyDescent="0.3"/>
    <row r="393" ht="13.5" customHeight="1" x14ac:dyDescent="0.3"/>
    <row r="394" ht="13.5" customHeight="1" x14ac:dyDescent="0.3"/>
    <row r="395" ht="13.5" customHeight="1" x14ac:dyDescent="0.3"/>
    <row r="396" ht="13.5" customHeight="1" x14ac:dyDescent="0.3"/>
    <row r="397" ht="13.5" customHeight="1" x14ac:dyDescent="0.3"/>
    <row r="398" ht="13.5" customHeight="1" x14ac:dyDescent="0.3"/>
    <row r="399" ht="13.5" customHeight="1" x14ac:dyDescent="0.3"/>
    <row r="400" ht="13.5" customHeight="1" x14ac:dyDescent="0.3"/>
    <row r="401" ht="13.5" customHeight="1" x14ac:dyDescent="0.3"/>
    <row r="402" ht="13.5" customHeight="1" x14ac:dyDescent="0.3"/>
    <row r="403" ht="13.5" customHeight="1" x14ac:dyDescent="0.3"/>
    <row r="404" ht="13.5" customHeight="1" x14ac:dyDescent="0.3"/>
    <row r="405" ht="13.5" customHeight="1" x14ac:dyDescent="0.3"/>
    <row r="406" ht="13.5" customHeight="1" x14ac:dyDescent="0.3"/>
    <row r="407" ht="13.5" customHeight="1" x14ac:dyDescent="0.3"/>
    <row r="408" ht="13.5" customHeight="1" x14ac:dyDescent="0.3"/>
    <row r="409" ht="13.5" customHeight="1" x14ac:dyDescent="0.3"/>
    <row r="410" ht="13.5" customHeight="1" x14ac:dyDescent="0.3"/>
    <row r="411" ht="13.5" customHeight="1" x14ac:dyDescent="0.3"/>
    <row r="412" ht="13.5" customHeight="1" x14ac:dyDescent="0.3"/>
    <row r="413" ht="13.5" customHeight="1" x14ac:dyDescent="0.3"/>
    <row r="414" ht="13.5" customHeight="1" x14ac:dyDescent="0.3"/>
    <row r="415" ht="13.5" customHeight="1" x14ac:dyDescent="0.3"/>
    <row r="416" ht="13.5" customHeight="1" x14ac:dyDescent="0.3"/>
    <row r="417" ht="13.5" customHeight="1" x14ac:dyDescent="0.3"/>
    <row r="418" ht="13.5" customHeight="1" x14ac:dyDescent="0.3"/>
    <row r="419" ht="13.5" customHeight="1" x14ac:dyDescent="0.3"/>
    <row r="420" ht="13.5" customHeight="1" x14ac:dyDescent="0.3"/>
    <row r="421" ht="13.5" customHeight="1" x14ac:dyDescent="0.3"/>
    <row r="422" ht="13.5" customHeight="1" x14ac:dyDescent="0.3"/>
    <row r="423" ht="13.5" customHeight="1" x14ac:dyDescent="0.3"/>
    <row r="424" ht="13.5" customHeight="1" x14ac:dyDescent="0.3"/>
    <row r="425" ht="13.5" customHeight="1" x14ac:dyDescent="0.3"/>
    <row r="426" ht="13.5" customHeight="1" x14ac:dyDescent="0.3"/>
    <row r="427" ht="13.5" customHeight="1" x14ac:dyDescent="0.3"/>
    <row r="428" ht="13.5" customHeight="1" x14ac:dyDescent="0.3"/>
    <row r="429" ht="13.5" customHeight="1" x14ac:dyDescent="0.3"/>
    <row r="430" ht="13.5" customHeight="1" x14ac:dyDescent="0.3"/>
    <row r="431" ht="13.5" customHeight="1" x14ac:dyDescent="0.3"/>
    <row r="432" ht="13.5" customHeight="1" x14ac:dyDescent="0.3"/>
    <row r="433" ht="13.5" customHeight="1" x14ac:dyDescent="0.3"/>
    <row r="434" ht="13.5" customHeight="1" x14ac:dyDescent="0.3"/>
    <row r="435" ht="13.5" customHeight="1" x14ac:dyDescent="0.3"/>
    <row r="436" ht="13.5" customHeight="1" x14ac:dyDescent="0.3"/>
    <row r="437" ht="13.5" customHeight="1" x14ac:dyDescent="0.3"/>
    <row r="438" ht="13.5" customHeight="1" x14ac:dyDescent="0.3"/>
    <row r="439" ht="13.5" customHeight="1" x14ac:dyDescent="0.3"/>
    <row r="440" ht="13.5" customHeight="1" x14ac:dyDescent="0.3"/>
    <row r="441" ht="13.5" customHeight="1" x14ac:dyDescent="0.3"/>
    <row r="442" ht="13.5" customHeight="1" x14ac:dyDescent="0.3"/>
    <row r="443" ht="13.5" customHeight="1" x14ac:dyDescent="0.3"/>
    <row r="444" ht="13.5" customHeight="1" x14ac:dyDescent="0.3"/>
    <row r="445" ht="13.5" customHeight="1" x14ac:dyDescent="0.3"/>
    <row r="446" ht="13.5" customHeight="1" x14ac:dyDescent="0.3"/>
    <row r="447" ht="13.5" customHeight="1" x14ac:dyDescent="0.3"/>
    <row r="448" ht="13.5" customHeight="1" x14ac:dyDescent="0.3"/>
    <row r="449" ht="13.5" customHeight="1" x14ac:dyDescent="0.3"/>
    <row r="450" ht="13.5" customHeight="1" x14ac:dyDescent="0.3"/>
    <row r="451" ht="13.5" customHeight="1" x14ac:dyDescent="0.3"/>
    <row r="452" ht="13.5" customHeight="1" x14ac:dyDescent="0.3"/>
    <row r="453" ht="13.5" customHeight="1" x14ac:dyDescent="0.3"/>
    <row r="454" ht="13.5" customHeight="1" x14ac:dyDescent="0.3"/>
    <row r="455" ht="13.5" customHeight="1" x14ac:dyDescent="0.3"/>
    <row r="456" ht="13.5" customHeight="1" x14ac:dyDescent="0.3"/>
    <row r="457" ht="13.5" customHeight="1" x14ac:dyDescent="0.3"/>
    <row r="458" ht="13.5" customHeight="1" x14ac:dyDescent="0.3"/>
    <row r="459" ht="13.5" customHeight="1" x14ac:dyDescent="0.3"/>
    <row r="460" ht="13.5" customHeight="1" x14ac:dyDescent="0.3"/>
    <row r="461" ht="13.5" customHeight="1" x14ac:dyDescent="0.3"/>
    <row r="462" ht="13.5" customHeight="1" x14ac:dyDescent="0.3"/>
    <row r="463" ht="13.5" customHeight="1" x14ac:dyDescent="0.3"/>
    <row r="464" ht="13.5" customHeight="1" x14ac:dyDescent="0.3"/>
    <row r="465" ht="13.5" customHeight="1" x14ac:dyDescent="0.3"/>
    <row r="466" ht="13.5" customHeight="1" x14ac:dyDescent="0.3"/>
    <row r="467" ht="13.5" customHeight="1" x14ac:dyDescent="0.3"/>
    <row r="468" ht="13.5" customHeight="1" x14ac:dyDescent="0.3"/>
    <row r="469" ht="13.5" customHeight="1" x14ac:dyDescent="0.3"/>
    <row r="470" ht="13.5" customHeight="1" x14ac:dyDescent="0.3"/>
    <row r="471" ht="13.5" customHeight="1" x14ac:dyDescent="0.3"/>
    <row r="472" ht="13.5" customHeight="1" x14ac:dyDescent="0.3"/>
    <row r="473" ht="13.5" customHeight="1" x14ac:dyDescent="0.3"/>
    <row r="474" ht="13.5" customHeight="1" x14ac:dyDescent="0.3"/>
    <row r="475" ht="13.5" customHeight="1" x14ac:dyDescent="0.3"/>
    <row r="476" ht="13.5" customHeight="1" x14ac:dyDescent="0.3"/>
    <row r="477" ht="13.5" customHeight="1" x14ac:dyDescent="0.3"/>
    <row r="478" ht="13.5" customHeight="1" x14ac:dyDescent="0.3"/>
    <row r="479" ht="13.5" customHeight="1" x14ac:dyDescent="0.3"/>
    <row r="480" ht="13.5" customHeight="1" x14ac:dyDescent="0.3"/>
    <row r="481" ht="13.5" customHeight="1" x14ac:dyDescent="0.3"/>
    <row r="482" ht="13.5" customHeight="1" x14ac:dyDescent="0.3"/>
    <row r="483" ht="13.5" customHeight="1" x14ac:dyDescent="0.3"/>
    <row r="484" ht="13.5" customHeight="1" x14ac:dyDescent="0.3"/>
    <row r="485" ht="13.5" customHeight="1" x14ac:dyDescent="0.3"/>
    <row r="486" ht="13.5" customHeight="1" x14ac:dyDescent="0.3"/>
    <row r="487" ht="13.5" customHeight="1" x14ac:dyDescent="0.3"/>
    <row r="488" ht="13.5" customHeight="1" x14ac:dyDescent="0.3"/>
    <row r="489" ht="13.5" customHeight="1" x14ac:dyDescent="0.3"/>
    <row r="490" ht="13.5" customHeight="1" x14ac:dyDescent="0.3"/>
    <row r="491" ht="13.5" customHeight="1" x14ac:dyDescent="0.3"/>
    <row r="492" ht="13.5" customHeight="1" x14ac:dyDescent="0.3"/>
    <row r="493" ht="13.5" customHeight="1" x14ac:dyDescent="0.3"/>
    <row r="494" ht="13.5" customHeight="1" x14ac:dyDescent="0.3"/>
    <row r="495" ht="13.5" customHeight="1" x14ac:dyDescent="0.3"/>
    <row r="496" ht="13.5" customHeight="1" x14ac:dyDescent="0.3"/>
    <row r="497" ht="13.5" customHeight="1" x14ac:dyDescent="0.3"/>
    <row r="498" ht="13.5" customHeight="1" x14ac:dyDescent="0.3"/>
    <row r="499" ht="13.5" customHeight="1" x14ac:dyDescent="0.3"/>
    <row r="500" ht="13.5" customHeight="1" x14ac:dyDescent="0.3"/>
    <row r="501" ht="13.5" customHeight="1" x14ac:dyDescent="0.3"/>
    <row r="502" ht="13.5" customHeight="1" x14ac:dyDescent="0.3"/>
    <row r="503" ht="13.5" customHeight="1" x14ac:dyDescent="0.3"/>
    <row r="504" ht="13.5" customHeight="1" x14ac:dyDescent="0.3"/>
    <row r="505" ht="13.5" customHeight="1" x14ac:dyDescent="0.3"/>
    <row r="506" ht="13.5" customHeight="1" x14ac:dyDescent="0.3"/>
    <row r="507" ht="13.5" customHeight="1" x14ac:dyDescent="0.3"/>
    <row r="508" ht="13.5" customHeight="1" x14ac:dyDescent="0.3"/>
    <row r="509" ht="13.5" customHeight="1" x14ac:dyDescent="0.3"/>
    <row r="510" ht="13.5" customHeight="1" x14ac:dyDescent="0.3"/>
    <row r="511" ht="13.5" customHeight="1" x14ac:dyDescent="0.3"/>
    <row r="512" ht="13.5" customHeight="1" x14ac:dyDescent="0.3"/>
    <row r="513" ht="13.5" customHeight="1" x14ac:dyDescent="0.3"/>
    <row r="514" ht="13.5" customHeight="1" x14ac:dyDescent="0.3"/>
    <row r="515" ht="13.5" customHeight="1" x14ac:dyDescent="0.3"/>
    <row r="516" ht="13.5" customHeight="1" x14ac:dyDescent="0.3"/>
    <row r="517" ht="13.5" customHeight="1" x14ac:dyDescent="0.3"/>
    <row r="518" ht="13.5" customHeight="1" x14ac:dyDescent="0.3"/>
    <row r="519" ht="13.5" customHeight="1" x14ac:dyDescent="0.3"/>
    <row r="520" ht="13.5" customHeight="1" x14ac:dyDescent="0.3"/>
    <row r="521" ht="13.5" customHeight="1" x14ac:dyDescent="0.3"/>
    <row r="522" ht="13.5" customHeight="1" x14ac:dyDescent="0.3"/>
    <row r="523" ht="13.5" customHeight="1" x14ac:dyDescent="0.3"/>
    <row r="524" ht="13.5" customHeight="1" x14ac:dyDescent="0.3"/>
    <row r="525" ht="13.5" customHeight="1" x14ac:dyDescent="0.3"/>
    <row r="526" ht="13.5" customHeight="1" x14ac:dyDescent="0.3"/>
    <row r="527" ht="13.5" customHeight="1" x14ac:dyDescent="0.3"/>
    <row r="528" ht="13.5" customHeight="1" x14ac:dyDescent="0.3"/>
    <row r="529" ht="13.5" customHeight="1" x14ac:dyDescent="0.3"/>
    <row r="530" ht="13.5" customHeight="1" x14ac:dyDescent="0.3"/>
    <row r="531" ht="13.5" customHeight="1" x14ac:dyDescent="0.3"/>
    <row r="532" ht="13.5" customHeight="1" x14ac:dyDescent="0.3"/>
    <row r="533" ht="13.5" customHeight="1" x14ac:dyDescent="0.3"/>
    <row r="534" ht="13.5" customHeight="1" x14ac:dyDescent="0.3"/>
    <row r="535" ht="13.5" customHeight="1" x14ac:dyDescent="0.3"/>
    <row r="536" ht="13.5" customHeight="1" x14ac:dyDescent="0.3"/>
    <row r="537" ht="13.5" customHeight="1" x14ac:dyDescent="0.3"/>
    <row r="538" ht="13.5" customHeight="1" x14ac:dyDescent="0.3"/>
    <row r="539" ht="13.5" customHeight="1" x14ac:dyDescent="0.3"/>
    <row r="540" ht="13.5" customHeight="1" x14ac:dyDescent="0.3"/>
    <row r="541" ht="13.5" customHeight="1" x14ac:dyDescent="0.3"/>
    <row r="542" ht="13.5" customHeight="1" x14ac:dyDescent="0.3"/>
    <row r="543" ht="13.5" customHeight="1" x14ac:dyDescent="0.3"/>
    <row r="544" ht="13.5" customHeight="1" x14ac:dyDescent="0.3"/>
    <row r="545" ht="13.5" customHeight="1" x14ac:dyDescent="0.3"/>
    <row r="546" ht="13.5" customHeight="1" x14ac:dyDescent="0.3"/>
    <row r="547" ht="13.5" customHeight="1" x14ac:dyDescent="0.3"/>
    <row r="548" ht="13.5" customHeight="1" x14ac:dyDescent="0.3"/>
    <row r="549" ht="13.5" customHeight="1" x14ac:dyDescent="0.3"/>
    <row r="550" ht="13.5" customHeight="1" x14ac:dyDescent="0.3"/>
    <row r="551" ht="13.5" customHeight="1" x14ac:dyDescent="0.3"/>
    <row r="552" ht="13.5" customHeight="1" x14ac:dyDescent="0.3"/>
    <row r="553" ht="13.5" customHeight="1" x14ac:dyDescent="0.3"/>
    <row r="554" ht="13.5" customHeight="1" x14ac:dyDescent="0.3"/>
    <row r="555" ht="13.5" customHeight="1" x14ac:dyDescent="0.3"/>
    <row r="556" ht="13.5" customHeight="1" x14ac:dyDescent="0.3"/>
    <row r="557" ht="13.5" customHeight="1" x14ac:dyDescent="0.3"/>
    <row r="558" ht="13.5" customHeight="1" x14ac:dyDescent="0.3"/>
    <row r="559" ht="13.5" customHeight="1" x14ac:dyDescent="0.3"/>
    <row r="560" ht="13.5" customHeight="1" x14ac:dyDescent="0.3"/>
    <row r="561" ht="13.5" customHeight="1" x14ac:dyDescent="0.3"/>
    <row r="562" ht="13.5" customHeight="1" x14ac:dyDescent="0.3"/>
    <row r="563" ht="13.5" customHeight="1" x14ac:dyDescent="0.3"/>
    <row r="564" ht="13.5" customHeight="1" x14ac:dyDescent="0.3"/>
    <row r="565" ht="13.5" customHeight="1" x14ac:dyDescent="0.3"/>
    <row r="566" ht="13.5" customHeight="1" x14ac:dyDescent="0.3"/>
    <row r="567" ht="13.5" customHeight="1" x14ac:dyDescent="0.3"/>
    <row r="568" ht="13.5" customHeight="1" x14ac:dyDescent="0.3"/>
    <row r="569" ht="13.5" customHeight="1" x14ac:dyDescent="0.3"/>
    <row r="570" ht="13.5" customHeight="1" x14ac:dyDescent="0.3"/>
    <row r="571" ht="13.5" customHeight="1" x14ac:dyDescent="0.3"/>
    <row r="572" ht="13.5" customHeight="1" x14ac:dyDescent="0.3"/>
    <row r="573" ht="13.5" customHeight="1" x14ac:dyDescent="0.3"/>
    <row r="574" ht="13.5" customHeight="1" x14ac:dyDescent="0.3"/>
    <row r="575" ht="13.5" customHeight="1" x14ac:dyDescent="0.3"/>
    <row r="576" ht="13.5" customHeight="1" x14ac:dyDescent="0.3"/>
    <row r="577" ht="13.5" customHeight="1" x14ac:dyDescent="0.3"/>
    <row r="578" ht="13.5" customHeight="1" x14ac:dyDescent="0.3"/>
    <row r="579" ht="13.5" customHeight="1" x14ac:dyDescent="0.3"/>
    <row r="580" ht="13.5" customHeight="1" x14ac:dyDescent="0.3"/>
    <row r="581" ht="13.5" customHeight="1" x14ac:dyDescent="0.3"/>
    <row r="582" ht="13.5" customHeight="1" x14ac:dyDescent="0.3"/>
    <row r="583" ht="13.5" customHeight="1" x14ac:dyDescent="0.3"/>
    <row r="584" ht="13.5" customHeight="1" x14ac:dyDescent="0.3"/>
    <row r="585" ht="13.5" customHeight="1" x14ac:dyDescent="0.3"/>
    <row r="586" ht="13.5" customHeight="1" x14ac:dyDescent="0.3"/>
    <row r="587" ht="13.5" customHeight="1" x14ac:dyDescent="0.3"/>
    <row r="588" ht="13.5" customHeight="1" x14ac:dyDescent="0.3"/>
    <row r="589" ht="13.5" customHeight="1" x14ac:dyDescent="0.3"/>
    <row r="590" ht="13.5" customHeight="1" x14ac:dyDescent="0.3"/>
    <row r="591" ht="13.5" customHeight="1" x14ac:dyDescent="0.3"/>
    <row r="592" ht="13.5" customHeight="1" x14ac:dyDescent="0.3"/>
    <row r="593" ht="13.5" customHeight="1" x14ac:dyDescent="0.3"/>
    <row r="594" ht="13.5" customHeight="1" x14ac:dyDescent="0.3"/>
    <row r="595" ht="13.5" customHeight="1" x14ac:dyDescent="0.3"/>
    <row r="596" ht="13.5" customHeight="1" x14ac:dyDescent="0.3"/>
    <row r="597" ht="13.5" customHeight="1" x14ac:dyDescent="0.3"/>
    <row r="598" ht="13.5" customHeight="1" x14ac:dyDescent="0.3"/>
    <row r="599" ht="13.5" customHeight="1" x14ac:dyDescent="0.3"/>
    <row r="600" ht="13.5" customHeight="1" x14ac:dyDescent="0.3"/>
    <row r="601" ht="13.5" customHeight="1" x14ac:dyDescent="0.3"/>
    <row r="602" ht="13.5" customHeight="1" x14ac:dyDescent="0.3"/>
    <row r="603" ht="13.5" customHeight="1" x14ac:dyDescent="0.3"/>
    <row r="604" ht="13.5" customHeight="1" x14ac:dyDescent="0.3"/>
    <row r="605" ht="13.5" customHeight="1" x14ac:dyDescent="0.3"/>
    <row r="606" ht="13.5" customHeight="1" x14ac:dyDescent="0.3"/>
    <row r="607" ht="13.5" customHeight="1" x14ac:dyDescent="0.3"/>
    <row r="608" ht="13.5" customHeight="1" x14ac:dyDescent="0.3"/>
    <row r="609" ht="13.5" customHeight="1" x14ac:dyDescent="0.3"/>
    <row r="610" ht="13.5" customHeight="1" x14ac:dyDescent="0.3"/>
    <row r="611" ht="13.5" customHeight="1" x14ac:dyDescent="0.3"/>
    <row r="612" ht="13.5" customHeight="1" x14ac:dyDescent="0.3"/>
    <row r="613" ht="13.5" customHeight="1" x14ac:dyDescent="0.3"/>
    <row r="614" ht="13.5" customHeight="1" x14ac:dyDescent="0.3"/>
    <row r="615" ht="13.5" customHeight="1" x14ac:dyDescent="0.3"/>
    <row r="616" ht="13.5" customHeight="1" x14ac:dyDescent="0.3"/>
    <row r="617" ht="13.5" customHeight="1" x14ac:dyDescent="0.3"/>
    <row r="618" ht="13.5" customHeight="1" x14ac:dyDescent="0.3"/>
    <row r="619" ht="13.5" customHeight="1" x14ac:dyDescent="0.3"/>
    <row r="620" ht="13.5" customHeight="1" x14ac:dyDescent="0.3"/>
    <row r="621" ht="13.5" customHeight="1" x14ac:dyDescent="0.3"/>
    <row r="622" ht="13.5" customHeight="1" x14ac:dyDescent="0.3"/>
    <row r="623" ht="13.5" customHeight="1" x14ac:dyDescent="0.3"/>
    <row r="624" ht="13.5" customHeight="1" x14ac:dyDescent="0.3"/>
    <row r="625" ht="13.5" customHeight="1" x14ac:dyDescent="0.3"/>
    <row r="626" ht="13.5" customHeight="1" x14ac:dyDescent="0.3"/>
    <row r="627" ht="13.5" customHeight="1" x14ac:dyDescent="0.3"/>
    <row r="628" ht="13.5" customHeight="1" x14ac:dyDescent="0.3"/>
    <row r="629" ht="13.5" customHeight="1" x14ac:dyDescent="0.3"/>
    <row r="630" ht="13.5" customHeight="1" x14ac:dyDescent="0.3"/>
    <row r="631" ht="13.5" customHeight="1" x14ac:dyDescent="0.3"/>
    <row r="632" ht="13.5" customHeight="1" x14ac:dyDescent="0.3"/>
    <row r="633" ht="13.5" customHeight="1" x14ac:dyDescent="0.3"/>
    <row r="634" ht="13.5" customHeight="1" x14ac:dyDescent="0.3"/>
    <row r="635" ht="13.5" customHeight="1" x14ac:dyDescent="0.3"/>
    <row r="636" ht="13.5" customHeight="1" x14ac:dyDescent="0.3"/>
    <row r="637" ht="13.5" customHeight="1" x14ac:dyDescent="0.3"/>
    <row r="638" ht="13.5" customHeight="1" x14ac:dyDescent="0.3"/>
    <row r="639" ht="13.5" customHeight="1" x14ac:dyDescent="0.3"/>
    <row r="640" ht="13.5" customHeight="1" x14ac:dyDescent="0.3"/>
    <row r="641" ht="13.5" customHeight="1" x14ac:dyDescent="0.3"/>
    <row r="642" ht="13.5" customHeight="1" x14ac:dyDescent="0.3"/>
    <row r="643" ht="13.5" customHeight="1" x14ac:dyDescent="0.3"/>
    <row r="644" ht="13.5" customHeight="1" x14ac:dyDescent="0.3"/>
    <row r="645" ht="13.5" customHeight="1" x14ac:dyDescent="0.3"/>
    <row r="646" ht="13.5" customHeight="1" x14ac:dyDescent="0.3"/>
    <row r="647" ht="13.5" customHeight="1" x14ac:dyDescent="0.3"/>
    <row r="648" ht="13.5" customHeight="1" x14ac:dyDescent="0.3"/>
    <row r="649" ht="13.5" customHeight="1" x14ac:dyDescent="0.3"/>
    <row r="650" ht="13.5" customHeight="1" x14ac:dyDescent="0.3"/>
    <row r="651" ht="13.5" customHeight="1" x14ac:dyDescent="0.3"/>
    <row r="652" ht="13.5" customHeight="1" x14ac:dyDescent="0.3"/>
    <row r="653" ht="13.5" customHeight="1" x14ac:dyDescent="0.3"/>
    <row r="654" ht="13.5" customHeight="1" x14ac:dyDescent="0.3"/>
    <row r="655" ht="13.5" customHeight="1" x14ac:dyDescent="0.3"/>
    <row r="656" ht="13.5" customHeight="1" x14ac:dyDescent="0.3"/>
    <row r="657" ht="13.5" customHeight="1" x14ac:dyDescent="0.3"/>
    <row r="658" ht="13.5" customHeight="1" x14ac:dyDescent="0.3"/>
    <row r="659" ht="13.5" customHeight="1" x14ac:dyDescent="0.3"/>
    <row r="660" ht="13.5" customHeight="1" x14ac:dyDescent="0.3"/>
    <row r="661" ht="13.5" customHeight="1" x14ac:dyDescent="0.3"/>
    <row r="662" ht="13.5" customHeight="1" x14ac:dyDescent="0.3"/>
    <row r="663" ht="13.5" customHeight="1" x14ac:dyDescent="0.3"/>
    <row r="664" ht="13.5" customHeight="1" x14ac:dyDescent="0.3"/>
    <row r="665" ht="13.5" customHeight="1" x14ac:dyDescent="0.3"/>
    <row r="666" ht="13.5" customHeight="1" x14ac:dyDescent="0.3"/>
    <row r="667" ht="13.5" customHeight="1" x14ac:dyDescent="0.3"/>
    <row r="668" ht="13.5" customHeight="1" x14ac:dyDescent="0.3"/>
    <row r="669" ht="13.5" customHeight="1" x14ac:dyDescent="0.3"/>
    <row r="670" ht="13.5" customHeight="1" x14ac:dyDescent="0.3"/>
    <row r="671" ht="13.5" customHeight="1" x14ac:dyDescent="0.3"/>
    <row r="672" ht="13.5" customHeight="1" x14ac:dyDescent="0.3"/>
    <row r="673" ht="13.5" customHeight="1" x14ac:dyDescent="0.3"/>
    <row r="674" ht="13.5" customHeight="1" x14ac:dyDescent="0.3"/>
    <row r="675" ht="13.5" customHeight="1" x14ac:dyDescent="0.3"/>
    <row r="676" ht="13.5" customHeight="1" x14ac:dyDescent="0.3"/>
    <row r="677" ht="13.5" customHeight="1" x14ac:dyDescent="0.3"/>
    <row r="678" ht="13.5" customHeight="1" x14ac:dyDescent="0.3"/>
    <row r="679" ht="13.5" customHeight="1" x14ac:dyDescent="0.3"/>
    <row r="680" ht="13.5" customHeight="1" x14ac:dyDescent="0.3"/>
    <row r="681" ht="13.5" customHeight="1" x14ac:dyDescent="0.3"/>
    <row r="682" ht="13.5" customHeight="1" x14ac:dyDescent="0.3"/>
    <row r="683" ht="13.5" customHeight="1" x14ac:dyDescent="0.3"/>
    <row r="684" ht="13.5" customHeight="1" x14ac:dyDescent="0.3"/>
    <row r="685" ht="13.5" customHeight="1" x14ac:dyDescent="0.3"/>
    <row r="686" ht="13.5" customHeight="1" x14ac:dyDescent="0.3"/>
    <row r="687" ht="13.5" customHeight="1" x14ac:dyDescent="0.3"/>
    <row r="688" ht="13.5" customHeight="1" x14ac:dyDescent="0.3"/>
    <row r="689" ht="13.5" customHeight="1" x14ac:dyDescent="0.3"/>
    <row r="690" ht="13.5" customHeight="1" x14ac:dyDescent="0.3"/>
    <row r="691" ht="13.5" customHeight="1" x14ac:dyDescent="0.3"/>
    <row r="692" ht="13.5" customHeight="1" x14ac:dyDescent="0.3"/>
    <row r="693" ht="13.5" customHeight="1" x14ac:dyDescent="0.3"/>
    <row r="694" ht="13.5" customHeight="1" x14ac:dyDescent="0.3"/>
    <row r="695" ht="13.5" customHeight="1" x14ac:dyDescent="0.3"/>
    <row r="696" ht="13.5" customHeight="1" x14ac:dyDescent="0.3"/>
    <row r="697" ht="13.5" customHeight="1" x14ac:dyDescent="0.3"/>
    <row r="698" ht="13.5" customHeight="1" x14ac:dyDescent="0.3"/>
    <row r="699" ht="13.5" customHeight="1" x14ac:dyDescent="0.3"/>
    <row r="700" ht="13.5" customHeight="1" x14ac:dyDescent="0.3"/>
    <row r="701" ht="13.5" customHeight="1" x14ac:dyDescent="0.3"/>
    <row r="702" ht="13.5" customHeight="1" x14ac:dyDescent="0.3"/>
    <row r="703" ht="13.5" customHeight="1" x14ac:dyDescent="0.3"/>
    <row r="704" ht="13.5" customHeight="1" x14ac:dyDescent="0.3"/>
    <row r="705" ht="13.5" customHeight="1" x14ac:dyDescent="0.3"/>
    <row r="706" ht="13.5" customHeight="1" x14ac:dyDescent="0.3"/>
    <row r="707" ht="13.5" customHeight="1" x14ac:dyDescent="0.3"/>
    <row r="708" ht="13.5" customHeight="1" x14ac:dyDescent="0.3"/>
    <row r="709" ht="13.5" customHeight="1" x14ac:dyDescent="0.3"/>
    <row r="710" ht="13.5" customHeight="1" x14ac:dyDescent="0.3"/>
    <row r="711" ht="13.5" customHeight="1" x14ac:dyDescent="0.3"/>
    <row r="712" ht="13.5" customHeight="1" x14ac:dyDescent="0.3"/>
    <row r="713" ht="13.5" customHeight="1" x14ac:dyDescent="0.3"/>
    <row r="714" ht="13.5" customHeight="1" x14ac:dyDescent="0.3"/>
    <row r="715" ht="13.5" customHeight="1" x14ac:dyDescent="0.3"/>
    <row r="716" ht="13.5" customHeight="1" x14ac:dyDescent="0.3"/>
    <row r="717" ht="13.5" customHeight="1" x14ac:dyDescent="0.3"/>
    <row r="718" ht="13.5" customHeight="1" x14ac:dyDescent="0.3"/>
    <row r="719" ht="13.5" customHeight="1" x14ac:dyDescent="0.3"/>
    <row r="720" ht="13.5" customHeight="1" x14ac:dyDescent="0.3"/>
    <row r="721" ht="13.5" customHeight="1" x14ac:dyDescent="0.3"/>
    <row r="722" ht="13.5" customHeight="1" x14ac:dyDescent="0.3"/>
    <row r="723" ht="13.5" customHeight="1" x14ac:dyDescent="0.3"/>
    <row r="724" ht="13.5" customHeight="1" x14ac:dyDescent="0.3"/>
    <row r="725" ht="13.5" customHeight="1" x14ac:dyDescent="0.3"/>
    <row r="726" ht="13.5" customHeight="1" x14ac:dyDescent="0.3"/>
    <row r="727" ht="13.5" customHeight="1" x14ac:dyDescent="0.3"/>
    <row r="728" ht="13.5" customHeight="1" x14ac:dyDescent="0.3"/>
    <row r="729" ht="13.5" customHeight="1" x14ac:dyDescent="0.3"/>
    <row r="730" ht="13.5" customHeight="1" x14ac:dyDescent="0.3"/>
    <row r="731" ht="13.5" customHeight="1" x14ac:dyDescent="0.3"/>
    <row r="732" ht="13.5" customHeight="1" x14ac:dyDescent="0.3"/>
    <row r="733" ht="13.5" customHeight="1" x14ac:dyDescent="0.3"/>
    <row r="734" ht="13.5" customHeight="1" x14ac:dyDescent="0.3"/>
    <row r="735" ht="13.5" customHeight="1" x14ac:dyDescent="0.3"/>
    <row r="736" ht="13.5" customHeight="1" x14ac:dyDescent="0.3"/>
    <row r="737" ht="13.5" customHeight="1" x14ac:dyDescent="0.3"/>
    <row r="738" ht="13.5" customHeight="1" x14ac:dyDescent="0.3"/>
    <row r="739" ht="13.5" customHeight="1" x14ac:dyDescent="0.3"/>
    <row r="740" ht="13.5" customHeight="1" x14ac:dyDescent="0.3"/>
    <row r="741" ht="13.5" customHeight="1" x14ac:dyDescent="0.3"/>
    <row r="742" ht="13.5" customHeight="1" x14ac:dyDescent="0.3"/>
    <row r="743" ht="13.5" customHeight="1" x14ac:dyDescent="0.3"/>
    <row r="744" ht="13.5" customHeight="1" x14ac:dyDescent="0.3"/>
    <row r="745" ht="13.5" customHeight="1" x14ac:dyDescent="0.3"/>
    <row r="746" ht="13.5" customHeight="1" x14ac:dyDescent="0.3"/>
    <row r="747" ht="13.5" customHeight="1" x14ac:dyDescent="0.3"/>
    <row r="748" ht="13.5" customHeight="1" x14ac:dyDescent="0.3"/>
    <row r="749" ht="13.5" customHeight="1" x14ac:dyDescent="0.3"/>
    <row r="750" ht="13.5" customHeight="1" x14ac:dyDescent="0.3"/>
    <row r="751" ht="13.5" customHeight="1" x14ac:dyDescent="0.3"/>
    <row r="752" ht="13.5" customHeight="1" x14ac:dyDescent="0.3"/>
    <row r="753" ht="13.5" customHeight="1" x14ac:dyDescent="0.3"/>
    <row r="754" ht="13.5" customHeight="1" x14ac:dyDescent="0.3"/>
    <row r="755" ht="13.5" customHeight="1" x14ac:dyDescent="0.3"/>
    <row r="756" ht="13.5" customHeight="1" x14ac:dyDescent="0.3"/>
    <row r="757" ht="13.5" customHeight="1" x14ac:dyDescent="0.3"/>
    <row r="758" ht="13.5" customHeight="1" x14ac:dyDescent="0.3"/>
    <row r="759" ht="13.5" customHeight="1" x14ac:dyDescent="0.3"/>
    <row r="760" ht="13.5" customHeight="1" x14ac:dyDescent="0.3"/>
    <row r="761" ht="13.5" customHeight="1" x14ac:dyDescent="0.3"/>
    <row r="762" ht="13.5" customHeight="1" x14ac:dyDescent="0.3"/>
    <row r="763" ht="13.5" customHeight="1" x14ac:dyDescent="0.3"/>
    <row r="764" ht="13.5" customHeight="1" x14ac:dyDescent="0.3"/>
    <row r="765" ht="13.5" customHeight="1" x14ac:dyDescent="0.3"/>
    <row r="766" ht="13.5" customHeight="1" x14ac:dyDescent="0.3"/>
    <row r="767" ht="13.5" customHeight="1" x14ac:dyDescent="0.3"/>
    <row r="768" ht="13.5" customHeight="1" x14ac:dyDescent="0.3"/>
    <row r="769" ht="13.5" customHeight="1" x14ac:dyDescent="0.3"/>
    <row r="770" ht="13.5" customHeight="1" x14ac:dyDescent="0.3"/>
    <row r="771" ht="13.5" customHeight="1" x14ac:dyDescent="0.3"/>
    <row r="772" ht="13.5" customHeight="1" x14ac:dyDescent="0.3"/>
    <row r="773" ht="13.5" customHeight="1" x14ac:dyDescent="0.3"/>
    <row r="774" ht="13.5" customHeight="1" x14ac:dyDescent="0.3"/>
    <row r="775" ht="13.5" customHeight="1" x14ac:dyDescent="0.3"/>
    <row r="776" ht="13.5" customHeight="1" x14ac:dyDescent="0.3"/>
    <row r="777" ht="13.5" customHeight="1" x14ac:dyDescent="0.3"/>
    <row r="778" ht="13.5" customHeight="1" x14ac:dyDescent="0.3"/>
    <row r="779" ht="13.5" customHeight="1" x14ac:dyDescent="0.3"/>
    <row r="780" ht="13.5" customHeight="1" x14ac:dyDescent="0.3"/>
    <row r="781" ht="13.5" customHeight="1" x14ac:dyDescent="0.3"/>
    <row r="782" ht="13.5" customHeight="1" x14ac:dyDescent="0.3"/>
    <row r="783" ht="13.5" customHeight="1" x14ac:dyDescent="0.3"/>
    <row r="784" ht="13.5" customHeight="1" x14ac:dyDescent="0.3"/>
    <row r="785" ht="13.5" customHeight="1" x14ac:dyDescent="0.3"/>
    <row r="786" ht="13.5" customHeight="1" x14ac:dyDescent="0.3"/>
    <row r="787" ht="13.5" customHeight="1" x14ac:dyDescent="0.3"/>
    <row r="788" ht="13.5" customHeight="1" x14ac:dyDescent="0.3"/>
    <row r="789" ht="13.5" customHeight="1" x14ac:dyDescent="0.3"/>
    <row r="790" ht="13.5" customHeight="1" x14ac:dyDescent="0.3"/>
    <row r="791" ht="13.5" customHeight="1" x14ac:dyDescent="0.3"/>
    <row r="792" ht="13.5" customHeight="1" x14ac:dyDescent="0.3"/>
    <row r="793" ht="13.5" customHeight="1" x14ac:dyDescent="0.3"/>
    <row r="794" ht="13.5" customHeight="1" x14ac:dyDescent="0.3"/>
    <row r="795" ht="13.5" customHeight="1" x14ac:dyDescent="0.3"/>
    <row r="796" ht="13.5" customHeight="1" x14ac:dyDescent="0.3"/>
    <row r="797" ht="13.5" customHeight="1" x14ac:dyDescent="0.3"/>
    <row r="798" ht="13.5" customHeight="1" x14ac:dyDescent="0.3"/>
    <row r="799" ht="13.5" customHeight="1" x14ac:dyDescent="0.3"/>
    <row r="800" ht="13.5" customHeight="1" x14ac:dyDescent="0.3"/>
    <row r="801" ht="13.5" customHeight="1" x14ac:dyDescent="0.3"/>
    <row r="802" ht="13.5" customHeight="1" x14ac:dyDescent="0.3"/>
    <row r="803" ht="13.5" customHeight="1" x14ac:dyDescent="0.3"/>
    <row r="804" ht="13.5" customHeight="1" x14ac:dyDescent="0.3"/>
    <row r="805" ht="13.5" customHeight="1" x14ac:dyDescent="0.3"/>
    <row r="806" ht="13.5" customHeight="1" x14ac:dyDescent="0.3"/>
    <row r="807" ht="13.5" customHeight="1" x14ac:dyDescent="0.3"/>
    <row r="808" ht="13.5" customHeight="1" x14ac:dyDescent="0.3"/>
    <row r="809" ht="13.5" customHeight="1" x14ac:dyDescent="0.3"/>
    <row r="810" ht="13.5" customHeight="1" x14ac:dyDescent="0.3"/>
    <row r="811" ht="13.5" customHeight="1" x14ac:dyDescent="0.3"/>
    <row r="812" ht="13.5" customHeight="1" x14ac:dyDescent="0.3"/>
    <row r="813" ht="13.5" customHeight="1" x14ac:dyDescent="0.3"/>
    <row r="814" ht="13.5" customHeight="1" x14ac:dyDescent="0.3"/>
    <row r="815" ht="13.5" customHeight="1" x14ac:dyDescent="0.3"/>
    <row r="816" ht="13.5" customHeight="1" x14ac:dyDescent="0.3"/>
    <row r="817" ht="13.5" customHeight="1" x14ac:dyDescent="0.3"/>
    <row r="818" ht="13.5" customHeight="1" x14ac:dyDescent="0.3"/>
    <row r="819" ht="13.5" customHeight="1" x14ac:dyDescent="0.3"/>
    <row r="820" ht="13.5" customHeight="1" x14ac:dyDescent="0.3"/>
    <row r="821" ht="13.5" customHeight="1" x14ac:dyDescent="0.3"/>
    <row r="822" ht="13.5" customHeight="1" x14ac:dyDescent="0.3"/>
    <row r="823" ht="13.5" customHeight="1" x14ac:dyDescent="0.3"/>
    <row r="824" ht="13.5" customHeight="1" x14ac:dyDescent="0.3"/>
    <row r="825" ht="13.5" customHeight="1" x14ac:dyDescent="0.3"/>
    <row r="826" ht="13.5" customHeight="1" x14ac:dyDescent="0.3"/>
    <row r="827" ht="13.5" customHeight="1" x14ac:dyDescent="0.3"/>
    <row r="828" ht="13.5" customHeight="1" x14ac:dyDescent="0.3"/>
    <row r="829" ht="13.5" customHeight="1" x14ac:dyDescent="0.3"/>
    <row r="830" ht="13.5" customHeight="1" x14ac:dyDescent="0.3"/>
    <row r="831" ht="13.5" customHeight="1" x14ac:dyDescent="0.3"/>
    <row r="832" ht="13.5" customHeight="1" x14ac:dyDescent="0.3"/>
    <row r="833" ht="13.5" customHeight="1" x14ac:dyDescent="0.3"/>
    <row r="834" ht="13.5" customHeight="1" x14ac:dyDescent="0.3"/>
    <row r="835" ht="13.5" customHeight="1" x14ac:dyDescent="0.3"/>
    <row r="836" ht="13.5" customHeight="1" x14ac:dyDescent="0.3"/>
    <row r="837" ht="13.5" customHeight="1" x14ac:dyDescent="0.3"/>
    <row r="838" ht="13.5" customHeight="1" x14ac:dyDescent="0.3"/>
    <row r="839" ht="13.5" customHeight="1" x14ac:dyDescent="0.3"/>
    <row r="840" ht="13.5" customHeight="1" x14ac:dyDescent="0.3"/>
    <row r="841" ht="13.5" customHeight="1" x14ac:dyDescent="0.3"/>
    <row r="842" ht="13.5" customHeight="1" x14ac:dyDescent="0.3"/>
    <row r="843" ht="13.5" customHeight="1" x14ac:dyDescent="0.3"/>
    <row r="844" ht="13.5" customHeight="1" x14ac:dyDescent="0.3"/>
    <row r="845" ht="13.5" customHeight="1" x14ac:dyDescent="0.3"/>
    <row r="846" ht="13.5" customHeight="1" x14ac:dyDescent="0.3"/>
    <row r="847" ht="13.5" customHeight="1" x14ac:dyDescent="0.3"/>
    <row r="848" ht="13.5" customHeight="1" x14ac:dyDescent="0.3"/>
    <row r="849" ht="13.5" customHeight="1" x14ac:dyDescent="0.3"/>
    <row r="850" ht="13.5" customHeight="1" x14ac:dyDescent="0.3"/>
    <row r="851" ht="13.5" customHeight="1" x14ac:dyDescent="0.3"/>
    <row r="852" ht="13.5" customHeight="1" x14ac:dyDescent="0.3"/>
    <row r="853" ht="13.5" customHeight="1" x14ac:dyDescent="0.3"/>
    <row r="854" ht="13.5" customHeight="1" x14ac:dyDescent="0.3"/>
    <row r="855" ht="13.5" customHeight="1" x14ac:dyDescent="0.3"/>
    <row r="856" ht="13.5" customHeight="1" x14ac:dyDescent="0.3"/>
    <row r="857" ht="13.5" customHeight="1" x14ac:dyDescent="0.3"/>
    <row r="858" ht="13.5" customHeight="1" x14ac:dyDescent="0.3"/>
    <row r="859" ht="13.5" customHeight="1" x14ac:dyDescent="0.3"/>
    <row r="860" ht="13.5" customHeight="1" x14ac:dyDescent="0.3"/>
    <row r="861" ht="13.5" customHeight="1" x14ac:dyDescent="0.3"/>
    <row r="862" ht="13.5" customHeight="1" x14ac:dyDescent="0.3"/>
    <row r="863" ht="13.5" customHeight="1" x14ac:dyDescent="0.3"/>
    <row r="864" ht="13.5" customHeight="1" x14ac:dyDescent="0.3"/>
    <row r="865" ht="13.5" customHeight="1" x14ac:dyDescent="0.3"/>
    <row r="866" ht="13.5" customHeight="1" x14ac:dyDescent="0.3"/>
    <row r="867" ht="13.5" customHeight="1" x14ac:dyDescent="0.3"/>
    <row r="868" ht="13.5" customHeight="1" x14ac:dyDescent="0.3"/>
    <row r="869" ht="13.5" customHeight="1" x14ac:dyDescent="0.3"/>
    <row r="870" ht="13.5" customHeight="1" x14ac:dyDescent="0.3"/>
    <row r="871" ht="13.5" customHeight="1" x14ac:dyDescent="0.3"/>
    <row r="872" ht="13.5" customHeight="1" x14ac:dyDescent="0.3"/>
    <row r="873" ht="13.5" customHeight="1" x14ac:dyDescent="0.3"/>
    <row r="874" ht="13.5" customHeight="1" x14ac:dyDescent="0.3"/>
    <row r="875" ht="13.5" customHeight="1" x14ac:dyDescent="0.3"/>
    <row r="876" ht="13.5" customHeight="1" x14ac:dyDescent="0.3"/>
    <row r="877" ht="13.5" customHeight="1" x14ac:dyDescent="0.3"/>
    <row r="878" ht="13.5" customHeight="1" x14ac:dyDescent="0.3"/>
    <row r="879" ht="13.5" customHeight="1" x14ac:dyDescent="0.3"/>
    <row r="880" ht="13.5" customHeight="1" x14ac:dyDescent="0.3"/>
    <row r="881" ht="13.5" customHeight="1" x14ac:dyDescent="0.3"/>
    <row r="882" ht="13.5" customHeight="1" x14ac:dyDescent="0.3"/>
    <row r="883" ht="13.5" customHeight="1" x14ac:dyDescent="0.3"/>
    <row r="884" ht="13.5" customHeight="1" x14ac:dyDescent="0.3"/>
    <row r="885" ht="13.5" customHeight="1" x14ac:dyDescent="0.3"/>
    <row r="886" ht="13.5" customHeight="1" x14ac:dyDescent="0.3"/>
    <row r="887" ht="13.5" customHeight="1" x14ac:dyDescent="0.3"/>
    <row r="888" ht="13.5" customHeight="1" x14ac:dyDescent="0.3"/>
    <row r="889" ht="13.5" customHeight="1" x14ac:dyDescent="0.3"/>
    <row r="890" ht="13.5" customHeight="1" x14ac:dyDescent="0.3"/>
    <row r="891" ht="13.5" customHeight="1" x14ac:dyDescent="0.3"/>
    <row r="892" ht="13.5" customHeight="1" x14ac:dyDescent="0.3"/>
    <row r="893" ht="13.5" customHeight="1" x14ac:dyDescent="0.3"/>
    <row r="894" ht="13.5" customHeight="1" x14ac:dyDescent="0.3"/>
    <row r="895" ht="13.5" customHeight="1" x14ac:dyDescent="0.3"/>
    <row r="896" ht="13.5" customHeight="1" x14ac:dyDescent="0.3"/>
    <row r="897" ht="13.5" customHeight="1" x14ac:dyDescent="0.3"/>
    <row r="898" ht="13.5" customHeight="1" x14ac:dyDescent="0.3"/>
    <row r="899" ht="13.5" customHeight="1" x14ac:dyDescent="0.3"/>
    <row r="900" ht="13.5" customHeight="1" x14ac:dyDescent="0.3"/>
    <row r="901" ht="13.5" customHeight="1" x14ac:dyDescent="0.3"/>
    <row r="902" ht="13.5" customHeight="1" x14ac:dyDescent="0.3"/>
    <row r="903" ht="13.5" customHeight="1" x14ac:dyDescent="0.3"/>
    <row r="904" ht="13.5" customHeight="1" x14ac:dyDescent="0.3"/>
    <row r="905" ht="13.5" customHeight="1" x14ac:dyDescent="0.3"/>
    <row r="906" ht="13.5" customHeight="1" x14ac:dyDescent="0.3"/>
    <row r="907" ht="13.5" customHeight="1" x14ac:dyDescent="0.3"/>
    <row r="908" ht="13.5" customHeight="1" x14ac:dyDescent="0.3"/>
    <row r="909" ht="13.5" customHeight="1" x14ac:dyDescent="0.3"/>
    <row r="910" ht="13.5" customHeight="1" x14ac:dyDescent="0.3"/>
    <row r="911" ht="13.5" customHeight="1" x14ac:dyDescent="0.3"/>
    <row r="912" ht="13.5" customHeight="1" x14ac:dyDescent="0.3"/>
    <row r="913" ht="13.5" customHeight="1" x14ac:dyDescent="0.3"/>
    <row r="914" ht="13.5" customHeight="1" x14ac:dyDescent="0.3"/>
    <row r="915" ht="13.5" customHeight="1" x14ac:dyDescent="0.3"/>
    <row r="916" ht="13.5" customHeight="1" x14ac:dyDescent="0.3"/>
    <row r="917" ht="13.5" customHeight="1" x14ac:dyDescent="0.3"/>
    <row r="918" ht="13.5" customHeight="1" x14ac:dyDescent="0.3"/>
    <row r="919" ht="13.5" customHeight="1" x14ac:dyDescent="0.3"/>
    <row r="920" ht="13.5" customHeight="1" x14ac:dyDescent="0.3"/>
    <row r="921" ht="13.5" customHeight="1" x14ac:dyDescent="0.3"/>
    <row r="922" ht="13.5" customHeight="1" x14ac:dyDescent="0.3"/>
    <row r="923" ht="13.5" customHeight="1" x14ac:dyDescent="0.3"/>
    <row r="924" ht="13.5" customHeight="1" x14ac:dyDescent="0.3"/>
    <row r="925" ht="13.5" customHeight="1" x14ac:dyDescent="0.3"/>
    <row r="926" ht="13.5" customHeight="1" x14ac:dyDescent="0.3"/>
    <row r="927" ht="13.5" customHeight="1" x14ac:dyDescent="0.3"/>
    <row r="928" ht="13.5" customHeight="1" x14ac:dyDescent="0.3"/>
    <row r="929" ht="13.5" customHeight="1" x14ac:dyDescent="0.3"/>
    <row r="930" ht="13.5" customHeight="1" x14ac:dyDescent="0.3"/>
    <row r="931" ht="13.5" customHeight="1" x14ac:dyDescent="0.3"/>
    <row r="932" ht="13.5" customHeight="1" x14ac:dyDescent="0.3"/>
    <row r="933" ht="13.5" customHeight="1" x14ac:dyDescent="0.3"/>
    <row r="934" ht="13.5" customHeight="1" x14ac:dyDescent="0.3"/>
    <row r="935" ht="13.5" customHeight="1" x14ac:dyDescent="0.3"/>
    <row r="936" ht="13.5" customHeight="1" x14ac:dyDescent="0.3"/>
    <row r="937" ht="13.5" customHeight="1" x14ac:dyDescent="0.3"/>
    <row r="938" ht="13.5" customHeight="1" x14ac:dyDescent="0.3"/>
    <row r="939" ht="13.5" customHeight="1" x14ac:dyDescent="0.3"/>
    <row r="940" ht="13.5" customHeight="1" x14ac:dyDescent="0.3"/>
    <row r="941" ht="13.5" customHeight="1" x14ac:dyDescent="0.3"/>
    <row r="942" ht="13.5" customHeight="1" x14ac:dyDescent="0.3"/>
    <row r="943" ht="13.5" customHeight="1" x14ac:dyDescent="0.3"/>
    <row r="944" ht="13.5" customHeight="1" x14ac:dyDescent="0.3"/>
    <row r="945" ht="13.5" customHeight="1" x14ac:dyDescent="0.3"/>
    <row r="946" ht="13.5" customHeight="1" x14ac:dyDescent="0.3"/>
    <row r="947" ht="13.5" customHeight="1" x14ac:dyDescent="0.3"/>
    <row r="948" ht="13.5" customHeight="1" x14ac:dyDescent="0.3"/>
    <row r="949" ht="13.5" customHeight="1" x14ac:dyDescent="0.3"/>
    <row r="950" ht="13.5" customHeight="1" x14ac:dyDescent="0.3"/>
    <row r="951" ht="13.5" customHeight="1" x14ac:dyDescent="0.3"/>
    <row r="952" ht="13.5" customHeight="1" x14ac:dyDescent="0.3"/>
    <row r="953" ht="13.5" customHeight="1" x14ac:dyDescent="0.3"/>
    <row r="954" ht="13.5" customHeight="1" x14ac:dyDescent="0.3"/>
    <row r="955" ht="13.5" customHeight="1" x14ac:dyDescent="0.3"/>
    <row r="956" ht="13.5" customHeight="1" x14ac:dyDescent="0.3"/>
    <row r="957" ht="13.5" customHeight="1" x14ac:dyDescent="0.3"/>
    <row r="958" ht="13.5" customHeight="1" x14ac:dyDescent="0.3"/>
    <row r="959" ht="13.5" customHeight="1" x14ac:dyDescent="0.3"/>
    <row r="960" ht="13.5" customHeight="1" x14ac:dyDescent="0.3"/>
    <row r="961" ht="13.5" customHeight="1" x14ac:dyDescent="0.3"/>
    <row r="962" ht="13.5" customHeight="1" x14ac:dyDescent="0.3"/>
    <row r="963" ht="13.5" customHeight="1" x14ac:dyDescent="0.3"/>
    <row r="964" ht="13.5" customHeight="1" x14ac:dyDescent="0.3"/>
    <row r="965" ht="13.5" customHeight="1" x14ac:dyDescent="0.3"/>
    <row r="966" ht="13.5" customHeight="1" x14ac:dyDescent="0.3"/>
    <row r="967" ht="13.5" customHeight="1" x14ac:dyDescent="0.3"/>
    <row r="968" ht="13.5" customHeight="1" x14ac:dyDescent="0.3"/>
    <row r="969" ht="13.5" customHeight="1" x14ac:dyDescent="0.3"/>
    <row r="970" ht="13.5" customHeight="1" x14ac:dyDescent="0.3"/>
    <row r="971" ht="13.5" customHeight="1" x14ac:dyDescent="0.3"/>
    <row r="972" ht="13.5" customHeight="1" x14ac:dyDescent="0.3"/>
    <row r="973" ht="13.5" customHeight="1" x14ac:dyDescent="0.3"/>
    <row r="974" ht="13.5" customHeight="1" x14ac:dyDescent="0.3"/>
    <row r="975" ht="13.5" customHeight="1" x14ac:dyDescent="0.3"/>
    <row r="976" ht="13.5" customHeight="1" x14ac:dyDescent="0.3"/>
    <row r="977" ht="13.5" customHeight="1" x14ac:dyDescent="0.3"/>
    <row r="978" ht="13.5" customHeight="1" x14ac:dyDescent="0.3"/>
    <row r="979" ht="13.5" customHeight="1" x14ac:dyDescent="0.3"/>
    <row r="980" ht="13.5" customHeight="1" x14ac:dyDescent="0.3"/>
    <row r="981" ht="13.5" customHeight="1" x14ac:dyDescent="0.3"/>
    <row r="982" ht="13.5" customHeight="1" x14ac:dyDescent="0.3"/>
    <row r="983" ht="13.5" customHeight="1" x14ac:dyDescent="0.3"/>
    <row r="984" ht="13.5" customHeight="1" x14ac:dyDescent="0.3"/>
    <row r="985" ht="13.5" customHeight="1" x14ac:dyDescent="0.3"/>
    <row r="986" ht="13.5" customHeight="1" x14ac:dyDescent="0.3"/>
    <row r="987" ht="13.5" customHeight="1" x14ac:dyDescent="0.3"/>
  </sheetData>
  <hyperlinks>
    <hyperlink ref="I17" r:id="rId1"/>
    <hyperlink ref="Q17" r:id="rId2"/>
    <hyperlink ref="S17" r:id="rId3"/>
    <hyperlink ref="T17" r:id="rId4"/>
    <hyperlink ref="V17" r:id="rId5"/>
    <hyperlink ref="AL16" r:id="rId6"/>
    <hyperlink ref="P18" r:id="rId7" location="/countries/840"/>
  </hyperlinks>
  <pageMargins left="0.7" right="0.7" top="0.75" bottom="0.75" header="0.3" footer="0.3"/>
  <pageSetup paperSize="9" orientation="portrait" r:id="rId8"/>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topLeftCell="A9" workbookViewId="0">
      <selection activeCell="C39" sqref="C39"/>
    </sheetView>
  </sheetViews>
  <sheetFormatPr baseColWidth="10" defaultColWidth="11" defaultRowHeight="14.5" x14ac:dyDescent="0.35"/>
  <cols>
    <col min="1" max="1" width="36.83203125" style="191" customWidth="1"/>
    <col min="2" max="2" width="8.33203125" style="191" customWidth="1"/>
    <col min="3" max="3" width="11" style="191"/>
    <col min="4" max="4" width="12.83203125" style="191" bestFit="1" customWidth="1"/>
    <col min="5" max="5" width="12.83203125" style="191" customWidth="1"/>
    <col min="6" max="16384" width="11" style="191"/>
  </cols>
  <sheetData>
    <row r="1" spans="1:14" ht="15" thickBot="1" x14ac:dyDescent="0.4">
      <c r="A1" s="190" t="s">
        <v>651</v>
      </c>
    </row>
    <row r="2" spans="1:14" s="228" customFormat="1" x14ac:dyDescent="0.35">
      <c r="A2" s="232"/>
      <c r="B2" s="235" t="s">
        <v>254</v>
      </c>
      <c r="C2" s="235" t="s">
        <v>55</v>
      </c>
      <c r="D2" s="235" t="s">
        <v>51</v>
      </c>
      <c r="E2" s="235" t="s">
        <v>763</v>
      </c>
      <c r="F2" s="235" t="s">
        <v>46</v>
      </c>
      <c r="G2" s="235" t="s">
        <v>53</v>
      </c>
      <c r="H2" s="235" t="s">
        <v>52</v>
      </c>
      <c r="I2" s="235" t="s">
        <v>48</v>
      </c>
      <c r="J2" s="235" t="s">
        <v>49</v>
      </c>
      <c r="K2" s="235" t="s">
        <v>648</v>
      </c>
      <c r="L2" s="235" t="s">
        <v>54</v>
      </c>
      <c r="M2" s="235" t="s">
        <v>50</v>
      </c>
    </row>
    <row r="3" spans="1:14" x14ac:dyDescent="0.35">
      <c r="A3" s="192" t="s">
        <v>569</v>
      </c>
      <c r="B3" s="229" t="s">
        <v>650</v>
      </c>
      <c r="C3" s="229">
        <v>4.53</v>
      </c>
      <c r="D3" s="229">
        <v>156.97999999999999</v>
      </c>
      <c r="E3" s="476">
        <v>7.91</v>
      </c>
      <c r="F3" s="229">
        <v>0.35</v>
      </c>
      <c r="G3" s="229">
        <v>589.5</v>
      </c>
      <c r="H3" s="229">
        <v>356.97</v>
      </c>
      <c r="I3" s="229">
        <v>64.540000000000006</v>
      </c>
      <c r="J3" s="229">
        <v>125.46</v>
      </c>
      <c r="K3" s="229">
        <v>7.15</v>
      </c>
      <c r="L3" s="229">
        <v>21.11</v>
      </c>
      <c r="M3" s="229">
        <v>28.13</v>
      </c>
      <c r="N3" s="191">
        <f>SUM(C3:M3)</f>
        <v>1362.63</v>
      </c>
    </row>
    <row r="4" spans="1:14" x14ac:dyDescent="0.35">
      <c r="A4" s="373" t="s">
        <v>705</v>
      </c>
      <c r="B4" s="230" t="s">
        <v>649</v>
      </c>
      <c r="C4" s="229">
        <v>9.19</v>
      </c>
      <c r="D4" s="229">
        <v>482.08</v>
      </c>
      <c r="E4" s="476">
        <v>4.63</v>
      </c>
      <c r="F4" s="229">
        <v>2.08</v>
      </c>
      <c r="G4" s="231">
        <v>2230</v>
      </c>
      <c r="H4" s="229">
        <v>688.38</v>
      </c>
      <c r="I4" s="229">
        <v>88.05</v>
      </c>
      <c r="J4" s="229">
        <v>481.02</v>
      </c>
      <c r="K4" s="229">
        <v>10.39</v>
      </c>
      <c r="L4" s="229">
        <v>37.32</v>
      </c>
      <c r="M4" s="229">
        <v>39.409999999999997</v>
      </c>
    </row>
    <row r="5" spans="1:14" ht="15" hidden="1" thickBot="1" x14ac:dyDescent="0.4">
      <c r="A5" s="193" t="s">
        <v>549</v>
      </c>
      <c r="B5" s="233"/>
      <c r="C5" s="233"/>
      <c r="D5" s="234">
        <v>359</v>
      </c>
      <c r="E5" s="234"/>
      <c r="F5" s="233"/>
      <c r="G5" s="233"/>
      <c r="H5" s="233"/>
      <c r="I5" s="233"/>
      <c r="J5" s="233">
        <v>453</v>
      </c>
      <c r="K5" s="233"/>
      <c r="L5" s="233"/>
      <c r="M5" s="233"/>
    </row>
    <row r="7" spans="1:14" hidden="1" x14ac:dyDescent="0.35">
      <c r="A7" s="225" t="s">
        <v>570</v>
      </c>
      <c r="B7" s="225"/>
      <c r="C7" s="191">
        <v>3.4</v>
      </c>
      <c r="D7" s="191">
        <v>153</v>
      </c>
      <c r="G7" s="226">
        <v>626.6</v>
      </c>
      <c r="H7" s="191">
        <v>381</v>
      </c>
      <c r="J7" s="191">
        <v>92</v>
      </c>
      <c r="L7" s="191">
        <v>22.7</v>
      </c>
      <c r="M7" s="191">
        <v>26.2</v>
      </c>
      <c r="N7" s="191" t="s">
        <v>571</v>
      </c>
    </row>
    <row r="8" spans="1:14" hidden="1" x14ac:dyDescent="0.35">
      <c r="A8" s="191" t="s">
        <v>652</v>
      </c>
    </row>
    <row r="12" spans="1:14" x14ac:dyDescent="0.35">
      <c r="A12" s="191" t="s">
        <v>548</v>
      </c>
    </row>
    <row r="13" spans="1:14" hidden="1" x14ac:dyDescent="0.35">
      <c r="A13" s="191" t="s">
        <v>553</v>
      </c>
    </row>
    <row r="14" spans="1:14" hidden="1" x14ac:dyDescent="0.35">
      <c r="A14" s="191" t="s">
        <v>565</v>
      </c>
    </row>
    <row r="15" spans="1:14" x14ac:dyDescent="0.35">
      <c r="A15" s="130" t="s">
        <v>568</v>
      </c>
    </row>
    <row r="16" spans="1:14" x14ac:dyDescent="0.35">
      <c r="A16" s="227" t="s">
        <v>567</v>
      </c>
    </row>
  </sheetData>
  <hyperlinks>
    <hyperlink ref="A16" r:id="rId1"/>
    <hyperlink ref="A15" r:id="rId2" location="total-greenhouse-gas-emissions-how-much-does-the-average-person-emit-where-do-emissions-come-from"/>
  </hyperlink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C1000"/>
  <sheetViews>
    <sheetView workbookViewId="0">
      <selection activeCell="C16" sqref="C16"/>
    </sheetView>
  </sheetViews>
  <sheetFormatPr baseColWidth="10" defaultColWidth="12.58203125" defaultRowHeight="15" customHeight="1" x14ac:dyDescent="0.3"/>
  <cols>
    <col min="1" max="26" width="9.33203125" customWidth="1"/>
  </cols>
  <sheetData>
    <row r="2" spans="2:3" ht="14.5" x14ac:dyDescent="0.35">
      <c r="B2" s="1" t="s">
        <v>0</v>
      </c>
    </row>
    <row r="4" spans="2:3" ht="14.5" x14ac:dyDescent="0.35">
      <c r="B4" s="2"/>
      <c r="C4" s="3" t="s">
        <v>1</v>
      </c>
    </row>
    <row r="5" spans="2:3" ht="14.5" x14ac:dyDescent="0.35">
      <c r="B5" s="4"/>
      <c r="C5" s="3" t="s">
        <v>2</v>
      </c>
    </row>
    <row r="6" spans="2:3" ht="14.5" x14ac:dyDescent="0.35">
      <c r="B6" s="5"/>
      <c r="C6" s="3" t="s">
        <v>3</v>
      </c>
    </row>
    <row r="8" spans="2:3" ht="14.5" x14ac:dyDescent="0.35">
      <c r="B8" s="44" t="s">
        <v>762</v>
      </c>
    </row>
    <row r="9" spans="2:3" ht="14.5" x14ac:dyDescent="0.35">
      <c r="B9" s="3" t="s">
        <v>4</v>
      </c>
    </row>
    <row r="11" spans="2:3" ht="14.5" x14ac:dyDescent="0.35">
      <c r="B11" s="3" t="s">
        <v>5</v>
      </c>
    </row>
    <row r="12" spans="2:3" ht="14.5" x14ac:dyDescent="0.35">
      <c r="C12" s="3" t="s">
        <v>6</v>
      </c>
    </row>
    <row r="13" spans="2:3" ht="14.5" x14ac:dyDescent="0.35">
      <c r="C13" s="3" t="s">
        <v>7</v>
      </c>
    </row>
    <row r="15" spans="2:3" ht="14.5" x14ac:dyDescent="0.35">
      <c r="B15" s="3" t="s">
        <v>8</v>
      </c>
    </row>
    <row r="16" spans="2:3" ht="14.5" x14ac:dyDescent="0.35">
      <c r="C16" s="3" t="s">
        <v>9</v>
      </c>
    </row>
    <row r="17" spans="2:3" ht="14.5" x14ac:dyDescent="0.35">
      <c r="C17" s="3" t="s">
        <v>10</v>
      </c>
    </row>
    <row r="18" spans="2:3" ht="14.5" x14ac:dyDescent="0.35">
      <c r="C18" s="3" t="s">
        <v>11</v>
      </c>
    </row>
    <row r="20" spans="2:3" ht="14.5" x14ac:dyDescent="0.35">
      <c r="B20" s="3" t="s">
        <v>12</v>
      </c>
    </row>
    <row r="21" spans="2:3" ht="15.75" customHeight="1" x14ac:dyDescent="0.35">
      <c r="C21" s="3" t="s">
        <v>13</v>
      </c>
    </row>
    <row r="22" spans="2:3" ht="15.75" customHeight="1" x14ac:dyDescent="0.3"/>
    <row r="23" spans="2:3" ht="15.75" customHeight="1" x14ac:dyDescent="0.35">
      <c r="B23" s="3" t="s">
        <v>14</v>
      </c>
    </row>
    <row r="24" spans="2:3" ht="15.75" customHeight="1" x14ac:dyDescent="0.35">
      <c r="C24" s="3" t="s">
        <v>15</v>
      </c>
    </row>
    <row r="25" spans="2:3" ht="15.75" customHeight="1" x14ac:dyDescent="0.35">
      <c r="C25" s="3" t="s">
        <v>16</v>
      </c>
    </row>
    <row r="26" spans="2:3" ht="15.75" customHeight="1" x14ac:dyDescent="0.3"/>
    <row r="27" spans="2:3" ht="15.75" customHeight="1" x14ac:dyDescent="0.35">
      <c r="B27" s="3" t="s">
        <v>17</v>
      </c>
    </row>
    <row r="28" spans="2:3" ht="15.75" customHeight="1" x14ac:dyDescent="0.35">
      <c r="C28" s="3" t="s">
        <v>18</v>
      </c>
    </row>
    <row r="29" spans="2:3" ht="15.75" customHeight="1" x14ac:dyDescent="0.3"/>
    <row r="30" spans="2:3" ht="15.75" customHeight="1" x14ac:dyDescent="0.3"/>
    <row r="31" spans="2:3" ht="15.75" customHeight="1" x14ac:dyDescent="0.3"/>
    <row r="32" spans="2:3"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paperSize="9" orientation="portrai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G1000"/>
  <sheetViews>
    <sheetView workbookViewId="0">
      <selection activeCell="C34" sqref="C34"/>
    </sheetView>
  </sheetViews>
  <sheetFormatPr baseColWidth="10" defaultColWidth="12.58203125" defaultRowHeight="15" customHeight="1" x14ac:dyDescent="0.3"/>
  <cols>
    <col min="1" max="1" width="9.33203125" customWidth="1"/>
    <col min="2" max="2" width="98.33203125" customWidth="1"/>
    <col min="3" max="3" width="16.08203125" bestFit="1" customWidth="1"/>
    <col min="4" max="26" width="9.33203125" customWidth="1"/>
  </cols>
  <sheetData>
    <row r="2" spans="2:7" ht="14.5" x14ac:dyDescent="0.35">
      <c r="B2" s="6" t="s">
        <v>19</v>
      </c>
    </row>
    <row r="3" spans="2:7" ht="14.5" hidden="1" x14ac:dyDescent="0.35">
      <c r="B3" s="7" t="s">
        <v>20</v>
      </c>
      <c r="C3" s="157">
        <f>SUM('Output_Carbon savings'!M4:M10)</f>
        <v>3745412.4670562446</v>
      </c>
      <c r="D3" s="9" t="s">
        <v>21</v>
      </c>
    </row>
    <row r="4" spans="2:7" ht="14.5" hidden="1" x14ac:dyDescent="0.35">
      <c r="B4" s="7" t="s">
        <v>22</v>
      </c>
      <c r="C4" s="157">
        <f>SUM('Output_Carbon savings'!M26:M32)</f>
        <v>2765870.062770112</v>
      </c>
      <c r="D4" s="9" t="s">
        <v>21</v>
      </c>
    </row>
    <row r="5" spans="2:7" ht="14.5" hidden="1" x14ac:dyDescent="0.35">
      <c r="B5" s="10" t="s">
        <v>23</v>
      </c>
      <c r="C5" s="157">
        <f>AVERAGE(C3:C4)</f>
        <v>3255641.264913178</v>
      </c>
      <c r="D5" s="9" t="s">
        <v>21</v>
      </c>
    </row>
    <row r="6" spans="2:7" ht="14.5" hidden="1" x14ac:dyDescent="0.35">
      <c r="B6" s="7" t="s">
        <v>24</v>
      </c>
      <c r="C6" s="157">
        <f>SUM('Output_Financial savings'!M4:M10)</f>
        <v>181814056.83000001</v>
      </c>
      <c r="D6" s="9" t="s">
        <v>25</v>
      </c>
      <c r="G6" s="11"/>
    </row>
    <row r="7" spans="2:7" ht="14.5" hidden="1" x14ac:dyDescent="0.35">
      <c r="B7" s="7" t="s">
        <v>26</v>
      </c>
      <c r="C7" s="157">
        <f>SUM('Output_Financial savings'!M17:M23)</f>
        <v>112937934.53</v>
      </c>
      <c r="D7" s="9" t="s">
        <v>25</v>
      </c>
    </row>
    <row r="8" spans="2:7" ht="14.5" hidden="1" x14ac:dyDescent="0.35">
      <c r="B8" s="10" t="s">
        <v>27</v>
      </c>
      <c r="C8" s="157">
        <f>AVERAGE(C6:C7)</f>
        <v>147375995.68000001</v>
      </c>
      <c r="D8" s="9" t="s">
        <v>25</v>
      </c>
    </row>
    <row r="9" spans="2:7" ht="15" hidden="1" customHeight="1" x14ac:dyDescent="0.3"/>
    <row r="10" spans="2:7" ht="14.5" x14ac:dyDescent="0.35">
      <c r="B10" s="6" t="s">
        <v>28</v>
      </c>
    </row>
    <row r="11" spans="2:7" ht="14.5" x14ac:dyDescent="0.35">
      <c r="B11" s="7" t="s">
        <v>665</v>
      </c>
      <c r="C11" s="154">
        <f>('[2]Revised top-down'!$C$4+'[2]Revised top-down'!$D$4)*1000000</f>
        <v>1287000000</v>
      </c>
      <c r="D11" s="9" t="s">
        <v>25</v>
      </c>
    </row>
    <row r="12" spans="2:7" ht="14.5" x14ac:dyDescent="0.35">
      <c r="B12" s="7" t="s">
        <v>29</v>
      </c>
      <c r="C12" s="12">
        <v>15</v>
      </c>
      <c r="D12" s="9" t="s">
        <v>30</v>
      </c>
    </row>
    <row r="13" spans="2:7" ht="14.5" x14ac:dyDescent="0.35">
      <c r="B13" s="7" t="s">
        <v>670</v>
      </c>
      <c r="C13" s="12">
        <v>4</v>
      </c>
      <c r="D13" s="9"/>
    </row>
    <row r="14" spans="2:7" ht="14.5" x14ac:dyDescent="0.35">
      <c r="B14" s="7" t="s">
        <v>31</v>
      </c>
      <c r="C14" s="13">
        <f>C11/C34</f>
        <v>1.1712900783996532</v>
      </c>
      <c r="D14" s="9"/>
    </row>
    <row r="16" spans="2:7" ht="15" hidden="1" customHeight="1" x14ac:dyDescent="0.3"/>
    <row r="17" spans="2:4" ht="14.5" hidden="1" x14ac:dyDescent="0.35">
      <c r="B17" s="6" t="s">
        <v>32</v>
      </c>
    </row>
    <row r="18" spans="2:4" ht="14.5" hidden="1" x14ac:dyDescent="0.35">
      <c r="B18" s="7" t="s">
        <v>20</v>
      </c>
      <c r="C18" s="157">
        <f t="shared" ref="C18:C23" si="0">C3*$C$14</f>
        <v>4386964.4621773474</v>
      </c>
      <c r="D18" s="9" t="s">
        <v>21</v>
      </c>
    </row>
    <row r="19" spans="2:4" ht="14.5" hidden="1" x14ac:dyDescent="0.35">
      <c r="B19" s="7" t="s">
        <v>22</v>
      </c>
      <c r="C19" s="157">
        <f t="shared" si="0"/>
        <v>3239636.1626652582</v>
      </c>
      <c r="D19" s="9" t="s">
        <v>21</v>
      </c>
    </row>
    <row r="20" spans="2:4" ht="14.5" hidden="1" x14ac:dyDescent="0.35">
      <c r="B20" s="10" t="s">
        <v>23</v>
      </c>
      <c r="C20" s="157">
        <f t="shared" si="0"/>
        <v>3813300.3124213023</v>
      </c>
      <c r="D20" s="9" t="s">
        <v>21</v>
      </c>
    </row>
    <row r="21" spans="2:4" ht="15.75" hidden="1" customHeight="1" x14ac:dyDescent="0.35">
      <c r="B21" s="7" t="s">
        <v>24</v>
      </c>
      <c r="C21" s="157">
        <f t="shared" si="0"/>
        <v>212957000.87856972</v>
      </c>
      <c r="D21" s="9" t="s">
        <v>25</v>
      </c>
    </row>
    <row r="22" spans="2:4" ht="15.75" hidden="1" customHeight="1" x14ac:dyDescent="0.35">
      <c r="B22" s="7" t="s">
        <v>26</v>
      </c>
      <c r="C22" s="157">
        <f t="shared" si="0"/>
        <v>132283082.18993859</v>
      </c>
      <c r="D22" s="9" t="s">
        <v>25</v>
      </c>
    </row>
    <row r="23" spans="2:4" ht="15.75" hidden="1" customHeight="1" x14ac:dyDescent="0.35">
      <c r="B23" s="10" t="s">
        <v>27</v>
      </c>
      <c r="C23" s="157">
        <f t="shared" si="0"/>
        <v>172620041.53425416</v>
      </c>
      <c r="D23" s="9" t="s">
        <v>25</v>
      </c>
    </row>
    <row r="24" spans="2:4" ht="15.75" hidden="1" customHeight="1" x14ac:dyDescent="0.35">
      <c r="B24" s="7" t="s">
        <v>33</v>
      </c>
      <c r="C24" s="157">
        <f t="shared" ref="C24:C26" si="1">$C$11/C18</f>
        <v>293.3691419422243</v>
      </c>
      <c r="D24" s="9" t="s">
        <v>34</v>
      </c>
    </row>
    <row r="25" spans="2:4" ht="15.75" hidden="1" customHeight="1" x14ac:dyDescent="0.35">
      <c r="B25" s="7" t="s">
        <v>35</v>
      </c>
      <c r="C25" s="157">
        <f t="shared" si="1"/>
        <v>397.26683348946858</v>
      </c>
      <c r="D25" s="9" t="s">
        <v>34</v>
      </c>
    </row>
    <row r="26" spans="2:4" ht="15.75" hidden="1" customHeight="1" x14ac:dyDescent="0.35">
      <c r="B26" s="10" t="s">
        <v>36</v>
      </c>
      <c r="C26" s="157">
        <f t="shared" si="1"/>
        <v>337.50292254920868</v>
      </c>
      <c r="D26" s="9" t="s">
        <v>34</v>
      </c>
    </row>
    <row r="27" spans="2:4" ht="15.75" hidden="1" customHeight="1" x14ac:dyDescent="0.35">
      <c r="B27" s="7" t="s">
        <v>37</v>
      </c>
      <c r="C27" s="157">
        <f>(SUM('Output_Financial savings'!M50:M56))*$C$14</f>
        <v>30844798.355014309</v>
      </c>
      <c r="D27" s="9" t="s">
        <v>38</v>
      </c>
    </row>
    <row r="28" spans="2:4" ht="15.75" hidden="1" customHeight="1" x14ac:dyDescent="0.35">
      <c r="B28" s="7" t="s">
        <v>39</v>
      </c>
      <c r="C28" s="157">
        <f>(SUM('Output_Financial savings'!M83:M89))*$C$14</f>
        <v>20240039.106560618</v>
      </c>
      <c r="D28" s="9" t="s">
        <v>38</v>
      </c>
    </row>
    <row r="29" spans="2:4" ht="15.75" hidden="1" customHeight="1" x14ac:dyDescent="0.35">
      <c r="B29" s="10" t="s">
        <v>40</v>
      </c>
      <c r="C29" s="157">
        <f>AVERAGE(C27,C28)</f>
        <v>25542418.730787463</v>
      </c>
      <c r="D29" s="9" t="s">
        <v>38</v>
      </c>
    </row>
    <row r="30" spans="2:4" ht="15.75" hidden="1" customHeight="1" x14ac:dyDescent="0.35">
      <c r="B30" s="7" t="s">
        <v>41</v>
      </c>
      <c r="C30" s="157">
        <f t="shared" ref="C30:C32" si="2">C21/C27</f>
        <v>6.9041463143152688</v>
      </c>
      <c r="D30" s="9" t="s">
        <v>30</v>
      </c>
    </row>
    <row r="31" spans="2:4" ht="15.75" hidden="1" customHeight="1" x14ac:dyDescent="0.35">
      <c r="B31" s="7" t="s">
        <v>42</v>
      </c>
      <c r="C31" s="157">
        <f t="shared" si="2"/>
        <v>6.535712776713968</v>
      </c>
      <c r="D31" s="9" t="s">
        <v>30</v>
      </c>
    </row>
    <row r="32" spans="2:4" ht="15.75" hidden="1" customHeight="1" x14ac:dyDescent="0.35">
      <c r="B32" s="10" t="s">
        <v>43</v>
      </c>
      <c r="C32" s="157">
        <f t="shared" si="2"/>
        <v>6.7581713131257697</v>
      </c>
      <c r="D32" s="9" t="s">
        <v>30</v>
      </c>
    </row>
    <row r="33" spans="2:4" ht="15.75" hidden="1" customHeight="1" x14ac:dyDescent="0.3"/>
    <row r="34" spans="2:4" ht="15.75" customHeight="1" x14ac:dyDescent="0.35">
      <c r="B34" s="7" t="s">
        <v>761</v>
      </c>
      <c r="C34" s="154">
        <f>('Input_Area and Costs'!M32+AVERAGE('Output_Financial savings'!M11,'Output_Financial savings'!M24))</f>
        <v>1098788441.6800001</v>
      </c>
      <c r="D34" s="9" t="s">
        <v>25</v>
      </c>
    </row>
    <row r="35" spans="2:4" ht="15.75" customHeight="1" x14ac:dyDescent="0.3"/>
    <row r="36" spans="2:4" ht="15.75" customHeight="1" x14ac:dyDescent="0.3"/>
    <row r="37" spans="2:4" ht="15.75" customHeight="1" x14ac:dyDescent="0.3"/>
    <row r="38" spans="2:4" ht="15.75" customHeight="1" x14ac:dyDescent="0.3"/>
    <row r="39" spans="2:4" ht="15.75" customHeight="1" x14ac:dyDescent="0.3"/>
    <row r="40" spans="2:4" ht="15.75" customHeight="1" x14ac:dyDescent="0.3"/>
    <row r="41" spans="2:4" ht="15.75" customHeight="1" x14ac:dyDescent="0.3"/>
    <row r="42" spans="2:4" ht="15.75" customHeight="1" x14ac:dyDescent="0.3"/>
    <row r="43" spans="2:4" ht="15.75" customHeight="1" x14ac:dyDescent="0.3"/>
    <row r="44" spans="2:4" ht="15.75" customHeight="1" x14ac:dyDescent="0.3"/>
    <row r="45" spans="2:4" ht="15.75" customHeight="1" x14ac:dyDescent="0.3"/>
    <row r="46" spans="2:4" ht="15.75" customHeight="1" x14ac:dyDescent="0.3"/>
    <row r="47" spans="2:4" ht="15.75" customHeight="1" x14ac:dyDescent="0.3"/>
    <row r="48" spans="2:4"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paperSize="9" orientation="portrai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1000"/>
  <sheetViews>
    <sheetView zoomScale="85" zoomScaleNormal="85" workbookViewId="0">
      <pane xSplit="1" topLeftCell="B1" activePane="topRight" state="frozen"/>
      <selection pane="topRight" activeCell="P31" sqref="P31"/>
    </sheetView>
  </sheetViews>
  <sheetFormatPr baseColWidth="10" defaultColWidth="12.58203125" defaultRowHeight="15" customHeight="1" x14ac:dyDescent="0.3"/>
  <cols>
    <col min="1" max="1" width="30.5" customWidth="1"/>
    <col min="2" max="2" width="13.58203125" bestFit="1" customWidth="1"/>
    <col min="3" max="3" width="14.33203125" bestFit="1" customWidth="1"/>
    <col min="4" max="4" width="13.58203125" bestFit="1" customWidth="1"/>
    <col min="5" max="5" width="14.33203125" bestFit="1" customWidth="1"/>
    <col min="6" max="6" width="13.58203125" bestFit="1" customWidth="1"/>
    <col min="7" max="7" width="14.33203125" bestFit="1" customWidth="1"/>
    <col min="8" max="8" width="15" bestFit="1" customWidth="1"/>
    <col min="9" max="9" width="12.58203125" bestFit="1" customWidth="1"/>
    <col min="10" max="10" width="13.25" bestFit="1" customWidth="1"/>
    <col min="11" max="11" width="13.25" customWidth="1"/>
    <col min="12" max="12" width="13.25" bestFit="1" customWidth="1"/>
    <col min="13" max="13" width="14" bestFit="1" customWidth="1"/>
    <col min="14" max="15" width="12.58203125" bestFit="1" customWidth="1"/>
    <col min="16" max="16" width="13.58203125" bestFit="1" customWidth="1"/>
    <col min="17" max="17" width="13.08203125" customWidth="1"/>
    <col min="18" max="18" width="13" customWidth="1"/>
    <col min="19" max="19" width="14.08203125" customWidth="1"/>
    <col min="20" max="20" width="16.08203125" customWidth="1"/>
    <col min="21" max="21" width="27.08203125" customWidth="1"/>
    <col min="22" max="22" width="20.08203125" customWidth="1"/>
    <col min="23" max="26" width="9.33203125" customWidth="1"/>
    <col min="27" max="27" width="14.5" customWidth="1"/>
    <col min="28" max="35" width="9.33203125" customWidth="1"/>
  </cols>
  <sheetData>
    <row r="1" spans="1:35" ht="42" customHeight="1" x14ac:dyDescent="0.3">
      <c r="A1" s="15" t="s">
        <v>44</v>
      </c>
      <c r="B1" s="15"/>
      <c r="C1" s="15"/>
      <c r="D1" s="15"/>
      <c r="E1" s="15"/>
      <c r="F1" s="15"/>
      <c r="G1" s="15"/>
      <c r="H1" s="15"/>
      <c r="I1" s="15"/>
      <c r="J1" s="15"/>
      <c r="K1" s="15"/>
      <c r="L1" s="15"/>
      <c r="M1" s="15"/>
      <c r="N1" s="15"/>
      <c r="O1" s="15"/>
      <c r="P1" s="15"/>
      <c r="Q1" s="15"/>
      <c r="R1" s="15"/>
      <c r="S1" s="16"/>
      <c r="T1" s="16"/>
      <c r="U1" s="16"/>
      <c r="V1" s="16"/>
      <c r="W1" s="15"/>
      <c r="X1" s="15"/>
      <c r="Y1" s="15"/>
      <c r="Z1" s="15"/>
      <c r="AA1" s="15"/>
      <c r="AB1" s="15"/>
      <c r="AC1" s="15"/>
      <c r="AD1" s="15"/>
      <c r="AE1" s="15"/>
      <c r="AF1" s="15"/>
      <c r="AG1" s="15"/>
      <c r="AH1" s="15"/>
      <c r="AI1" s="15"/>
    </row>
    <row r="2" spans="1:35" ht="14.5" x14ac:dyDescent="0.35">
      <c r="S2" s="17"/>
      <c r="T2" s="17"/>
      <c r="U2" s="17"/>
      <c r="V2" s="17"/>
    </row>
    <row r="3" spans="1:35" ht="67.5" customHeight="1" x14ac:dyDescent="0.35">
      <c r="A3" s="18" t="s">
        <v>45</v>
      </c>
      <c r="B3" s="19" t="s">
        <v>46</v>
      </c>
      <c r="C3" s="19" t="s">
        <v>48</v>
      </c>
      <c r="D3" s="19" t="s">
        <v>701</v>
      </c>
      <c r="E3" s="19" t="s">
        <v>50</v>
      </c>
      <c r="F3" s="19" t="s">
        <v>51</v>
      </c>
      <c r="G3" s="19" t="s">
        <v>658</v>
      </c>
      <c r="H3" s="19" t="s">
        <v>659</v>
      </c>
      <c r="I3" s="19" t="s">
        <v>660</v>
      </c>
      <c r="J3" s="19" t="s">
        <v>55</v>
      </c>
      <c r="K3" s="19" t="s">
        <v>763</v>
      </c>
      <c r="L3" s="19" t="s">
        <v>648</v>
      </c>
      <c r="M3" s="20" t="s">
        <v>56</v>
      </c>
      <c r="N3" s="20" t="s">
        <v>57</v>
      </c>
      <c r="U3" s="1"/>
    </row>
    <row r="4" spans="1:35" ht="50.25" customHeight="1" x14ac:dyDescent="0.3">
      <c r="A4" s="21" t="s">
        <v>58</v>
      </c>
      <c r="B4" s="154"/>
      <c r="C4" s="154">
        <v>1217500</v>
      </c>
      <c r="D4" s="154">
        <v>75000</v>
      </c>
      <c r="E4" s="155">
        <v>340000</v>
      </c>
      <c r="F4" s="154">
        <v>525000</v>
      </c>
      <c r="G4" s="154">
        <v>191250</v>
      </c>
      <c r="H4" s="154">
        <v>207777.77777777778</v>
      </c>
      <c r="I4" s="154"/>
      <c r="J4" s="154"/>
      <c r="K4" s="154"/>
      <c r="L4" s="154"/>
      <c r="M4" s="157">
        <f t="shared" ref="M4:M10" si="0">SUM(B4:L4)</f>
        <v>2556527.777777778</v>
      </c>
      <c r="N4" s="23">
        <f t="shared" ref="N4:N10" si="1">M4/$M$11</f>
        <v>0.70123377219258032</v>
      </c>
      <c r="O4" s="24"/>
      <c r="P4" s="25"/>
      <c r="Q4" s="26"/>
      <c r="R4" s="26"/>
      <c r="S4" s="26"/>
      <c r="T4" s="26"/>
      <c r="U4" s="27"/>
      <c r="V4" s="26"/>
      <c r="W4" s="26"/>
      <c r="X4" s="26"/>
      <c r="Y4" s="26"/>
      <c r="Z4" s="26"/>
      <c r="AA4" s="26"/>
    </row>
    <row r="5" spans="1:35" ht="45" hidden="1" customHeight="1" x14ac:dyDescent="0.3">
      <c r="A5" s="21" t="s">
        <v>59</v>
      </c>
      <c r="B5" s="154"/>
      <c r="C5" s="154"/>
      <c r="D5" s="154"/>
      <c r="E5" s="154"/>
      <c r="F5" s="154"/>
      <c r="G5" s="154"/>
      <c r="H5" s="154"/>
      <c r="I5" s="154"/>
      <c r="J5" s="154"/>
      <c r="K5" s="154"/>
      <c r="L5" s="154"/>
      <c r="M5" s="157">
        <f t="shared" si="0"/>
        <v>0</v>
      </c>
      <c r="N5" s="23">
        <f t="shared" si="1"/>
        <v>0</v>
      </c>
      <c r="O5" s="24"/>
      <c r="P5" s="25"/>
      <c r="Q5" s="28"/>
      <c r="R5" s="29"/>
      <c r="S5" s="25"/>
      <c r="T5" s="26"/>
      <c r="U5" s="30"/>
      <c r="V5" s="31"/>
      <c r="W5" s="26"/>
      <c r="X5" s="26"/>
      <c r="Y5" s="26"/>
      <c r="Z5" s="26"/>
      <c r="AA5" s="26"/>
    </row>
    <row r="6" spans="1:35" ht="44.25" customHeight="1" x14ac:dyDescent="0.3">
      <c r="A6" s="21" t="s">
        <v>60</v>
      </c>
      <c r="B6" s="154"/>
      <c r="C6" s="154"/>
      <c r="D6" s="154"/>
      <c r="E6" s="154">
        <v>68779</v>
      </c>
      <c r="F6" s="154"/>
      <c r="G6" s="154"/>
      <c r="H6" s="154"/>
      <c r="I6" s="154"/>
      <c r="J6" s="154">
        <v>393700</v>
      </c>
      <c r="K6" s="154"/>
      <c r="L6" s="154"/>
      <c r="M6" s="157">
        <f t="shared" si="0"/>
        <v>462479</v>
      </c>
      <c r="N6" s="23">
        <f t="shared" si="1"/>
        <v>0.12685404655049365</v>
      </c>
      <c r="O6" s="24"/>
      <c r="P6" s="25"/>
      <c r="Q6" s="25"/>
      <c r="R6" s="26"/>
      <c r="S6" s="29"/>
      <c r="T6" s="27"/>
      <c r="U6" s="30"/>
      <c r="V6" s="26"/>
      <c r="W6" s="26"/>
      <c r="X6" s="26"/>
      <c r="Y6" s="26"/>
      <c r="Z6" s="26"/>
      <c r="AA6" s="26"/>
    </row>
    <row r="7" spans="1:35" ht="47.25" customHeight="1" x14ac:dyDescent="0.3">
      <c r="A7" s="21" t="s">
        <v>61</v>
      </c>
      <c r="B7" s="154"/>
      <c r="C7" s="154">
        <v>11250</v>
      </c>
      <c r="D7" s="154"/>
      <c r="E7" s="154"/>
      <c r="F7" s="154"/>
      <c r="G7" s="154"/>
      <c r="H7" s="154"/>
      <c r="I7" s="154"/>
      <c r="J7" s="154"/>
      <c r="K7" s="154">
        <v>72800</v>
      </c>
      <c r="L7" s="156"/>
      <c r="M7" s="157">
        <f t="shared" si="0"/>
        <v>84050</v>
      </c>
      <c r="N7" s="23">
        <f t="shared" si="1"/>
        <v>2.3054198379967503E-2</v>
      </c>
      <c r="O7" s="24"/>
      <c r="P7" s="26"/>
      <c r="Q7" s="30"/>
      <c r="R7" s="26"/>
      <c r="S7" s="29"/>
      <c r="T7" s="27"/>
      <c r="U7" s="26"/>
      <c r="V7" s="26"/>
      <c r="W7" s="26"/>
      <c r="X7" s="26"/>
      <c r="Y7" s="26"/>
      <c r="Z7" s="26"/>
      <c r="AA7" s="26"/>
    </row>
    <row r="8" spans="1:35" ht="49.5" customHeight="1" x14ac:dyDescent="0.3">
      <c r="A8" s="21" t="s">
        <v>163</v>
      </c>
      <c r="B8" s="154">
        <v>60000</v>
      </c>
      <c r="C8" s="154"/>
      <c r="D8" s="154"/>
      <c r="E8" s="154"/>
      <c r="F8" s="154"/>
      <c r="G8" s="154">
        <v>60000</v>
      </c>
      <c r="H8" s="154"/>
      <c r="I8" s="154">
        <v>15000</v>
      </c>
      <c r="J8" s="154"/>
      <c r="K8" s="154"/>
      <c r="L8" s="154"/>
      <c r="M8" s="157">
        <f t="shared" si="0"/>
        <v>135000</v>
      </c>
      <c r="N8" s="23">
        <f t="shared" si="1"/>
        <v>3.7029348974367798E-2</v>
      </c>
      <c r="O8" s="24"/>
      <c r="P8" s="26"/>
      <c r="Q8" s="30"/>
      <c r="R8" s="25"/>
      <c r="S8" s="32"/>
      <c r="T8" s="33"/>
      <c r="U8" s="26"/>
      <c r="V8" s="26"/>
      <c r="W8" s="26"/>
      <c r="X8" s="26"/>
      <c r="Y8" s="26"/>
      <c r="Z8" s="26"/>
      <c r="AA8" s="26"/>
    </row>
    <row r="9" spans="1:35" ht="48.75" hidden="1" customHeight="1" x14ac:dyDescent="0.3">
      <c r="A9" s="21" t="s">
        <v>63</v>
      </c>
      <c r="B9" s="154"/>
      <c r="C9" s="154"/>
      <c r="D9" s="154"/>
      <c r="E9" s="154"/>
      <c r="F9" s="154"/>
      <c r="G9" s="154"/>
      <c r="H9" s="154"/>
      <c r="I9" s="154"/>
      <c r="J9" s="154"/>
      <c r="K9" s="154"/>
      <c r="L9" s="154"/>
      <c r="M9" s="157">
        <f t="shared" si="0"/>
        <v>0</v>
      </c>
      <c r="N9" s="23">
        <f t="shared" si="1"/>
        <v>0</v>
      </c>
      <c r="O9" s="24"/>
      <c r="P9" s="25"/>
      <c r="Q9" s="26"/>
      <c r="R9" s="26"/>
      <c r="S9" s="25"/>
      <c r="T9" s="25"/>
      <c r="U9" s="26"/>
      <c r="V9" s="26"/>
      <c r="W9" s="26"/>
      <c r="X9" s="26"/>
      <c r="Y9" s="26"/>
      <c r="Z9" s="26"/>
      <c r="AA9" s="26"/>
    </row>
    <row r="10" spans="1:35" ht="48" customHeight="1" x14ac:dyDescent="0.3">
      <c r="A10" s="21" t="s">
        <v>64</v>
      </c>
      <c r="B10" s="154"/>
      <c r="C10" s="154"/>
      <c r="D10" s="154">
        <v>14000</v>
      </c>
      <c r="E10" s="154"/>
      <c r="F10" s="154"/>
      <c r="G10" s="154"/>
      <c r="H10" s="154"/>
      <c r="I10" s="154"/>
      <c r="J10" s="154"/>
      <c r="K10" s="154"/>
      <c r="L10" s="154">
        <v>393700</v>
      </c>
      <c r="M10" s="240">
        <f t="shared" si="0"/>
        <v>407700</v>
      </c>
      <c r="N10" s="23">
        <f t="shared" si="1"/>
        <v>0.11182863390259073</v>
      </c>
      <c r="O10" s="24"/>
      <c r="P10" s="25"/>
      <c r="Q10" s="26"/>
      <c r="R10" s="26"/>
      <c r="S10" s="30"/>
      <c r="T10" s="25"/>
      <c r="U10" s="26"/>
      <c r="V10" s="26"/>
      <c r="W10" s="26"/>
      <c r="X10" s="26"/>
      <c r="Y10" s="26"/>
      <c r="Z10" s="26"/>
      <c r="AA10" s="26"/>
    </row>
    <row r="11" spans="1:35" ht="104" x14ac:dyDescent="0.3">
      <c r="D11" s="252"/>
      <c r="G11" s="252" t="s">
        <v>718</v>
      </c>
      <c r="H11" s="383" t="s">
        <v>717</v>
      </c>
      <c r="I11" s="252" t="s">
        <v>719</v>
      </c>
      <c r="K11" s="169"/>
      <c r="M11" s="240">
        <f>SUM(M4:M10)</f>
        <v>3645756.777777778</v>
      </c>
    </row>
    <row r="13" spans="1:35" ht="42" customHeight="1" x14ac:dyDescent="0.3">
      <c r="A13" s="15" t="s">
        <v>65</v>
      </c>
      <c r="B13" s="15"/>
      <c r="C13" s="15"/>
      <c r="D13" s="15"/>
      <c r="E13" s="15"/>
      <c r="F13" s="15"/>
      <c r="G13" s="15"/>
      <c r="H13" s="15"/>
      <c r="I13" s="15"/>
      <c r="J13" s="15"/>
      <c r="K13" s="15"/>
      <c r="L13" s="15"/>
      <c r="M13" s="15"/>
      <c r="N13" s="15"/>
      <c r="O13" s="15"/>
      <c r="P13" s="16"/>
      <c r="Q13" s="16"/>
      <c r="R13" s="16"/>
      <c r="S13" s="16"/>
      <c r="T13" s="15"/>
      <c r="U13" s="15"/>
      <c r="V13" s="15"/>
      <c r="W13" s="15"/>
      <c r="X13" s="15"/>
      <c r="Y13" s="15"/>
      <c r="Z13" s="15"/>
      <c r="AA13" s="15"/>
      <c r="AB13" s="15"/>
      <c r="AC13" s="15"/>
      <c r="AD13" s="15"/>
      <c r="AE13" s="15"/>
      <c r="AF13" s="15"/>
    </row>
    <row r="14" spans="1:35" ht="59.25" customHeight="1" x14ac:dyDescent="0.35">
      <c r="A14" s="21" t="s">
        <v>66</v>
      </c>
      <c r="B14" s="19" t="s">
        <v>46</v>
      </c>
      <c r="C14" s="19" t="s">
        <v>48</v>
      </c>
      <c r="D14" s="19" t="s">
        <v>49</v>
      </c>
      <c r="E14" s="19" t="s">
        <v>50</v>
      </c>
      <c r="F14" s="19" t="s">
        <v>51</v>
      </c>
      <c r="G14" s="19" t="s">
        <v>658</v>
      </c>
      <c r="H14" s="19" t="s">
        <v>53</v>
      </c>
      <c r="I14" s="19" t="s">
        <v>54</v>
      </c>
      <c r="J14" s="19" t="s">
        <v>55</v>
      </c>
      <c r="K14" s="19" t="s">
        <v>763</v>
      </c>
      <c r="L14" s="19" t="s">
        <v>648</v>
      </c>
      <c r="M14" s="20" t="s">
        <v>67</v>
      </c>
      <c r="N14" s="17"/>
    </row>
    <row r="15" spans="1:35" ht="36" customHeight="1" x14ac:dyDescent="0.35">
      <c r="A15" s="21" t="s">
        <v>58</v>
      </c>
      <c r="B15" s="157" t="s">
        <v>758</v>
      </c>
      <c r="C15" s="157">
        <v>250.93952197125256</v>
      </c>
      <c r="D15" s="157">
        <v>363.91437333333334</v>
      </c>
      <c r="E15" s="157">
        <v>150</v>
      </c>
      <c r="F15" s="157">
        <v>145.71428571428572</v>
      </c>
      <c r="G15" s="157">
        <v>400</v>
      </c>
      <c r="H15" s="157">
        <v>450</v>
      </c>
      <c r="I15" s="157" t="s">
        <v>758</v>
      </c>
      <c r="J15" s="157" t="s">
        <v>758</v>
      </c>
      <c r="K15" s="157" t="str">
        <f t="shared" ref="K15:K21" si="2">IF(K25="","",K25/K4)</f>
        <v/>
      </c>
      <c r="L15" s="157" t="s">
        <v>758</v>
      </c>
      <c r="M15" s="34">
        <f t="shared" ref="M15:M21" si="3">AVERAGE(B15:L15)</f>
        <v>293.42803016981196</v>
      </c>
      <c r="N15" s="17"/>
    </row>
    <row r="16" spans="1:35" ht="36" hidden="1" customHeight="1" x14ac:dyDescent="0.35">
      <c r="A16" s="21" t="s">
        <v>59</v>
      </c>
      <c r="B16" s="157" t="s">
        <v>758</v>
      </c>
      <c r="C16" s="157" t="s">
        <v>758</v>
      </c>
      <c r="D16" s="157" t="s">
        <v>758</v>
      </c>
      <c r="E16" s="157" t="s">
        <v>758</v>
      </c>
      <c r="F16" s="157" t="s">
        <v>758</v>
      </c>
      <c r="G16" s="157" t="s">
        <v>758</v>
      </c>
      <c r="H16" s="157" t="s">
        <v>758</v>
      </c>
      <c r="I16" s="157" t="s">
        <v>758</v>
      </c>
      <c r="J16" s="157" t="s">
        <v>758</v>
      </c>
      <c r="K16" s="157" t="str">
        <f t="shared" si="2"/>
        <v/>
      </c>
      <c r="L16" s="157" t="s">
        <v>758</v>
      </c>
      <c r="M16" s="34" t="e">
        <f t="shared" si="3"/>
        <v>#DIV/0!</v>
      </c>
      <c r="N16" s="17"/>
    </row>
    <row r="17" spans="1:27" ht="36" customHeight="1" x14ac:dyDescent="0.35">
      <c r="A17" s="21" t="s">
        <v>60</v>
      </c>
      <c r="B17" s="157" t="s">
        <v>758</v>
      </c>
      <c r="C17" s="157" t="s">
        <v>758</v>
      </c>
      <c r="D17" s="157" t="s">
        <v>758</v>
      </c>
      <c r="E17" s="157">
        <v>1952.6308902426613</v>
      </c>
      <c r="F17" s="157" t="s">
        <v>758</v>
      </c>
      <c r="G17" s="157" t="s">
        <v>758</v>
      </c>
      <c r="H17" s="157" t="s">
        <v>758</v>
      </c>
      <c r="I17" s="157" t="s">
        <v>758</v>
      </c>
      <c r="J17" s="157">
        <v>127.00025400050801</v>
      </c>
      <c r="K17" s="157" t="str">
        <f t="shared" si="2"/>
        <v/>
      </c>
      <c r="L17" s="157" t="s">
        <v>758</v>
      </c>
      <c r="M17" s="34">
        <f t="shared" si="3"/>
        <v>1039.8155721215846</v>
      </c>
      <c r="N17" s="17"/>
    </row>
    <row r="18" spans="1:27" ht="36" customHeight="1" x14ac:dyDescent="0.35">
      <c r="A18" s="21" t="s">
        <v>61</v>
      </c>
      <c r="B18" s="157" t="s">
        <v>758</v>
      </c>
      <c r="C18" s="157">
        <v>1057.7777777777778</v>
      </c>
      <c r="D18" s="157" t="s">
        <v>758</v>
      </c>
      <c r="E18" s="157" t="s">
        <v>758</v>
      </c>
      <c r="F18" s="157" t="s">
        <v>758</v>
      </c>
      <c r="G18" s="157" t="s">
        <v>758</v>
      </c>
      <c r="H18" s="157" t="s">
        <v>758</v>
      </c>
      <c r="I18" s="157" t="s">
        <v>758</v>
      </c>
      <c r="J18" s="157" t="s">
        <v>758</v>
      </c>
      <c r="K18" s="157">
        <f t="shared" si="2"/>
        <v>206.04395604395606</v>
      </c>
      <c r="L18" s="157" t="s">
        <v>758</v>
      </c>
      <c r="M18" s="34">
        <f t="shared" si="3"/>
        <v>631.91086691086696</v>
      </c>
      <c r="N18" s="17"/>
    </row>
    <row r="19" spans="1:27" ht="36" customHeight="1" x14ac:dyDescent="0.35">
      <c r="A19" s="21" t="s">
        <v>163</v>
      </c>
      <c r="B19" s="157">
        <v>87.5</v>
      </c>
      <c r="C19" s="157" t="s">
        <v>758</v>
      </c>
      <c r="D19" s="157" t="s">
        <v>758</v>
      </c>
      <c r="E19" s="157" t="s">
        <v>758</v>
      </c>
      <c r="F19" s="157" t="s">
        <v>758</v>
      </c>
      <c r="G19" s="157">
        <v>520</v>
      </c>
      <c r="H19" s="157" t="s">
        <v>758</v>
      </c>
      <c r="I19" s="157">
        <v>350</v>
      </c>
      <c r="J19" s="157" t="s">
        <v>758</v>
      </c>
      <c r="K19" s="157" t="str">
        <f t="shared" si="2"/>
        <v/>
      </c>
      <c r="L19" s="157" t="s">
        <v>758</v>
      </c>
      <c r="M19" s="34">
        <f t="shared" si="3"/>
        <v>319.16666666666669</v>
      </c>
      <c r="N19" s="17"/>
    </row>
    <row r="20" spans="1:27" ht="36" hidden="1" customHeight="1" x14ac:dyDescent="0.35">
      <c r="A20" s="21" t="s">
        <v>63</v>
      </c>
      <c r="B20" s="157" t="s">
        <v>758</v>
      </c>
      <c r="C20" s="157" t="s">
        <v>758</v>
      </c>
      <c r="D20" s="157" t="s">
        <v>758</v>
      </c>
      <c r="E20" s="157" t="s">
        <v>758</v>
      </c>
      <c r="F20" s="157" t="s">
        <v>758</v>
      </c>
      <c r="G20" s="157" t="s">
        <v>758</v>
      </c>
      <c r="H20" s="157" t="s">
        <v>758</v>
      </c>
      <c r="I20" s="157" t="s">
        <v>758</v>
      </c>
      <c r="J20" s="157" t="s">
        <v>758</v>
      </c>
      <c r="K20" s="157" t="str">
        <f t="shared" si="2"/>
        <v/>
      </c>
      <c r="L20" s="157" t="s">
        <v>758</v>
      </c>
      <c r="M20" s="34" t="e">
        <f t="shared" si="3"/>
        <v>#DIV/0!</v>
      </c>
      <c r="N20" s="17"/>
    </row>
    <row r="21" spans="1:27" ht="36" customHeight="1" x14ac:dyDescent="0.35">
      <c r="A21" s="21" t="s">
        <v>64</v>
      </c>
      <c r="B21" s="157" t="s">
        <v>758</v>
      </c>
      <c r="C21" s="157" t="s">
        <v>758</v>
      </c>
      <c r="D21" s="157">
        <v>1300</v>
      </c>
      <c r="E21" s="157" t="s">
        <v>758</v>
      </c>
      <c r="F21" s="157" t="s">
        <v>758</v>
      </c>
      <c r="G21" s="157" t="s">
        <v>758</v>
      </c>
      <c r="H21" s="157" t="s">
        <v>758</v>
      </c>
      <c r="I21" s="157" t="s">
        <v>758</v>
      </c>
      <c r="J21" s="157" t="s">
        <v>758</v>
      </c>
      <c r="K21" s="157" t="str">
        <f t="shared" si="2"/>
        <v/>
      </c>
      <c r="L21" s="157">
        <v>127.00025400050801</v>
      </c>
      <c r="M21" s="35">
        <f t="shared" si="3"/>
        <v>713.500127000254</v>
      </c>
      <c r="N21" s="17"/>
    </row>
    <row r="22" spans="1:27" ht="42" customHeight="1" x14ac:dyDescent="0.35">
      <c r="A22" s="36"/>
      <c r="B22" s="36"/>
      <c r="C22" s="36"/>
      <c r="D22" s="36"/>
      <c r="E22" s="36"/>
      <c r="F22" s="36"/>
      <c r="G22" s="169"/>
      <c r="H22" s="36"/>
      <c r="I22" s="36"/>
      <c r="J22" s="36"/>
      <c r="K22" s="37"/>
      <c r="L22" s="37"/>
      <c r="M22" s="34">
        <f>M32/M11</f>
        <v>260.96432208511743</v>
      </c>
      <c r="N22" s="17"/>
      <c r="O22" s="36"/>
      <c r="P22" s="36"/>
      <c r="Q22" s="36"/>
      <c r="R22" s="36"/>
      <c r="S22" s="36"/>
      <c r="T22" s="36"/>
      <c r="U22" s="36"/>
      <c r="V22" s="36"/>
      <c r="W22" s="36"/>
      <c r="X22" s="36"/>
      <c r="Y22" s="36"/>
      <c r="Z22" s="36"/>
      <c r="AA22" s="36"/>
    </row>
    <row r="23" spans="1:27" ht="15.75" customHeight="1" x14ac:dyDescent="0.35">
      <c r="K23" s="17"/>
      <c r="L23" s="17"/>
      <c r="M23" s="17"/>
      <c r="N23" s="17"/>
    </row>
    <row r="24" spans="1:27" ht="59.25" customHeight="1" x14ac:dyDescent="0.35">
      <c r="A24" s="21" t="s">
        <v>68</v>
      </c>
      <c r="B24" s="19" t="s">
        <v>46</v>
      </c>
      <c r="C24" s="19" t="s">
        <v>48</v>
      </c>
      <c r="D24" s="19" t="s">
        <v>49</v>
      </c>
      <c r="E24" s="19" t="s">
        <v>50</v>
      </c>
      <c r="F24" s="19" t="s">
        <v>51</v>
      </c>
      <c r="G24" s="19" t="s">
        <v>658</v>
      </c>
      <c r="H24" s="19" t="s">
        <v>659</v>
      </c>
      <c r="I24" s="19" t="s">
        <v>660</v>
      </c>
      <c r="J24" s="19" t="s">
        <v>55</v>
      </c>
      <c r="K24" s="19" t="s">
        <v>763</v>
      </c>
      <c r="L24" s="19" t="s">
        <v>648</v>
      </c>
      <c r="M24" s="20" t="s">
        <v>69</v>
      </c>
      <c r="N24" s="17"/>
    </row>
    <row r="25" spans="1:27" ht="43.5" customHeight="1" x14ac:dyDescent="0.35">
      <c r="A25" s="21" t="s">
        <v>58</v>
      </c>
      <c r="B25" s="251" t="str">
        <f>IF(B4="","",B4*B15)</f>
        <v/>
      </c>
      <c r="C25" s="251">
        <f t="shared" ref="C25:L25" si="4">IF(C4="","",C4*C15)</f>
        <v>305518868</v>
      </c>
      <c r="D25" s="251">
        <f t="shared" si="4"/>
        <v>27293578</v>
      </c>
      <c r="E25" s="251">
        <f t="shared" si="4"/>
        <v>51000000</v>
      </c>
      <c r="F25" s="251">
        <f t="shared" si="4"/>
        <v>76500000</v>
      </c>
      <c r="G25" s="251">
        <f t="shared" si="4"/>
        <v>76500000</v>
      </c>
      <c r="H25" s="251">
        <f t="shared" si="4"/>
        <v>93500000</v>
      </c>
      <c r="I25" s="251" t="str">
        <f t="shared" si="4"/>
        <v/>
      </c>
      <c r="J25" s="251" t="str">
        <f t="shared" si="4"/>
        <v/>
      </c>
      <c r="K25" s="251"/>
      <c r="L25" s="251" t="str">
        <f t="shared" si="4"/>
        <v/>
      </c>
      <c r="M25" s="249">
        <f t="shared" ref="M25:M31" si="5">SUM(B25:L25)</f>
        <v>630312446</v>
      </c>
      <c r="N25" s="17"/>
    </row>
    <row r="26" spans="1:27" ht="43.5" hidden="1" customHeight="1" x14ac:dyDescent="0.35">
      <c r="A26" s="21" t="s">
        <v>59</v>
      </c>
      <c r="B26" s="251" t="str">
        <f t="shared" ref="B26:L26" si="6">IF(B5="","",B5*B16)</f>
        <v/>
      </c>
      <c r="C26" s="251" t="str">
        <f t="shared" si="6"/>
        <v/>
      </c>
      <c r="D26" s="251" t="str">
        <f t="shared" si="6"/>
        <v/>
      </c>
      <c r="E26" s="251" t="str">
        <f t="shared" si="6"/>
        <v/>
      </c>
      <c r="F26" s="251" t="str">
        <f t="shared" si="6"/>
        <v/>
      </c>
      <c r="G26" s="251" t="str">
        <f t="shared" si="6"/>
        <v/>
      </c>
      <c r="H26" s="251" t="str">
        <f t="shared" si="6"/>
        <v/>
      </c>
      <c r="I26" s="251" t="str">
        <f t="shared" si="6"/>
        <v/>
      </c>
      <c r="J26" s="251" t="str">
        <f t="shared" si="6"/>
        <v/>
      </c>
      <c r="K26" s="251"/>
      <c r="L26" s="251" t="str">
        <f t="shared" si="6"/>
        <v/>
      </c>
      <c r="M26" s="249">
        <f t="shared" si="5"/>
        <v>0</v>
      </c>
      <c r="N26" s="17"/>
    </row>
    <row r="27" spans="1:27" ht="43.5" customHeight="1" x14ac:dyDescent="0.35">
      <c r="A27" s="21" t="s">
        <v>60</v>
      </c>
      <c r="B27" s="251" t="str">
        <f t="shared" ref="B27:L27" si="7">IF(B6="","",B6*B17)</f>
        <v/>
      </c>
      <c r="C27" s="251" t="str">
        <f t="shared" si="7"/>
        <v/>
      </c>
      <c r="D27" s="251" t="str">
        <f t="shared" si="7"/>
        <v/>
      </c>
      <c r="E27" s="251">
        <f t="shared" si="7"/>
        <v>134300000</v>
      </c>
      <c r="F27" s="251" t="str">
        <f t="shared" si="7"/>
        <v/>
      </c>
      <c r="G27" s="251" t="str">
        <f t="shared" si="7"/>
        <v/>
      </c>
      <c r="H27" s="251" t="str">
        <f t="shared" si="7"/>
        <v/>
      </c>
      <c r="I27" s="251" t="str">
        <f t="shared" si="7"/>
        <v/>
      </c>
      <c r="J27" s="251">
        <f t="shared" si="7"/>
        <v>50000000</v>
      </c>
      <c r="K27" s="251"/>
      <c r="L27" s="251" t="str">
        <f t="shared" si="7"/>
        <v/>
      </c>
      <c r="M27" s="249">
        <f t="shared" si="5"/>
        <v>184300000</v>
      </c>
      <c r="N27" s="17"/>
    </row>
    <row r="28" spans="1:27" ht="43.5" customHeight="1" x14ac:dyDescent="0.35">
      <c r="A28" s="21" t="s">
        <v>61</v>
      </c>
      <c r="B28" s="251" t="str">
        <f t="shared" ref="B28:L28" si="8">IF(B7="","",B7*B18)</f>
        <v/>
      </c>
      <c r="C28" s="251">
        <f t="shared" si="8"/>
        <v>11900000</v>
      </c>
      <c r="D28" s="251" t="str">
        <f t="shared" si="8"/>
        <v/>
      </c>
      <c r="E28" s="251" t="str">
        <f t="shared" si="8"/>
        <v/>
      </c>
      <c r="F28" s="251" t="str">
        <f t="shared" si="8"/>
        <v/>
      </c>
      <c r="G28" s="251" t="str">
        <f t="shared" si="8"/>
        <v/>
      </c>
      <c r="H28" s="251" t="str">
        <f t="shared" si="8"/>
        <v/>
      </c>
      <c r="I28" s="251" t="str">
        <f t="shared" si="8"/>
        <v/>
      </c>
      <c r="J28" s="251" t="str">
        <f t="shared" si="8"/>
        <v/>
      </c>
      <c r="K28" s="251">
        <v>15000000</v>
      </c>
      <c r="L28" s="251" t="str">
        <f t="shared" si="8"/>
        <v/>
      </c>
      <c r="M28" s="249">
        <f t="shared" si="5"/>
        <v>26900000</v>
      </c>
      <c r="N28" s="17"/>
    </row>
    <row r="29" spans="1:27" ht="43.5" customHeight="1" x14ac:dyDescent="0.35">
      <c r="A29" s="21" t="s">
        <v>714</v>
      </c>
      <c r="B29" s="251">
        <f t="shared" ref="B29:L29" si="9">IF(B8="","",B8*B19)</f>
        <v>5250000</v>
      </c>
      <c r="C29" s="251" t="str">
        <f t="shared" si="9"/>
        <v/>
      </c>
      <c r="D29" s="251" t="str">
        <f t="shared" si="9"/>
        <v/>
      </c>
      <c r="E29" s="251" t="str">
        <f t="shared" si="9"/>
        <v/>
      </c>
      <c r="F29" s="251" t="str">
        <f t="shared" si="9"/>
        <v/>
      </c>
      <c r="G29" s="251">
        <f t="shared" si="9"/>
        <v>31200000</v>
      </c>
      <c r="H29" s="251" t="str">
        <f t="shared" si="9"/>
        <v/>
      </c>
      <c r="I29" s="251">
        <f t="shared" si="9"/>
        <v>5250000</v>
      </c>
      <c r="J29" s="251" t="str">
        <f t="shared" si="9"/>
        <v/>
      </c>
      <c r="K29" s="251"/>
      <c r="L29" s="251" t="str">
        <f t="shared" si="9"/>
        <v/>
      </c>
      <c r="M29" s="249">
        <f t="shared" si="5"/>
        <v>41700000</v>
      </c>
      <c r="N29" s="17"/>
    </row>
    <row r="30" spans="1:27" ht="43.5" hidden="1" customHeight="1" x14ac:dyDescent="0.35">
      <c r="A30" s="21" t="s">
        <v>63</v>
      </c>
      <c r="B30" s="251" t="str">
        <f t="shared" ref="B30:L30" si="10">IF(B9="","",B9*B20)</f>
        <v/>
      </c>
      <c r="C30" s="251" t="str">
        <f t="shared" si="10"/>
        <v/>
      </c>
      <c r="D30" s="251" t="str">
        <f t="shared" si="10"/>
        <v/>
      </c>
      <c r="E30" s="251" t="str">
        <f t="shared" si="10"/>
        <v/>
      </c>
      <c r="F30" s="251" t="str">
        <f t="shared" si="10"/>
        <v/>
      </c>
      <c r="G30" s="251" t="str">
        <f t="shared" si="10"/>
        <v/>
      </c>
      <c r="H30" s="251" t="str">
        <f t="shared" si="10"/>
        <v/>
      </c>
      <c r="I30" s="251" t="str">
        <f t="shared" si="10"/>
        <v/>
      </c>
      <c r="J30" s="251" t="str">
        <f t="shared" si="10"/>
        <v/>
      </c>
      <c r="K30" s="251"/>
      <c r="L30" s="251" t="str">
        <f t="shared" si="10"/>
        <v/>
      </c>
      <c r="M30" s="249">
        <f t="shared" si="5"/>
        <v>0</v>
      </c>
      <c r="N30" s="17"/>
    </row>
    <row r="31" spans="1:27" ht="43.5" customHeight="1" x14ac:dyDescent="0.35">
      <c r="A31" s="21" t="s">
        <v>64</v>
      </c>
      <c r="B31" s="251" t="str">
        <f t="shared" ref="B31:L31" si="11">IF(B10="","",B10*B21)</f>
        <v/>
      </c>
      <c r="C31" s="251" t="str">
        <f t="shared" si="11"/>
        <v/>
      </c>
      <c r="D31" s="251">
        <f t="shared" si="11"/>
        <v>18200000</v>
      </c>
      <c r="E31" s="251" t="str">
        <f t="shared" si="11"/>
        <v/>
      </c>
      <c r="F31" s="251" t="str">
        <f t="shared" si="11"/>
        <v/>
      </c>
      <c r="G31" s="251" t="str">
        <f t="shared" si="11"/>
        <v/>
      </c>
      <c r="H31" s="251" t="str">
        <f t="shared" si="11"/>
        <v/>
      </c>
      <c r="I31" s="251" t="str">
        <f t="shared" si="11"/>
        <v/>
      </c>
      <c r="J31" s="251" t="str">
        <f t="shared" si="11"/>
        <v/>
      </c>
      <c r="K31" s="251"/>
      <c r="L31" s="251">
        <f t="shared" si="11"/>
        <v>50000000</v>
      </c>
      <c r="M31" s="249">
        <f t="shared" si="5"/>
        <v>68200000</v>
      </c>
      <c r="N31" s="17"/>
    </row>
    <row r="32" spans="1:27" ht="39" customHeight="1" x14ac:dyDescent="0.3">
      <c r="B32" s="335">
        <f>SUM(B25:B31)</f>
        <v>5250000</v>
      </c>
      <c r="C32" s="335">
        <f t="shared" ref="C32:L32" si="12">SUM(C25:C31)</f>
        <v>317418868</v>
      </c>
      <c r="D32" s="335">
        <f t="shared" si="12"/>
        <v>45493578</v>
      </c>
      <c r="E32" s="335">
        <f>SUM(E25:E31)</f>
        <v>185300000</v>
      </c>
      <c r="F32" s="335">
        <f t="shared" si="12"/>
        <v>76500000</v>
      </c>
      <c r="G32" s="335">
        <f t="shared" si="12"/>
        <v>107700000</v>
      </c>
      <c r="H32" s="335">
        <f t="shared" si="12"/>
        <v>93500000</v>
      </c>
      <c r="I32" s="335">
        <f t="shared" si="12"/>
        <v>5250000</v>
      </c>
      <c r="J32" s="335">
        <f t="shared" si="12"/>
        <v>50000000</v>
      </c>
      <c r="K32" s="335">
        <f t="shared" si="12"/>
        <v>15000000</v>
      </c>
      <c r="L32" s="335">
        <f t="shared" si="12"/>
        <v>50000000</v>
      </c>
      <c r="M32" s="250">
        <f>SUM(M25:M31)</f>
        <v>951412446</v>
      </c>
    </row>
    <row r="33" spans="1:35" ht="18" customHeight="1" x14ac:dyDescent="0.3">
      <c r="B33" s="336">
        <f t="shared" ref="B33:L33" si="13">B32/$M32</f>
        <v>5.518111542551757E-3</v>
      </c>
      <c r="C33" s="336">
        <f t="shared" si="13"/>
        <v>0.33362908939704999</v>
      </c>
      <c r="D33" s="336">
        <f t="shared" si="13"/>
        <v>4.7816883404529269E-2</v>
      </c>
      <c r="E33" s="336">
        <f t="shared" si="13"/>
        <v>0.1947630607304458</v>
      </c>
      <c r="F33" s="336">
        <f t="shared" si="13"/>
        <v>8.0406768191468456E-2</v>
      </c>
      <c r="G33" s="336">
        <f t="shared" si="13"/>
        <v>0.11320011678720461</v>
      </c>
      <c r="H33" s="336">
        <f t="shared" si="13"/>
        <v>9.8274938900683673E-2</v>
      </c>
      <c r="I33" s="336">
        <f t="shared" si="13"/>
        <v>5.518111542551757E-3</v>
      </c>
      <c r="J33" s="336">
        <f t="shared" si="13"/>
        <v>5.2553443262397685E-2</v>
      </c>
      <c r="K33" s="475">
        <f t="shared" si="13"/>
        <v>1.5766032978719306E-2</v>
      </c>
      <c r="L33" s="336">
        <f t="shared" si="13"/>
        <v>5.2553443262397685E-2</v>
      </c>
      <c r="M33" s="337"/>
      <c r="R33" s="32"/>
    </row>
    <row r="34" spans="1:35" ht="42" customHeight="1" x14ac:dyDescent="0.3">
      <c r="A34" s="15" t="s">
        <v>760</v>
      </c>
      <c r="B34" s="15"/>
      <c r="C34" s="15"/>
      <c r="D34" s="15"/>
      <c r="E34" s="15"/>
      <c r="F34" s="15"/>
      <c r="G34" s="15"/>
      <c r="H34" s="15"/>
      <c r="I34" s="15"/>
      <c r="J34" s="15"/>
      <c r="K34" s="15"/>
      <c r="L34" s="15"/>
      <c r="M34" s="15"/>
      <c r="N34" s="15"/>
      <c r="O34" s="15"/>
      <c r="P34" s="15"/>
      <c r="Q34" s="15"/>
      <c r="R34" s="15"/>
      <c r="S34" s="16"/>
      <c r="T34" s="16"/>
      <c r="U34" s="16"/>
      <c r="V34" s="16"/>
      <c r="W34" s="15"/>
      <c r="X34" s="15"/>
      <c r="Y34" s="15"/>
      <c r="Z34" s="15"/>
      <c r="AA34" s="15"/>
      <c r="AB34" s="15"/>
      <c r="AC34" s="15"/>
      <c r="AD34" s="15"/>
      <c r="AE34" s="15"/>
      <c r="AF34" s="15"/>
      <c r="AG34" s="15"/>
      <c r="AH34" s="15"/>
      <c r="AI34" s="15"/>
    </row>
    <row r="35" spans="1:35" ht="15.75" customHeight="1" x14ac:dyDescent="0.3"/>
    <row r="36" spans="1:35" ht="54" customHeight="1" x14ac:dyDescent="0.3">
      <c r="B36" s="499" t="s">
        <v>70</v>
      </c>
      <c r="C36" s="500"/>
      <c r="D36" s="501"/>
      <c r="E36" s="38" t="s">
        <v>71</v>
      </c>
    </row>
    <row r="37" spans="1:35" ht="63" customHeight="1" x14ac:dyDescent="0.3">
      <c r="A37" s="39" t="s">
        <v>72</v>
      </c>
      <c r="B37" s="38" t="s">
        <v>73</v>
      </c>
      <c r="C37" s="38" t="s">
        <v>74</v>
      </c>
      <c r="D37" s="38" t="s">
        <v>75</v>
      </c>
      <c r="E37" s="38" t="s">
        <v>75</v>
      </c>
    </row>
    <row r="38" spans="1:35" ht="36" customHeight="1" x14ac:dyDescent="0.3">
      <c r="A38" s="21" t="s">
        <v>58</v>
      </c>
      <c r="B38" s="40">
        <v>0.1</v>
      </c>
      <c r="C38" s="41">
        <v>5.0000000000000001E-3</v>
      </c>
      <c r="D38" s="41">
        <f t="shared" ref="D38:D44" si="14">B38+C38</f>
        <v>0.10500000000000001</v>
      </c>
      <c r="E38" s="40">
        <v>1</v>
      </c>
    </row>
    <row r="39" spans="1:35" ht="36" hidden="1" customHeight="1" x14ac:dyDescent="0.3">
      <c r="A39" s="21" t="s">
        <v>59</v>
      </c>
      <c r="B39" s="40">
        <v>0.12</v>
      </c>
      <c r="C39" s="40">
        <v>0.01</v>
      </c>
      <c r="D39" s="41">
        <f t="shared" si="14"/>
        <v>0.13</v>
      </c>
      <c r="E39" s="40">
        <v>1</v>
      </c>
    </row>
    <row r="40" spans="1:35" ht="36" customHeight="1" x14ac:dyDescent="0.3">
      <c r="A40" s="21" t="s">
        <v>60</v>
      </c>
      <c r="B40" s="40">
        <v>0.02</v>
      </c>
      <c r="C40" s="41">
        <v>5.0000000000000001E-3</v>
      </c>
      <c r="D40" s="41">
        <f t="shared" si="14"/>
        <v>2.5000000000000001E-2</v>
      </c>
      <c r="E40" s="40">
        <v>1</v>
      </c>
    </row>
    <row r="41" spans="1:35" ht="36" customHeight="1" x14ac:dyDescent="0.3">
      <c r="A41" s="21" t="s">
        <v>61</v>
      </c>
      <c r="B41" s="41">
        <v>7.4999999999999997E-2</v>
      </c>
      <c r="C41" s="40">
        <v>0.01</v>
      </c>
      <c r="D41" s="41">
        <f>B41+C41</f>
        <v>8.4999999999999992E-2</v>
      </c>
      <c r="E41" s="40">
        <v>1</v>
      </c>
    </row>
    <row r="42" spans="1:35" ht="36" customHeight="1" x14ac:dyDescent="0.3">
      <c r="A42" s="21" t="s">
        <v>62</v>
      </c>
      <c r="B42" s="40">
        <v>0.1</v>
      </c>
      <c r="C42" s="41">
        <v>5.0000000000000001E-3</v>
      </c>
      <c r="D42" s="41">
        <f t="shared" si="14"/>
        <v>0.10500000000000001</v>
      </c>
      <c r="E42" s="40">
        <v>1</v>
      </c>
    </row>
    <row r="43" spans="1:35" ht="36" hidden="1" customHeight="1" x14ac:dyDescent="0.3">
      <c r="A43" s="21" t="s">
        <v>63</v>
      </c>
      <c r="B43" s="40">
        <v>0.02</v>
      </c>
      <c r="C43" s="41">
        <v>5.0000000000000001E-3</v>
      </c>
      <c r="D43" s="41">
        <f t="shared" si="14"/>
        <v>2.5000000000000001E-2</v>
      </c>
      <c r="E43" s="40">
        <v>1</v>
      </c>
    </row>
    <row r="44" spans="1:35" ht="42" customHeight="1" x14ac:dyDescent="0.3">
      <c r="A44" s="21" t="s">
        <v>64</v>
      </c>
      <c r="B44" s="41">
        <v>4.4999999999999998E-2</v>
      </c>
      <c r="C44" s="41">
        <v>5.0000000000000001E-3</v>
      </c>
      <c r="D44" s="41">
        <f t="shared" si="14"/>
        <v>4.9999999999999996E-2</v>
      </c>
      <c r="E44" s="40">
        <v>1</v>
      </c>
    </row>
    <row r="45" spans="1:35" ht="42" customHeight="1" x14ac:dyDescent="0.3">
      <c r="A45" s="42"/>
      <c r="B45" s="43"/>
      <c r="C45" s="43"/>
      <c r="D45" s="43"/>
      <c r="E45" s="30"/>
    </row>
    <row r="46" spans="1:35" ht="64.5" customHeight="1" x14ac:dyDescent="0.3">
      <c r="B46" s="499" t="s">
        <v>70</v>
      </c>
      <c r="C46" s="500"/>
      <c r="D46" s="501"/>
      <c r="E46" s="38" t="s">
        <v>71</v>
      </c>
    </row>
    <row r="47" spans="1:35" ht="58.5" customHeight="1" x14ac:dyDescent="0.3">
      <c r="A47" s="39" t="s">
        <v>76</v>
      </c>
      <c r="B47" s="38" t="s">
        <v>73</v>
      </c>
      <c r="C47" s="38" t="s">
        <v>74</v>
      </c>
      <c r="D47" s="38" t="s">
        <v>75</v>
      </c>
      <c r="E47" s="38" t="s">
        <v>75</v>
      </c>
    </row>
    <row r="48" spans="1:35" ht="31.5" customHeight="1" x14ac:dyDescent="0.3">
      <c r="A48" s="21" t="s">
        <v>58</v>
      </c>
      <c r="B48" s="40">
        <v>0.05</v>
      </c>
      <c r="C48" s="41">
        <v>5.0000000000000001E-3</v>
      </c>
      <c r="D48" s="41">
        <f t="shared" ref="D48:D54" si="15">B48+C48</f>
        <v>5.5E-2</v>
      </c>
      <c r="E48" s="40">
        <v>0.7</v>
      </c>
    </row>
    <row r="49" spans="1:5" ht="31.5" hidden="1" customHeight="1" x14ac:dyDescent="0.3">
      <c r="A49" s="21" t="s">
        <v>59</v>
      </c>
      <c r="B49" s="41">
        <v>6.5000000000000002E-2</v>
      </c>
      <c r="C49" s="40">
        <v>0.01</v>
      </c>
      <c r="D49" s="41">
        <f t="shared" si="15"/>
        <v>7.4999999999999997E-2</v>
      </c>
      <c r="E49" s="40">
        <v>0.7</v>
      </c>
    </row>
    <row r="50" spans="1:5" ht="31.5" customHeight="1" x14ac:dyDescent="0.3">
      <c r="A50" s="21" t="s">
        <v>60</v>
      </c>
      <c r="B50" s="40">
        <v>0.01</v>
      </c>
      <c r="C50" s="41">
        <v>5.0000000000000001E-3</v>
      </c>
      <c r="D50" s="41">
        <f t="shared" si="15"/>
        <v>1.4999999999999999E-2</v>
      </c>
      <c r="E50" s="40">
        <v>0.7</v>
      </c>
    </row>
    <row r="51" spans="1:5" ht="31.5" customHeight="1" x14ac:dyDescent="0.3">
      <c r="A51" s="21" t="s">
        <v>61</v>
      </c>
      <c r="B51" s="41">
        <v>2.5000000000000001E-2</v>
      </c>
      <c r="C51" s="40">
        <v>0.01</v>
      </c>
      <c r="D51" s="41">
        <f t="shared" si="15"/>
        <v>3.5000000000000003E-2</v>
      </c>
      <c r="E51" s="40">
        <v>0.7</v>
      </c>
    </row>
    <row r="52" spans="1:5" ht="31.5" customHeight="1" x14ac:dyDescent="0.3">
      <c r="A52" s="21" t="s">
        <v>62</v>
      </c>
      <c r="B52" s="40">
        <v>0.03</v>
      </c>
      <c r="C52" s="41">
        <v>5.0000000000000001E-3</v>
      </c>
      <c r="D52" s="41">
        <f t="shared" si="15"/>
        <v>3.4999999999999996E-2</v>
      </c>
      <c r="E52" s="40">
        <v>0.7</v>
      </c>
    </row>
    <row r="53" spans="1:5" ht="31.5" hidden="1" customHeight="1" x14ac:dyDescent="0.3">
      <c r="A53" s="21" t="s">
        <v>63</v>
      </c>
      <c r="B53" s="41">
        <v>1.4999999999999999E-2</v>
      </c>
      <c r="C53" s="41">
        <v>5.0000000000000001E-3</v>
      </c>
      <c r="D53" s="41">
        <f t="shared" si="15"/>
        <v>0.02</v>
      </c>
      <c r="E53" s="40">
        <v>0.7</v>
      </c>
    </row>
    <row r="54" spans="1:5" ht="37.5" customHeight="1" x14ac:dyDescent="0.3">
      <c r="A54" s="21" t="s">
        <v>64</v>
      </c>
      <c r="B54" s="41">
        <v>1.4999999999999999E-2</v>
      </c>
      <c r="C54" s="41">
        <v>5.0000000000000001E-3</v>
      </c>
      <c r="D54" s="41">
        <f t="shared" si="15"/>
        <v>0.02</v>
      </c>
      <c r="E54" s="40">
        <v>0.7</v>
      </c>
    </row>
    <row r="55" spans="1:5" ht="15.75" customHeight="1" x14ac:dyDescent="0.3"/>
    <row r="56" spans="1:5" ht="15.75" customHeight="1" x14ac:dyDescent="0.3"/>
    <row r="57" spans="1:5" ht="15.75" customHeight="1" x14ac:dyDescent="0.3"/>
    <row r="58" spans="1:5" ht="15.75" customHeight="1" x14ac:dyDescent="0.3"/>
    <row r="59" spans="1:5" ht="15.75" customHeight="1" x14ac:dyDescent="0.3"/>
    <row r="60" spans="1:5" ht="15.75" customHeight="1" x14ac:dyDescent="0.3"/>
    <row r="61" spans="1:5" ht="15.75" customHeight="1" x14ac:dyDescent="0.3"/>
    <row r="62" spans="1:5" ht="15.75" customHeight="1" x14ac:dyDescent="0.3"/>
    <row r="63" spans="1:5" ht="15.75" customHeight="1" x14ac:dyDescent="0.3"/>
    <row r="64" spans="1:5"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2">
    <mergeCell ref="B36:D36"/>
    <mergeCell ref="B46:D46"/>
  </mergeCells>
  <hyperlinks>
    <hyperlink ref="H11" r:id="rId1" display="** Estimated based on EUR 650 / m2 - Link"/>
  </hyperlinks>
  <pageMargins left="0.7" right="0.7" top="0.75" bottom="0.75" header="0" footer="0"/>
  <pageSetup paperSize="9" orientation="portrait"/>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0"/>
  <sheetViews>
    <sheetView workbookViewId="0">
      <selection activeCell="B4" sqref="B4"/>
    </sheetView>
  </sheetViews>
  <sheetFormatPr baseColWidth="10" defaultColWidth="7.58203125" defaultRowHeight="13.5" x14ac:dyDescent="0.35"/>
  <cols>
    <col min="1" max="1" width="31" style="88" customWidth="1"/>
    <col min="2" max="2" width="16.5" style="88" bestFit="1" customWidth="1"/>
    <col min="3" max="3" width="38" style="88" customWidth="1"/>
    <col min="4" max="4" width="17.08203125" style="88" bestFit="1" customWidth="1"/>
    <col min="5" max="5" width="17.33203125" style="88" bestFit="1" customWidth="1"/>
    <col min="6" max="6" width="11.58203125" style="88" customWidth="1"/>
    <col min="7" max="7" width="8.5" style="88" bestFit="1" customWidth="1"/>
    <col min="8" max="8" width="10.08203125" style="88" bestFit="1" customWidth="1"/>
    <col min="9" max="9" width="7.58203125" style="88"/>
    <col min="10" max="10" width="15.83203125" style="88" bestFit="1" customWidth="1"/>
    <col min="11" max="12" width="7.58203125" style="88"/>
    <col min="13" max="13" width="10.33203125" style="88" bestFit="1" customWidth="1"/>
    <col min="14" max="14" width="10.08203125" style="88" bestFit="1" customWidth="1"/>
    <col min="15" max="15" width="10.33203125" style="88" bestFit="1" customWidth="1"/>
    <col min="16" max="16384" width="7.58203125" style="88"/>
  </cols>
  <sheetData>
    <row r="1" spans="1:11" ht="27" x14ac:dyDescent="0.35">
      <c r="A1" s="87" t="s">
        <v>449</v>
      </c>
      <c r="B1" s="87" t="s">
        <v>255</v>
      </c>
      <c r="C1" s="87"/>
      <c r="F1" s="88" t="s">
        <v>253</v>
      </c>
    </row>
    <row r="2" spans="1:11" ht="30" customHeight="1" x14ac:dyDescent="0.35">
      <c r="A2" s="89" t="s">
        <v>450</v>
      </c>
      <c r="B2" s="88">
        <v>8.5984522800000004E-2</v>
      </c>
      <c r="D2" s="88" t="s">
        <v>451</v>
      </c>
      <c r="E2" s="89">
        <v>3.6021000000000001</v>
      </c>
      <c r="F2" s="502" t="s">
        <v>452</v>
      </c>
      <c r="G2" s="502"/>
      <c r="H2" s="502"/>
      <c r="I2" s="502"/>
      <c r="J2" s="502"/>
    </row>
    <row r="3" spans="1:11" ht="39.75" customHeight="1" x14ac:dyDescent="0.35">
      <c r="A3" s="89" t="s">
        <v>453</v>
      </c>
      <c r="B3" s="88">
        <v>2.38845897E-2</v>
      </c>
      <c r="D3" s="88" t="s">
        <v>454</v>
      </c>
      <c r="E3" s="89">
        <v>1.1726000000000001</v>
      </c>
      <c r="F3" s="502" t="s">
        <v>455</v>
      </c>
      <c r="G3" s="502"/>
      <c r="H3" s="502"/>
      <c r="I3" s="502"/>
      <c r="J3" s="502"/>
    </row>
    <row r="4" spans="1:11" ht="54" x14ac:dyDescent="0.35">
      <c r="A4" s="89" t="s">
        <v>456</v>
      </c>
      <c r="B4" s="88">
        <f>1/3.6</f>
        <v>0.27777777777777779</v>
      </c>
      <c r="C4" s="88">
        <f>1/MWhperGJ</f>
        <v>3.5999999999999996</v>
      </c>
      <c r="D4" s="88" t="s">
        <v>457</v>
      </c>
      <c r="E4" s="90">
        <v>2000</v>
      </c>
      <c r="F4" s="88" t="s">
        <v>458</v>
      </c>
      <c r="G4" s="91">
        <v>12500</v>
      </c>
    </row>
    <row r="5" spans="1:11" ht="54" x14ac:dyDescent="0.35">
      <c r="A5" s="89" t="s">
        <v>459</v>
      </c>
      <c r="B5" s="88">
        <v>0.85984522799999996</v>
      </c>
      <c r="D5" s="88" t="s">
        <v>460</v>
      </c>
      <c r="E5" s="91">
        <v>1500</v>
      </c>
      <c r="F5" s="88" t="s">
        <v>461</v>
      </c>
      <c r="G5" s="91">
        <v>5000</v>
      </c>
    </row>
    <row r="6" spans="1:11" x14ac:dyDescent="0.35">
      <c r="A6" s="89"/>
      <c r="B6" s="89"/>
      <c r="C6" s="89"/>
      <c r="F6" s="89"/>
    </row>
    <row r="7" spans="1:11" x14ac:dyDescent="0.35">
      <c r="A7" s="92" t="s">
        <v>462</v>
      </c>
      <c r="C7" s="89"/>
      <c r="D7" s="89"/>
      <c r="E7" s="89"/>
      <c r="F7" s="89"/>
      <c r="G7" s="89"/>
    </row>
    <row r="8" spans="1:11" ht="27.5" thickBot="1" x14ac:dyDescent="0.4">
      <c r="A8" s="87" t="s">
        <v>463</v>
      </c>
      <c r="B8" s="93" t="s">
        <v>254</v>
      </c>
      <c r="C8" s="87" t="s">
        <v>253</v>
      </c>
      <c r="D8" s="94" t="s">
        <v>464</v>
      </c>
      <c r="E8" s="94" t="s">
        <v>465</v>
      </c>
      <c r="F8" s="94" t="s">
        <v>466</v>
      </c>
      <c r="G8" s="94" t="s">
        <v>467</v>
      </c>
      <c r="H8" s="94" t="s">
        <v>468</v>
      </c>
      <c r="I8" s="94" t="s">
        <v>467</v>
      </c>
      <c r="J8" s="94" t="s">
        <v>469</v>
      </c>
      <c r="K8" s="94" t="s">
        <v>467</v>
      </c>
    </row>
    <row r="9" spans="1:11" ht="15" thickBot="1" x14ac:dyDescent="0.4">
      <c r="A9" s="95" t="s">
        <v>470</v>
      </c>
      <c r="B9" s="96"/>
      <c r="C9" s="97"/>
      <c r="D9" s="98"/>
      <c r="E9" s="98"/>
      <c r="F9" s="98"/>
      <c r="G9" s="98"/>
      <c r="H9" s="98"/>
      <c r="I9" s="98"/>
      <c r="J9" s="98"/>
      <c r="K9" s="99"/>
    </row>
    <row r="10" spans="1:11" ht="27" x14ac:dyDescent="0.35">
      <c r="A10" s="100" t="s">
        <v>471</v>
      </c>
      <c r="B10" s="101" t="s">
        <v>472</v>
      </c>
      <c r="C10" s="101" t="s">
        <v>473</v>
      </c>
      <c r="D10" s="102">
        <v>4.2299999999999997E-2</v>
      </c>
      <c r="E10" s="102"/>
      <c r="F10" s="103"/>
      <c r="G10" s="104"/>
      <c r="H10" s="105"/>
      <c r="I10" s="104"/>
      <c r="J10" s="105"/>
      <c r="K10" s="106"/>
    </row>
    <row r="11" spans="1:11" ht="27" x14ac:dyDescent="0.35">
      <c r="A11" s="107" t="s">
        <v>471</v>
      </c>
      <c r="B11" s="88" t="s">
        <v>474</v>
      </c>
      <c r="C11" s="88" t="s">
        <v>473</v>
      </c>
      <c r="D11" s="108">
        <f>D10*TOEperGJ</f>
        <v>1.01031814431E-3</v>
      </c>
      <c r="E11" s="108"/>
      <c r="F11" s="109"/>
      <c r="G11" s="109"/>
      <c r="H11" s="109"/>
      <c r="K11" s="110"/>
    </row>
    <row r="12" spans="1:11" ht="27" x14ac:dyDescent="0.35">
      <c r="A12" s="107" t="s">
        <v>471</v>
      </c>
      <c r="B12" s="88" t="s">
        <v>475</v>
      </c>
      <c r="C12" s="88" t="s">
        <v>473</v>
      </c>
      <c r="D12" s="108">
        <f>D10*MWhperGJ</f>
        <v>1.175E-2</v>
      </c>
      <c r="E12" s="108"/>
      <c r="F12" s="109"/>
      <c r="G12" s="109"/>
      <c r="H12" s="109"/>
      <c r="K12" s="110"/>
    </row>
    <row r="13" spans="1:11" ht="27" x14ac:dyDescent="0.35">
      <c r="A13" s="107" t="s">
        <v>471</v>
      </c>
      <c r="B13" s="88" t="s">
        <v>476</v>
      </c>
      <c r="C13" s="88" t="s">
        <v>477</v>
      </c>
      <c r="D13" s="108">
        <v>3.85999984741211E-2</v>
      </c>
      <c r="E13" s="108"/>
      <c r="F13" s="109"/>
      <c r="G13" s="109"/>
      <c r="H13" s="109"/>
      <c r="K13" s="110"/>
    </row>
    <row r="14" spans="1:11" ht="27" x14ac:dyDescent="0.35">
      <c r="A14" s="107" t="s">
        <v>478</v>
      </c>
      <c r="B14" s="88" t="s">
        <v>479</v>
      </c>
      <c r="C14" s="88" t="s">
        <v>480</v>
      </c>
      <c r="D14" s="108">
        <f>$F14*$G14+$H14*$I14+$J14*$K14</f>
        <v>7.4348999999999998E-2</v>
      </c>
      <c r="E14" s="108"/>
      <c r="F14" s="111">
        <f>74100/1000000</f>
        <v>7.4099999999999999E-2</v>
      </c>
      <c r="G14" s="112">
        <v>1</v>
      </c>
      <c r="H14" s="113">
        <f>3/1000000</f>
        <v>3.0000000000000001E-6</v>
      </c>
      <c r="I14" s="88">
        <v>21</v>
      </c>
      <c r="J14" s="113">
        <f>0.6/1000000</f>
        <v>5.9999999999999997E-7</v>
      </c>
      <c r="K14" s="110">
        <v>310</v>
      </c>
    </row>
    <row r="15" spans="1:11" ht="40.5" x14ac:dyDescent="0.35">
      <c r="A15" s="107" t="s">
        <v>481</v>
      </c>
      <c r="B15" s="88" t="s">
        <v>479</v>
      </c>
      <c r="C15" s="88" t="s">
        <v>480</v>
      </c>
      <c r="D15" s="108">
        <f>$F15*$G15+$H15*$I15+$J15*$K15</f>
        <v>7.4348999999999998E-2</v>
      </c>
      <c r="E15" s="108"/>
      <c r="F15" s="111">
        <f>74100/1000000</f>
        <v>7.4099999999999999E-2</v>
      </c>
      <c r="G15" s="112">
        <v>1</v>
      </c>
      <c r="H15" s="113">
        <f>3/1000000</f>
        <v>3.0000000000000001E-6</v>
      </c>
      <c r="I15" s="88">
        <v>21</v>
      </c>
      <c r="J15" s="113">
        <f>0.6/1000000</f>
        <v>5.9999999999999997E-7</v>
      </c>
      <c r="K15" s="110">
        <v>310</v>
      </c>
    </row>
    <row r="16" spans="1:11" ht="27" x14ac:dyDescent="0.35">
      <c r="A16" s="107" t="s">
        <v>482</v>
      </c>
      <c r="B16" s="88" t="s">
        <v>479</v>
      </c>
      <c r="C16" s="88" t="s">
        <v>480</v>
      </c>
      <c r="D16" s="108">
        <f>$F16*$G16+$H16*$I16+$J16*$K16</f>
        <v>7.4348999999999998E-2</v>
      </c>
      <c r="E16" s="108"/>
      <c r="F16" s="111">
        <f>74100/1000000</f>
        <v>7.4099999999999999E-2</v>
      </c>
      <c r="G16" s="112">
        <v>1</v>
      </c>
      <c r="H16" s="113">
        <f>3/1000000</f>
        <v>3.0000000000000001E-6</v>
      </c>
      <c r="I16" s="88">
        <v>21</v>
      </c>
      <c r="J16" s="113">
        <f>0.6/1000000</f>
        <v>5.9999999999999997E-7</v>
      </c>
      <c r="K16" s="110">
        <v>310</v>
      </c>
    </row>
    <row r="17" spans="1:11" ht="27" x14ac:dyDescent="0.35">
      <c r="A17" s="107" t="s">
        <v>483</v>
      </c>
      <c r="B17" s="88" t="s">
        <v>479</v>
      </c>
      <c r="C17" s="88" t="s">
        <v>480</v>
      </c>
      <c r="D17" s="108">
        <f>$F17*$G17+$H17*$I17+$J17*$K17</f>
        <v>7.4496000000000007E-2</v>
      </c>
      <c r="E17" s="108"/>
      <c r="F17" s="111">
        <f>74100/1000000</f>
        <v>7.4099999999999999E-2</v>
      </c>
      <c r="G17" s="112">
        <v>1</v>
      </c>
      <c r="H17" s="113">
        <f>10/1000000</f>
        <v>1.0000000000000001E-5</v>
      </c>
      <c r="I17" s="88">
        <v>21</v>
      </c>
      <c r="J17" s="113">
        <f>0.6/1000000</f>
        <v>5.9999999999999997E-7</v>
      </c>
      <c r="K17" s="110">
        <v>310</v>
      </c>
    </row>
    <row r="18" spans="1:11" ht="27.5" thickBot="1" x14ac:dyDescent="0.4">
      <c r="A18" s="107" t="s">
        <v>484</v>
      </c>
      <c r="B18" s="88" t="s">
        <v>479</v>
      </c>
      <c r="C18" s="88" t="s">
        <v>480</v>
      </c>
      <c r="D18" s="108">
        <f>$F18*$G18+$H18*$I18+$J18*$K18</f>
        <v>7.5390899999999997E-2</v>
      </c>
      <c r="E18" s="108"/>
      <c r="F18" s="111">
        <f>74100/1000000</f>
        <v>7.4099999999999999E-2</v>
      </c>
      <c r="G18" s="112">
        <v>1</v>
      </c>
      <c r="H18" s="113">
        <f>3.9/1000000</f>
        <v>3.8999999999999999E-6</v>
      </c>
      <c r="I18" s="88">
        <v>21</v>
      </c>
      <c r="J18" s="113">
        <f>3.9/1000000</f>
        <v>3.8999999999999999E-6</v>
      </c>
      <c r="K18" s="110">
        <v>310</v>
      </c>
    </row>
    <row r="19" spans="1:11" ht="15" thickBot="1" x14ac:dyDescent="0.4">
      <c r="A19" s="95" t="s">
        <v>485</v>
      </c>
      <c r="B19" s="96"/>
      <c r="C19" s="97"/>
      <c r="D19" s="98"/>
      <c r="E19" s="98"/>
      <c r="F19" s="98"/>
      <c r="G19" s="98"/>
      <c r="H19" s="98"/>
      <c r="I19" s="98"/>
      <c r="J19" s="98"/>
      <c r="K19" s="99"/>
    </row>
    <row r="20" spans="1:11" ht="27" x14ac:dyDescent="0.35">
      <c r="A20" s="100" t="s">
        <v>471</v>
      </c>
      <c r="B20" s="101" t="s">
        <v>472</v>
      </c>
      <c r="C20" s="101" t="s">
        <v>473</v>
      </c>
      <c r="D20" s="102">
        <v>4.3999999999999997E-2</v>
      </c>
      <c r="E20" s="102"/>
      <c r="F20" s="103"/>
      <c r="G20" s="104"/>
      <c r="H20" s="105"/>
      <c r="I20" s="104"/>
      <c r="J20" s="105"/>
      <c r="K20" s="106"/>
    </row>
    <row r="21" spans="1:11" ht="27" x14ac:dyDescent="0.35">
      <c r="A21" s="107" t="s">
        <v>471</v>
      </c>
      <c r="B21" s="88" t="s">
        <v>474</v>
      </c>
      <c r="C21" s="88" t="s">
        <v>473</v>
      </c>
      <c r="D21" s="108">
        <f>D20*TOEperGJ</f>
        <v>1.0509219468E-3</v>
      </c>
      <c r="E21" s="108"/>
      <c r="F21" s="109"/>
      <c r="G21" s="109"/>
      <c r="H21" s="109"/>
      <c r="K21" s="110"/>
    </row>
    <row r="22" spans="1:11" ht="27" x14ac:dyDescent="0.35">
      <c r="A22" s="107" t="s">
        <v>471</v>
      </c>
      <c r="B22" s="88" t="s">
        <v>475</v>
      </c>
      <c r="C22" s="88" t="s">
        <v>473</v>
      </c>
      <c r="D22" s="108">
        <f>D20*MWhperGJ</f>
        <v>1.2222222222222223E-2</v>
      </c>
      <c r="E22" s="108"/>
      <c r="F22" s="109"/>
      <c r="G22" s="109"/>
      <c r="H22" s="109"/>
      <c r="K22" s="110"/>
    </row>
    <row r="23" spans="1:11" x14ac:dyDescent="0.35">
      <c r="A23" s="107" t="s">
        <v>471</v>
      </c>
      <c r="B23" s="88" t="s">
        <v>476</v>
      </c>
      <c r="C23" s="88" t="s">
        <v>486</v>
      </c>
      <c r="D23" s="108">
        <v>3.4200000000000001E-2</v>
      </c>
      <c r="E23" s="108"/>
      <c r="F23" s="109"/>
      <c r="G23" s="109"/>
      <c r="H23" s="109"/>
      <c r="K23" s="110"/>
    </row>
    <row r="24" spans="1:11" ht="27" x14ac:dyDescent="0.35">
      <c r="A24" s="107" t="s">
        <v>478</v>
      </c>
      <c r="B24" s="88" t="s">
        <v>479</v>
      </c>
      <c r="C24" s="88" t="s">
        <v>480</v>
      </c>
      <c r="D24" s="108">
        <f>$F24*$G24+$H24*$I24+$J24*$K24</f>
        <v>6.9549E-2</v>
      </c>
      <c r="E24" s="108"/>
      <c r="F24" s="111">
        <f>69300/1000000</f>
        <v>6.93E-2</v>
      </c>
      <c r="G24" s="112">
        <v>1</v>
      </c>
      <c r="H24" s="113">
        <f>3/1000000</f>
        <v>3.0000000000000001E-6</v>
      </c>
      <c r="I24" s="88">
        <v>21</v>
      </c>
      <c r="J24" s="113">
        <f>0.6/1000000</f>
        <v>5.9999999999999997E-7</v>
      </c>
      <c r="K24" s="110">
        <v>310</v>
      </c>
    </row>
    <row r="25" spans="1:11" ht="40.5" x14ac:dyDescent="0.35">
      <c r="A25" s="107" t="s">
        <v>481</v>
      </c>
      <c r="B25" s="88" t="s">
        <v>479</v>
      </c>
      <c r="C25" s="88" t="s">
        <v>480</v>
      </c>
      <c r="D25" s="108">
        <f>$F25*$G25+$H25*$I25+$J25*$K25</f>
        <v>6.9549E-2</v>
      </c>
      <c r="E25" s="108"/>
      <c r="F25" s="111">
        <f>69300/1000000</f>
        <v>6.93E-2</v>
      </c>
      <c r="G25" s="112">
        <v>1</v>
      </c>
      <c r="H25" s="113">
        <f>3/1000000</f>
        <v>3.0000000000000001E-6</v>
      </c>
      <c r="I25" s="88">
        <v>21</v>
      </c>
      <c r="J25" s="113">
        <f>0.6/1000000</f>
        <v>5.9999999999999997E-7</v>
      </c>
      <c r="K25" s="110">
        <v>310</v>
      </c>
    </row>
    <row r="26" spans="1:11" ht="27" x14ac:dyDescent="0.35">
      <c r="A26" s="107" t="s">
        <v>482</v>
      </c>
      <c r="B26" s="88" t="s">
        <v>479</v>
      </c>
      <c r="C26" s="88" t="s">
        <v>480</v>
      </c>
      <c r="D26" s="108">
        <f>$F26*$G26+$H26*$I26+$J26*$K26</f>
        <v>6.9549E-2</v>
      </c>
      <c r="E26" s="108"/>
      <c r="F26" s="111">
        <f>69300/1000000</f>
        <v>6.93E-2</v>
      </c>
      <c r="G26" s="112">
        <v>1</v>
      </c>
      <c r="H26" s="113">
        <f>3/1000000</f>
        <v>3.0000000000000001E-6</v>
      </c>
      <c r="I26" s="88">
        <v>21</v>
      </c>
      <c r="J26" s="113">
        <f>0.6/1000000</f>
        <v>5.9999999999999997E-7</v>
      </c>
      <c r="K26" s="110">
        <v>310</v>
      </c>
    </row>
    <row r="27" spans="1:11" ht="27" x14ac:dyDescent="0.35">
      <c r="A27" s="107" t="s">
        <v>483</v>
      </c>
      <c r="B27" s="88" t="s">
        <v>479</v>
      </c>
      <c r="C27" s="88" t="s">
        <v>480</v>
      </c>
      <c r="D27" s="108">
        <f>$F27*$G27+$H27*$I27+$J27*$K27</f>
        <v>6.9696000000000008E-2</v>
      </c>
      <c r="E27" s="108"/>
      <c r="F27" s="111">
        <f>69300/1000000</f>
        <v>6.93E-2</v>
      </c>
      <c r="G27" s="112">
        <v>1</v>
      </c>
      <c r="H27" s="113">
        <f>10/1000000</f>
        <v>1.0000000000000001E-5</v>
      </c>
      <c r="I27" s="88">
        <v>21</v>
      </c>
      <c r="J27" s="113">
        <f>0.6/1000000</f>
        <v>5.9999999999999997E-7</v>
      </c>
      <c r="K27" s="110">
        <v>310</v>
      </c>
    </row>
    <row r="28" spans="1:11" ht="27.5" thickBot="1" x14ac:dyDescent="0.4">
      <c r="A28" s="107" t="s">
        <v>484</v>
      </c>
      <c r="B28" s="88" t="s">
        <v>479</v>
      </c>
      <c r="C28" s="88" t="s">
        <v>480</v>
      </c>
      <c r="D28" s="108">
        <f>$F28*$G28+$H28*$I28+$J28*$K28</f>
        <v>7.0985000000000006E-2</v>
      </c>
      <c r="E28" s="108"/>
      <c r="F28" s="111">
        <f>69300/1000000</f>
        <v>6.93E-2</v>
      </c>
      <c r="G28" s="112">
        <v>1</v>
      </c>
      <c r="H28" s="113">
        <f>33/1000000</f>
        <v>3.3000000000000003E-5</v>
      </c>
      <c r="I28" s="88">
        <v>21</v>
      </c>
      <c r="J28" s="113">
        <f>3.2/1000000</f>
        <v>3.2000000000000003E-6</v>
      </c>
      <c r="K28" s="110">
        <v>310</v>
      </c>
    </row>
    <row r="29" spans="1:11" ht="15" thickBot="1" x14ac:dyDescent="0.4">
      <c r="A29" s="95" t="s">
        <v>265</v>
      </c>
      <c r="B29" s="96"/>
      <c r="C29" s="97"/>
      <c r="D29" s="98"/>
      <c r="E29" s="98"/>
      <c r="F29" s="98"/>
      <c r="G29" s="98"/>
      <c r="H29" s="98"/>
      <c r="I29" s="98"/>
      <c r="J29" s="98"/>
      <c r="K29" s="99"/>
    </row>
    <row r="30" spans="1:11" ht="27" x14ac:dyDescent="0.35">
      <c r="A30" s="100" t="s">
        <v>471</v>
      </c>
      <c r="B30" s="101" t="s">
        <v>472</v>
      </c>
      <c r="C30" s="101" t="s">
        <v>473</v>
      </c>
      <c r="D30" s="102">
        <v>4.7199999999999999E-2</v>
      </c>
      <c r="E30" s="102"/>
      <c r="F30" s="103"/>
      <c r="G30" s="104"/>
      <c r="H30" s="105"/>
      <c r="I30" s="104"/>
      <c r="J30" s="105"/>
      <c r="K30" s="106"/>
    </row>
    <row r="31" spans="1:11" ht="27" x14ac:dyDescent="0.35">
      <c r="A31" s="107" t="s">
        <v>471</v>
      </c>
      <c r="B31" s="88" t="s">
        <v>474</v>
      </c>
      <c r="C31" s="88" t="s">
        <v>473</v>
      </c>
      <c r="D31" s="108">
        <f>D30*TOEperGJ</f>
        <v>1.1273526338399999E-3</v>
      </c>
      <c r="E31" s="108"/>
      <c r="F31" s="109"/>
      <c r="G31" s="109"/>
      <c r="H31" s="109"/>
      <c r="K31" s="110"/>
    </row>
    <row r="32" spans="1:11" ht="27" x14ac:dyDescent="0.35">
      <c r="A32" s="107" t="s">
        <v>471</v>
      </c>
      <c r="B32" s="88" t="s">
        <v>475</v>
      </c>
      <c r="C32" s="88" t="s">
        <v>473</v>
      </c>
      <c r="D32" s="108">
        <f>D30*MWhperGJ</f>
        <v>1.3111111111111112E-2</v>
      </c>
      <c r="E32" s="108"/>
      <c r="F32" s="109"/>
      <c r="G32" s="109"/>
      <c r="H32" s="109"/>
      <c r="K32" s="110"/>
    </row>
    <row r="33" spans="1:11" x14ac:dyDescent="0.35">
      <c r="A33" s="107" t="s">
        <v>471</v>
      </c>
      <c r="B33" s="88" t="s">
        <v>487</v>
      </c>
      <c r="C33" s="88" t="s">
        <v>488</v>
      </c>
      <c r="D33" s="108">
        <v>3.3660000000000002E-2</v>
      </c>
      <c r="E33" s="108"/>
      <c r="F33" s="109"/>
      <c r="G33" s="109"/>
      <c r="H33" s="109"/>
      <c r="K33" s="110"/>
    </row>
    <row r="34" spans="1:11" x14ac:dyDescent="0.35">
      <c r="A34" s="107" t="s">
        <v>471</v>
      </c>
      <c r="B34" s="88" t="s">
        <v>489</v>
      </c>
      <c r="C34" s="88" t="s">
        <v>490</v>
      </c>
      <c r="D34" s="108">
        <f>D33*1000*MWhperGJ</f>
        <v>9.3500000000000014</v>
      </c>
      <c r="E34" s="108"/>
      <c r="F34" s="109"/>
      <c r="G34" s="109"/>
      <c r="H34" s="109"/>
      <c r="K34" s="110"/>
    </row>
    <row r="35" spans="1:11" ht="27" x14ac:dyDescent="0.35">
      <c r="A35" s="107" t="s">
        <v>478</v>
      </c>
      <c r="B35" s="88" t="s">
        <v>479</v>
      </c>
      <c r="C35" s="88" t="s">
        <v>480</v>
      </c>
      <c r="D35" s="108">
        <f>$F35*$G35+$H35*$I35+$J35*$K35</f>
        <v>5.6152000000000001E-2</v>
      </c>
      <c r="E35" s="108"/>
      <c r="F35" s="111">
        <f>56100/1000000</f>
        <v>5.6099999999999997E-2</v>
      </c>
      <c r="G35" s="112">
        <v>1</v>
      </c>
      <c r="H35" s="113">
        <f>1/1000000</f>
        <v>9.9999999999999995E-7</v>
      </c>
      <c r="I35" s="88">
        <v>21</v>
      </c>
      <c r="J35" s="113">
        <f>0.1/1000000</f>
        <v>1.0000000000000001E-7</v>
      </c>
      <c r="K35" s="110">
        <v>310</v>
      </c>
    </row>
    <row r="36" spans="1:11" ht="40.5" x14ac:dyDescent="0.35">
      <c r="A36" s="107" t="s">
        <v>481</v>
      </c>
      <c r="B36" s="88" t="s">
        <v>479</v>
      </c>
      <c r="C36" s="88" t="s">
        <v>480</v>
      </c>
      <c r="D36" s="108">
        <f>$F36*$G36+$H36*$I36+$J36*$K36</f>
        <v>5.6152000000000001E-2</v>
      </c>
      <c r="E36" s="108"/>
      <c r="F36" s="111">
        <f>56100/1000000</f>
        <v>5.6099999999999997E-2</v>
      </c>
      <c r="G36" s="112">
        <v>1</v>
      </c>
      <c r="H36" s="113">
        <f>1/1000000</f>
        <v>9.9999999999999995E-7</v>
      </c>
      <c r="I36" s="88">
        <v>21</v>
      </c>
      <c r="J36" s="113">
        <f>0.1/1000000</f>
        <v>1.0000000000000001E-7</v>
      </c>
      <c r="K36" s="110">
        <v>310</v>
      </c>
    </row>
    <row r="37" spans="1:11" ht="27" x14ac:dyDescent="0.35">
      <c r="A37" s="107" t="s">
        <v>482</v>
      </c>
      <c r="B37" s="88" t="s">
        <v>479</v>
      </c>
      <c r="C37" s="88" t="s">
        <v>480</v>
      </c>
      <c r="D37" s="108">
        <f>$F37*$G37+$H37*$I37+$J37*$K37</f>
        <v>5.6236000000000001E-2</v>
      </c>
      <c r="E37" s="108"/>
      <c r="F37" s="111">
        <f>56100/1000000</f>
        <v>5.6099999999999997E-2</v>
      </c>
      <c r="G37" s="112">
        <v>1</v>
      </c>
      <c r="H37" s="113">
        <f>5/1000000</f>
        <v>5.0000000000000004E-6</v>
      </c>
      <c r="I37" s="88">
        <v>21</v>
      </c>
      <c r="J37" s="113">
        <f>0.1/1000000</f>
        <v>1.0000000000000001E-7</v>
      </c>
      <c r="K37" s="110">
        <v>310</v>
      </c>
    </row>
    <row r="38" spans="1:11" ht="27" x14ac:dyDescent="0.35">
      <c r="A38" s="107" t="s">
        <v>483</v>
      </c>
      <c r="B38" s="88" t="s">
        <v>479</v>
      </c>
      <c r="C38" s="88" t="s">
        <v>480</v>
      </c>
      <c r="D38" s="108">
        <f>$F38*$G38+$H38*$I38+$J38*$K38</f>
        <v>5.6236000000000001E-2</v>
      </c>
      <c r="E38" s="108"/>
      <c r="F38" s="111">
        <f>56100/1000000</f>
        <v>5.6099999999999997E-2</v>
      </c>
      <c r="G38" s="112">
        <v>1</v>
      </c>
      <c r="H38" s="113">
        <f>5/1000000</f>
        <v>5.0000000000000004E-6</v>
      </c>
      <c r="I38" s="88">
        <v>21</v>
      </c>
      <c r="J38" s="113">
        <f>0.1/1000000</f>
        <v>1.0000000000000001E-7</v>
      </c>
      <c r="K38" s="110">
        <v>310</v>
      </c>
    </row>
    <row r="39" spans="1:11" ht="27" x14ac:dyDescent="0.35">
      <c r="A39" s="107" t="s">
        <v>491</v>
      </c>
      <c r="B39" s="88" t="s">
        <v>492</v>
      </c>
      <c r="C39" s="88" t="s">
        <v>493</v>
      </c>
      <c r="D39" s="108">
        <v>15.008822007025758</v>
      </c>
      <c r="E39" s="108"/>
      <c r="F39" s="114"/>
      <c r="G39" s="112"/>
      <c r="H39" s="113"/>
      <c r="J39" s="113"/>
      <c r="K39" s="110"/>
    </row>
    <row r="40" spans="1:11" ht="14" thickBot="1" x14ac:dyDescent="0.4">
      <c r="A40" s="107" t="s">
        <v>494</v>
      </c>
      <c r="B40" s="88" t="s">
        <v>495</v>
      </c>
      <c r="C40" s="88" t="s">
        <v>490</v>
      </c>
      <c r="D40" s="108">
        <f>D39/D34</f>
        <v>1.6052216050294925</v>
      </c>
      <c r="E40" s="108"/>
      <c r="F40" s="114"/>
      <c r="G40" s="112"/>
      <c r="H40" s="113"/>
      <c r="J40" s="113"/>
      <c r="K40" s="110"/>
    </row>
    <row r="41" spans="1:11" ht="27.5" thickBot="1" x14ac:dyDescent="0.4">
      <c r="A41" s="95" t="s">
        <v>496</v>
      </c>
      <c r="B41" s="96"/>
      <c r="C41" s="97"/>
      <c r="D41" s="98"/>
      <c r="E41" s="98"/>
      <c r="F41" s="98"/>
      <c r="G41" s="98"/>
      <c r="H41" s="98"/>
      <c r="I41" s="98"/>
      <c r="J41" s="98"/>
      <c r="K41" s="99"/>
    </row>
    <row r="42" spans="1:11" ht="27" x14ac:dyDescent="0.35">
      <c r="A42" s="100" t="s">
        <v>471</v>
      </c>
      <c r="B42" s="101" t="s">
        <v>472</v>
      </c>
      <c r="C42" s="101" t="s">
        <v>473</v>
      </c>
      <c r="D42" s="102">
        <v>4.5190000000000001E-2</v>
      </c>
      <c r="E42" s="102"/>
      <c r="F42" s="103"/>
      <c r="G42" s="104"/>
      <c r="H42" s="105"/>
      <c r="I42" s="104"/>
      <c r="J42" s="105"/>
      <c r="K42" s="106"/>
    </row>
    <row r="43" spans="1:11" ht="27" x14ac:dyDescent="0.35">
      <c r="A43" s="107" t="s">
        <v>471</v>
      </c>
      <c r="B43" s="88" t="s">
        <v>474</v>
      </c>
      <c r="C43" s="88" t="s">
        <v>473</v>
      </c>
      <c r="D43" s="108">
        <f>D42*TOEperGJ</f>
        <v>1.0793446085429999E-3</v>
      </c>
      <c r="E43" s="108"/>
      <c r="F43" s="109"/>
      <c r="G43" s="109"/>
      <c r="H43" s="109"/>
      <c r="K43" s="110"/>
    </row>
    <row r="44" spans="1:11" ht="27" x14ac:dyDescent="0.35">
      <c r="A44" s="107" t="s">
        <v>471</v>
      </c>
      <c r="B44" s="88" t="s">
        <v>475</v>
      </c>
      <c r="C44" s="88" t="s">
        <v>473</v>
      </c>
      <c r="D44" s="108">
        <f>D42*MWhperGJ</f>
        <v>1.2552777777777779E-2</v>
      </c>
      <c r="E44" s="108"/>
      <c r="F44" s="109"/>
      <c r="G44" s="109"/>
      <c r="H44" s="109"/>
      <c r="K44" s="110"/>
    </row>
    <row r="45" spans="1:11" x14ac:dyDescent="0.35">
      <c r="A45" s="107" t="s">
        <v>471</v>
      </c>
      <c r="B45" s="88" t="s">
        <v>487</v>
      </c>
      <c r="C45" s="88" t="s">
        <v>497</v>
      </c>
      <c r="D45" s="108">
        <v>4.3299999999999998E-2</v>
      </c>
      <c r="E45" s="108"/>
      <c r="F45" s="109"/>
      <c r="G45" s="109"/>
      <c r="H45" s="109"/>
      <c r="K45" s="110"/>
    </row>
    <row r="46" spans="1:11" ht="27" x14ac:dyDescent="0.35">
      <c r="A46" s="107" t="s">
        <v>478</v>
      </c>
      <c r="B46" s="88" t="s">
        <v>479</v>
      </c>
      <c r="C46" s="88" t="s">
        <v>480</v>
      </c>
      <c r="D46" s="108">
        <f>$F46*$G46+$H46*$I46+$J46*$K46</f>
        <v>6.4448999999999992E-2</v>
      </c>
      <c r="E46" s="108"/>
      <c r="F46" s="111">
        <f>64200/1000000</f>
        <v>6.4199999999999993E-2</v>
      </c>
      <c r="G46" s="112">
        <v>1</v>
      </c>
      <c r="H46" s="113">
        <f>3/1000000</f>
        <v>3.0000000000000001E-6</v>
      </c>
      <c r="I46" s="88">
        <v>21</v>
      </c>
      <c r="J46" s="113">
        <f>0.6/1000000</f>
        <v>5.9999999999999997E-7</v>
      </c>
      <c r="K46" s="110">
        <v>310</v>
      </c>
    </row>
    <row r="47" spans="1:11" ht="40.5" x14ac:dyDescent="0.35">
      <c r="A47" s="107" t="s">
        <v>481</v>
      </c>
      <c r="B47" s="88" t="s">
        <v>479</v>
      </c>
      <c r="C47" s="88" t="s">
        <v>480</v>
      </c>
      <c r="D47" s="108">
        <f>$F47*$G47+$H47*$I47+$J47*$K47</f>
        <v>6.4448999999999992E-2</v>
      </c>
      <c r="E47" s="108"/>
      <c r="F47" s="111">
        <f>64200/1000000</f>
        <v>6.4199999999999993E-2</v>
      </c>
      <c r="G47" s="112">
        <v>1</v>
      </c>
      <c r="H47" s="113">
        <f>3/1000000</f>
        <v>3.0000000000000001E-6</v>
      </c>
      <c r="I47" s="88">
        <v>21</v>
      </c>
      <c r="J47" s="113">
        <f>0.6/1000000</f>
        <v>5.9999999999999997E-7</v>
      </c>
      <c r="K47" s="110">
        <v>310</v>
      </c>
    </row>
    <row r="48" spans="1:11" ht="27" x14ac:dyDescent="0.35">
      <c r="A48" s="107" t="s">
        <v>482</v>
      </c>
      <c r="B48" s="88" t="s">
        <v>479</v>
      </c>
      <c r="C48" s="88" t="s">
        <v>480</v>
      </c>
      <c r="D48" s="108">
        <f>$F48*$G48+$H48*$I48+$J48*$K48</f>
        <v>6.4596000000000001E-2</v>
      </c>
      <c r="E48" s="108"/>
      <c r="F48" s="111">
        <f>64200/1000000</f>
        <v>6.4199999999999993E-2</v>
      </c>
      <c r="G48" s="112">
        <v>1</v>
      </c>
      <c r="H48" s="113">
        <f>10/1000000</f>
        <v>1.0000000000000001E-5</v>
      </c>
      <c r="I48" s="88">
        <v>21</v>
      </c>
      <c r="J48" s="113">
        <f>0.6/1000000</f>
        <v>5.9999999999999997E-7</v>
      </c>
      <c r="K48" s="110">
        <v>310</v>
      </c>
    </row>
    <row r="49" spans="1:11" ht="27" x14ac:dyDescent="0.35">
      <c r="A49" s="107" t="s">
        <v>483</v>
      </c>
      <c r="B49" s="88" t="s">
        <v>479</v>
      </c>
      <c r="C49" s="88" t="s">
        <v>480</v>
      </c>
      <c r="D49" s="108">
        <f>$F49*$G49+$H49*$I49+$J49*$K49</f>
        <v>6.4596000000000001E-2</v>
      </c>
      <c r="E49" s="108"/>
      <c r="F49" s="111">
        <f>64200/1000000</f>
        <v>6.4199999999999993E-2</v>
      </c>
      <c r="G49" s="112">
        <v>1</v>
      </c>
      <c r="H49" s="113">
        <f>10/1000000</f>
        <v>1.0000000000000001E-5</v>
      </c>
      <c r="I49" s="88">
        <v>21</v>
      </c>
      <c r="J49" s="113">
        <f>0.6/1000000</f>
        <v>5.9999999999999997E-7</v>
      </c>
      <c r="K49" s="110">
        <v>310</v>
      </c>
    </row>
    <row r="50" spans="1:11" ht="27.5" thickBot="1" x14ac:dyDescent="0.4">
      <c r="A50" s="107" t="s">
        <v>484</v>
      </c>
      <c r="B50" s="88" t="s">
        <v>479</v>
      </c>
      <c r="C50" s="88" t="s">
        <v>480</v>
      </c>
      <c r="D50" s="108">
        <f>$F50*$G50+$H50*$I50+$J50*$K50</f>
        <v>5.7463999999999994E-2</v>
      </c>
      <c r="E50" s="108"/>
      <c r="F50" s="111">
        <f>56100/1000000</f>
        <v>5.6099999999999997E-2</v>
      </c>
      <c r="G50" s="112">
        <v>1</v>
      </c>
      <c r="H50" s="113">
        <f>62/1000000</f>
        <v>6.2000000000000003E-5</v>
      </c>
      <c r="I50" s="88">
        <v>21</v>
      </c>
      <c r="J50" s="113">
        <f>0.2/1000000</f>
        <v>2.0000000000000002E-7</v>
      </c>
      <c r="K50" s="110">
        <v>310</v>
      </c>
    </row>
    <row r="51" spans="1:11" ht="15" thickBot="1" x14ac:dyDescent="0.4">
      <c r="A51" s="95" t="s">
        <v>498</v>
      </c>
      <c r="B51" s="96"/>
      <c r="C51" s="97"/>
      <c r="D51" s="98"/>
      <c r="E51" s="98"/>
      <c r="F51" s="98"/>
      <c r="G51" s="98"/>
      <c r="H51" s="98"/>
      <c r="I51" s="98"/>
      <c r="J51" s="98"/>
      <c r="K51" s="99"/>
    </row>
    <row r="52" spans="1:11" ht="27" x14ac:dyDescent="0.35">
      <c r="A52" s="100" t="s">
        <v>471</v>
      </c>
      <c r="B52" s="101" t="s">
        <v>472</v>
      </c>
      <c r="C52" s="101" t="s">
        <v>473</v>
      </c>
      <c r="D52" s="102">
        <v>4.5999999999999999E-2</v>
      </c>
      <c r="E52" s="102"/>
      <c r="F52" s="103"/>
      <c r="G52" s="104"/>
      <c r="H52" s="105"/>
      <c r="I52" s="104"/>
      <c r="J52" s="105"/>
      <c r="K52" s="106"/>
    </row>
    <row r="53" spans="1:11" ht="27" x14ac:dyDescent="0.35">
      <c r="A53" s="107" t="s">
        <v>471</v>
      </c>
      <c r="B53" s="88" t="s">
        <v>474</v>
      </c>
      <c r="C53" s="88" t="s">
        <v>473</v>
      </c>
      <c r="D53" s="108">
        <f>D52*TOEperGJ</f>
        <v>1.0986911262000001E-3</v>
      </c>
      <c r="E53" s="108"/>
      <c r="F53" s="109"/>
      <c r="G53" s="109"/>
      <c r="H53" s="109"/>
      <c r="K53" s="110"/>
    </row>
    <row r="54" spans="1:11" ht="27" x14ac:dyDescent="0.35">
      <c r="A54" s="107" t="s">
        <v>471</v>
      </c>
      <c r="B54" s="88" t="s">
        <v>475</v>
      </c>
      <c r="C54" s="88" t="s">
        <v>473</v>
      </c>
      <c r="D54" s="108">
        <f>D52*MWhperGJ</f>
        <v>1.2777777777777779E-2</v>
      </c>
      <c r="E54" s="108"/>
      <c r="F54" s="109"/>
      <c r="G54" s="109"/>
      <c r="H54" s="109"/>
      <c r="K54" s="110"/>
    </row>
    <row r="55" spans="1:11" x14ac:dyDescent="0.35">
      <c r="A55" s="107" t="s">
        <v>471</v>
      </c>
      <c r="B55" s="88" t="s">
        <v>487</v>
      </c>
      <c r="C55" s="88" t="s">
        <v>499</v>
      </c>
      <c r="D55" s="108">
        <v>4.3299999999999998E-2</v>
      </c>
      <c r="E55" s="108"/>
      <c r="F55" s="109"/>
      <c r="G55" s="109"/>
      <c r="H55" s="109"/>
      <c r="K55" s="110"/>
    </row>
    <row r="56" spans="1:11" ht="27" x14ac:dyDescent="0.35">
      <c r="A56" s="107" t="s">
        <v>478</v>
      </c>
      <c r="B56" s="88" t="s">
        <v>479</v>
      </c>
      <c r="C56" s="88" t="s">
        <v>480</v>
      </c>
      <c r="D56" s="108">
        <f>$F56*$G56+$H56*$I56+$J56*$K56</f>
        <v>6.3152E-2</v>
      </c>
      <c r="E56" s="108"/>
      <c r="F56" s="111">
        <f>63100/1000000</f>
        <v>6.3100000000000003E-2</v>
      </c>
      <c r="G56" s="112">
        <v>1</v>
      </c>
      <c r="H56" s="113">
        <f>1/1000000</f>
        <v>9.9999999999999995E-7</v>
      </c>
      <c r="I56" s="88">
        <v>21</v>
      </c>
      <c r="J56" s="113">
        <f>0.1/1000000</f>
        <v>1.0000000000000001E-7</v>
      </c>
      <c r="K56" s="110">
        <v>310</v>
      </c>
    </row>
    <row r="57" spans="1:11" ht="40.5" x14ac:dyDescent="0.35">
      <c r="A57" s="107" t="s">
        <v>481</v>
      </c>
      <c r="B57" s="88" t="s">
        <v>479</v>
      </c>
      <c r="C57" s="88" t="s">
        <v>480</v>
      </c>
      <c r="D57" s="108">
        <f>$F57*$G57+$H57*$I57+$J57*$K57</f>
        <v>6.3152E-2</v>
      </c>
      <c r="E57" s="108"/>
      <c r="F57" s="111">
        <f>63100/1000000</f>
        <v>6.3100000000000003E-2</v>
      </c>
      <c r="G57" s="112">
        <v>1</v>
      </c>
      <c r="H57" s="113">
        <f>1/1000000</f>
        <v>9.9999999999999995E-7</v>
      </c>
      <c r="I57" s="88">
        <v>21</v>
      </c>
      <c r="J57" s="113">
        <f>0.1/1000000</f>
        <v>1.0000000000000001E-7</v>
      </c>
      <c r="K57" s="110">
        <v>310</v>
      </c>
    </row>
    <row r="58" spans="1:11" ht="27" x14ac:dyDescent="0.35">
      <c r="A58" s="107" t="s">
        <v>482</v>
      </c>
      <c r="B58" s="88" t="s">
        <v>479</v>
      </c>
      <c r="C58" s="88" t="s">
        <v>480</v>
      </c>
      <c r="D58" s="108">
        <f>$F58*$G58+$H58*$I58+$J58*$K58</f>
        <v>6.3236000000000001E-2</v>
      </c>
      <c r="E58" s="108"/>
      <c r="F58" s="111">
        <f>63100/1000000</f>
        <v>6.3100000000000003E-2</v>
      </c>
      <c r="G58" s="112">
        <v>1</v>
      </c>
      <c r="H58" s="113">
        <f>5/1000000</f>
        <v>5.0000000000000004E-6</v>
      </c>
      <c r="I58" s="88">
        <v>21</v>
      </c>
      <c r="J58" s="113">
        <f>0.1/1000000</f>
        <v>1.0000000000000001E-7</v>
      </c>
      <c r="K58" s="110">
        <v>310</v>
      </c>
    </row>
    <row r="59" spans="1:11" ht="27" x14ac:dyDescent="0.35">
      <c r="A59" s="107" t="s">
        <v>483</v>
      </c>
      <c r="B59" s="88" t="s">
        <v>479</v>
      </c>
      <c r="C59" s="88" t="s">
        <v>480</v>
      </c>
      <c r="D59" s="108">
        <f>$F59*$G59+$H59*$I59+$J59*$K59</f>
        <v>6.3236000000000001E-2</v>
      </c>
      <c r="E59" s="108"/>
      <c r="F59" s="111">
        <f>63100/1000000</f>
        <v>6.3100000000000003E-2</v>
      </c>
      <c r="G59" s="112">
        <v>1</v>
      </c>
      <c r="H59" s="113">
        <f>5/1000000</f>
        <v>5.0000000000000004E-6</v>
      </c>
      <c r="I59" s="88">
        <v>21</v>
      </c>
      <c r="J59" s="113">
        <f>0.1/1000000</f>
        <v>1.0000000000000001E-7</v>
      </c>
      <c r="K59" s="110">
        <v>310</v>
      </c>
    </row>
    <row r="60" spans="1:11" ht="27.5" thickBot="1" x14ac:dyDescent="0.4">
      <c r="A60" s="107" t="s">
        <v>484</v>
      </c>
      <c r="B60" s="88" t="s">
        <v>479</v>
      </c>
      <c r="C60" s="88" t="s">
        <v>480</v>
      </c>
      <c r="D60" s="108">
        <f>$F60*$G60+$H60*$I60+$J60*$K60</f>
        <v>6.3100000000000003E-2</v>
      </c>
      <c r="E60" s="108"/>
      <c r="F60" s="111">
        <f>63100/1000000</f>
        <v>6.3100000000000003E-2</v>
      </c>
      <c r="G60" s="112">
        <v>1</v>
      </c>
      <c r="H60" s="113"/>
      <c r="I60" s="88">
        <v>21</v>
      </c>
      <c r="J60" s="113"/>
      <c r="K60" s="110">
        <v>310</v>
      </c>
    </row>
    <row r="61" spans="1:11" ht="14.5" x14ac:dyDescent="0.35">
      <c r="A61" s="95" t="s">
        <v>500</v>
      </c>
      <c r="B61" s="96"/>
      <c r="C61" s="97"/>
      <c r="D61" s="98"/>
      <c r="E61" s="98"/>
      <c r="F61" s="98"/>
      <c r="G61" s="98"/>
      <c r="H61" s="98"/>
      <c r="I61" s="98"/>
      <c r="J61" s="98"/>
      <c r="K61" s="99"/>
    </row>
    <row r="62" spans="1:11" ht="27" x14ac:dyDescent="0.35">
      <c r="A62" s="107" t="s">
        <v>478</v>
      </c>
      <c r="B62" s="88" t="s">
        <v>479</v>
      </c>
      <c r="C62" s="88" t="s">
        <v>480</v>
      </c>
      <c r="D62" s="108">
        <f>$F62*$G62+$H62*$I62+$J62*$K62</f>
        <v>7.1748999999999993E-2</v>
      </c>
      <c r="E62" s="108"/>
      <c r="F62" s="111">
        <f>71500/1000000</f>
        <v>7.1499999999999994E-2</v>
      </c>
      <c r="G62" s="112">
        <v>1</v>
      </c>
      <c r="H62" s="113">
        <f>3/1000000</f>
        <v>3.0000000000000001E-6</v>
      </c>
      <c r="I62" s="88">
        <v>21</v>
      </c>
      <c r="J62" s="113">
        <f>0.6/1000000</f>
        <v>5.9999999999999997E-7</v>
      </c>
      <c r="K62" s="110">
        <v>310</v>
      </c>
    </row>
    <row r="63" spans="1:11" ht="40.5" x14ac:dyDescent="0.35">
      <c r="A63" s="107" t="s">
        <v>481</v>
      </c>
      <c r="B63" s="88" t="s">
        <v>479</v>
      </c>
      <c r="C63" s="88" t="s">
        <v>480</v>
      </c>
      <c r="D63" s="108">
        <f>$F63*$G63+$H63*$I63+$J63*$K63</f>
        <v>7.1748999999999993E-2</v>
      </c>
      <c r="E63" s="108"/>
      <c r="F63" s="111">
        <f>71500/1000000</f>
        <v>7.1499999999999994E-2</v>
      </c>
      <c r="G63" s="112">
        <v>1</v>
      </c>
      <c r="H63" s="113">
        <f>3/1000000</f>
        <v>3.0000000000000001E-6</v>
      </c>
      <c r="I63" s="88">
        <v>21</v>
      </c>
      <c r="J63" s="113">
        <f>0.6/1000000</f>
        <v>5.9999999999999997E-7</v>
      </c>
      <c r="K63" s="110">
        <v>310</v>
      </c>
    </row>
    <row r="64" spans="1:11" ht="27" x14ac:dyDescent="0.35">
      <c r="A64" s="107" t="s">
        <v>482</v>
      </c>
      <c r="B64" s="88" t="s">
        <v>479</v>
      </c>
      <c r="C64" s="88" t="s">
        <v>480</v>
      </c>
      <c r="D64" s="108">
        <f>$F64*$G64+$H64*$I64+$J64*$K64</f>
        <v>7.1896000000000002E-2</v>
      </c>
      <c r="E64" s="108"/>
      <c r="F64" s="111">
        <f>71500/1000000</f>
        <v>7.1499999999999994E-2</v>
      </c>
      <c r="G64" s="112">
        <v>1</v>
      </c>
      <c r="H64" s="113">
        <f>10/1000000</f>
        <v>1.0000000000000001E-5</v>
      </c>
      <c r="I64" s="88">
        <v>21</v>
      </c>
      <c r="J64" s="113">
        <f>0.6/1000000</f>
        <v>5.9999999999999997E-7</v>
      </c>
      <c r="K64" s="110">
        <v>310</v>
      </c>
    </row>
    <row r="65" spans="1:11" ht="27" x14ac:dyDescent="0.35">
      <c r="A65" s="107" t="s">
        <v>483</v>
      </c>
      <c r="B65" s="88" t="s">
        <v>479</v>
      </c>
      <c r="C65" s="88" t="s">
        <v>480</v>
      </c>
      <c r="D65" s="108">
        <f>$F65*$G65+$H65*$I65+$J65*$K65</f>
        <v>7.1896000000000002E-2</v>
      </c>
      <c r="E65" s="108"/>
      <c r="F65" s="111">
        <f>71500/1000000</f>
        <v>7.1499999999999994E-2</v>
      </c>
      <c r="G65" s="112">
        <v>1</v>
      </c>
      <c r="H65" s="113">
        <f>10/1000000</f>
        <v>1.0000000000000001E-5</v>
      </c>
      <c r="I65" s="88">
        <v>21</v>
      </c>
      <c r="J65" s="113">
        <f>0.6/1000000</f>
        <v>5.9999999999999997E-7</v>
      </c>
      <c r="K65" s="110">
        <v>310</v>
      </c>
    </row>
    <row r="66" spans="1:11" ht="27.5" thickBot="1" x14ac:dyDescent="0.4">
      <c r="A66" s="107" t="s">
        <v>484</v>
      </c>
      <c r="B66" s="88" t="s">
        <v>479</v>
      </c>
      <c r="C66" s="88" t="s">
        <v>480</v>
      </c>
      <c r="D66" s="108">
        <f>$F66*$G66+$H66*$I66+$J66*$K66</f>
        <v>0</v>
      </c>
      <c r="E66" s="108"/>
      <c r="F66" s="111"/>
      <c r="G66" s="112">
        <v>1</v>
      </c>
      <c r="H66" s="113"/>
      <c r="I66" s="88">
        <v>21</v>
      </c>
      <c r="J66" s="113"/>
      <c r="K66" s="110">
        <v>310</v>
      </c>
    </row>
    <row r="67" spans="1:11" ht="14.5" x14ac:dyDescent="0.35">
      <c r="A67" s="95" t="s">
        <v>501</v>
      </c>
      <c r="B67" s="96"/>
      <c r="C67" s="97"/>
      <c r="D67" s="98"/>
      <c r="E67" s="98"/>
      <c r="F67" s="98"/>
      <c r="G67" s="98"/>
      <c r="H67" s="98"/>
      <c r="I67" s="98"/>
      <c r="J67" s="98"/>
      <c r="K67" s="99"/>
    </row>
    <row r="68" spans="1:11" ht="27" x14ac:dyDescent="0.35">
      <c r="A68" s="107" t="s">
        <v>478</v>
      </c>
      <c r="B68" s="88" t="s">
        <v>479</v>
      </c>
      <c r="C68" s="88" t="s">
        <v>480</v>
      </c>
      <c r="D68" s="108">
        <f>$F68*$G68+$H68*$I68+$J68*$K68</f>
        <v>7.2149000000000005E-2</v>
      </c>
      <c r="E68" s="108"/>
      <c r="F68" s="111">
        <f>71900/1000000</f>
        <v>7.1900000000000006E-2</v>
      </c>
      <c r="G68" s="112">
        <v>1</v>
      </c>
      <c r="H68" s="113">
        <f>3/1000000</f>
        <v>3.0000000000000001E-6</v>
      </c>
      <c r="I68" s="88">
        <v>21</v>
      </c>
      <c r="J68" s="113">
        <f>0.6/1000000</f>
        <v>5.9999999999999997E-7</v>
      </c>
      <c r="K68" s="110">
        <v>310</v>
      </c>
    </row>
    <row r="69" spans="1:11" ht="40.5" x14ac:dyDescent="0.35">
      <c r="A69" s="107" t="s">
        <v>481</v>
      </c>
      <c r="B69" s="88" t="s">
        <v>479</v>
      </c>
      <c r="C69" s="88" t="s">
        <v>480</v>
      </c>
      <c r="D69" s="108">
        <f>$F69*$G69+$H69*$I69+$J69*$K69</f>
        <v>7.2149000000000005E-2</v>
      </c>
      <c r="E69" s="108"/>
      <c r="F69" s="111">
        <f>71900/1000000</f>
        <v>7.1900000000000006E-2</v>
      </c>
      <c r="G69" s="112">
        <v>1</v>
      </c>
      <c r="H69" s="113">
        <f>3/1000000</f>
        <v>3.0000000000000001E-6</v>
      </c>
      <c r="I69" s="88">
        <v>21</v>
      </c>
      <c r="J69" s="113">
        <f>0.6/1000000</f>
        <v>5.9999999999999997E-7</v>
      </c>
      <c r="K69" s="110">
        <v>310</v>
      </c>
    </row>
    <row r="70" spans="1:11" ht="27" x14ac:dyDescent="0.35">
      <c r="A70" s="107" t="s">
        <v>482</v>
      </c>
      <c r="B70" s="88" t="s">
        <v>479</v>
      </c>
      <c r="C70" s="88" t="s">
        <v>480</v>
      </c>
      <c r="D70" s="108">
        <f>$F70*$G70+$H70*$I70+$J70*$K70</f>
        <v>7.2296000000000013E-2</v>
      </c>
      <c r="E70" s="108"/>
      <c r="F70" s="111">
        <f>71900/1000000</f>
        <v>7.1900000000000006E-2</v>
      </c>
      <c r="G70" s="112">
        <v>1</v>
      </c>
      <c r="H70" s="113">
        <f>10/1000000</f>
        <v>1.0000000000000001E-5</v>
      </c>
      <c r="I70" s="88">
        <v>21</v>
      </c>
      <c r="J70" s="113">
        <f>0.6/1000000</f>
        <v>5.9999999999999997E-7</v>
      </c>
      <c r="K70" s="110">
        <v>310</v>
      </c>
    </row>
    <row r="71" spans="1:11" ht="27" x14ac:dyDescent="0.35">
      <c r="A71" s="107" t="s">
        <v>483</v>
      </c>
      <c r="B71" s="88" t="s">
        <v>479</v>
      </c>
      <c r="C71" s="88" t="s">
        <v>480</v>
      </c>
      <c r="D71" s="108">
        <f>$F71*$G71+$H71*$I71+$J71*$K71</f>
        <v>7.2296000000000013E-2</v>
      </c>
      <c r="E71" s="108"/>
      <c r="F71" s="111">
        <f>71900/1000000</f>
        <v>7.1900000000000006E-2</v>
      </c>
      <c r="G71" s="112">
        <v>1</v>
      </c>
      <c r="H71" s="113">
        <f>10/1000000</f>
        <v>1.0000000000000001E-5</v>
      </c>
      <c r="I71" s="88">
        <v>21</v>
      </c>
      <c r="J71" s="113">
        <f>0.6/1000000</f>
        <v>5.9999999999999997E-7</v>
      </c>
      <c r="K71" s="110">
        <v>310</v>
      </c>
    </row>
    <row r="72" spans="1:11" ht="27.5" thickBot="1" x14ac:dyDescent="0.4">
      <c r="A72" s="107" t="s">
        <v>484</v>
      </c>
      <c r="B72" s="88" t="s">
        <v>479</v>
      </c>
      <c r="C72" s="88" t="s">
        <v>480</v>
      </c>
      <c r="D72" s="108">
        <f>$F72*$G72+$H72*$I72+$J72*$K72</f>
        <v>0</v>
      </c>
      <c r="E72" s="108"/>
      <c r="F72" s="111"/>
      <c r="G72" s="112">
        <v>1</v>
      </c>
      <c r="H72" s="113"/>
      <c r="I72" s="88">
        <v>21</v>
      </c>
      <c r="J72" s="113"/>
      <c r="K72" s="110">
        <v>310</v>
      </c>
    </row>
    <row r="73" spans="1:11" ht="14.5" x14ac:dyDescent="0.35">
      <c r="A73" s="95" t="s">
        <v>502</v>
      </c>
      <c r="B73" s="96"/>
      <c r="C73" s="97"/>
      <c r="D73" s="98"/>
      <c r="E73" s="98"/>
      <c r="F73" s="98"/>
      <c r="G73" s="98"/>
      <c r="H73" s="98"/>
      <c r="I73" s="98"/>
      <c r="J73" s="98"/>
      <c r="K73" s="99"/>
    </row>
    <row r="74" spans="1:11" ht="27" x14ac:dyDescent="0.35">
      <c r="A74" s="107" t="s">
        <v>478</v>
      </c>
      <c r="B74" s="88" t="s">
        <v>479</v>
      </c>
      <c r="C74" s="88" t="s">
        <v>480</v>
      </c>
      <c r="D74" s="108">
        <f>$F74*$G74+$H74*$I74+$J74*$K74</f>
        <v>9.8785999999999985E-2</v>
      </c>
      <c r="E74" s="108"/>
      <c r="F74" s="111">
        <f>98300/1000000</f>
        <v>9.8299999999999998E-2</v>
      </c>
      <c r="G74" s="112">
        <v>1</v>
      </c>
      <c r="H74" s="113">
        <f>1/1000000</f>
        <v>9.9999999999999995E-7</v>
      </c>
      <c r="I74" s="88">
        <v>21</v>
      </c>
      <c r="J74" s="113">
        <f>1.5/1000000</f>
        <v>1.5E-6</v>
      </c>
      <c r="K74" s="110">
        <v>310</v>
      </c>
    </row>
    <row r="75" spans="1:11" ht="40.5" x14ac:dyDescent="0.35">
      <c r="A75" s="107" t="s">
        <v>481</v>
      </c>
      <c r="B75" s="88" t="s">
        <v>479</v>
      </c>
      <c r="C75" s="88" t="s">
        <v>480</v>
      </c>
      <c r="D75" s="108">
        <f>$F75*$G75+$H75*$I75+$J75*$K75</f>
        <v>9.8974999999999994E-2</v>
      </c>
      <c r="E75" s="108"/>
      <c r="F75" s="111">
        <f>98300/1000000</f>
        <v>9.8299999999999998E-2</v>
      </c>
      <c r="G75" s="112">
        <v>1</v>
      </c>
      <c r="H75" s="113">
        <f>10/1000000</f>
        <v>1.0000000000000001E-5</v>
      </c>
      <c r="I75" s="88">
        <v>21</v>
      </c>
      <c r="J75" s="113">
        <f>1.5/1000000</f>
        <v>1.5E-6</v>
      </c>
      <c r="K75" s="110">
        <v>310</v>
      </c>
    </row>
    <row r="76" spans="1:11" ht="27" x14ac:dyDescent="0.35">
      <c r="A76" s="107" t="s">
        <v>482</v>
      </c>
      <c r="B76" s="88" t="s">
        <v>479</v>
      </c>
      <c r="C76" s="88" t="s">
        <v>480</v>
      </c>
      <c r="D76" s="108">
        <f>$F76*$G76+$H76*$I76+$J76*$K76</f>
        <v>9.8974999999999994E-2</v>
      </c>
      <c r="E76" s="108"/>
      <c r="F76" s="111">
        <f>98300/1000000</f>
        <v>9.8299999999999998E-2</v>
      </c>
      <c r="G76" s="112">
        <v>1</v>
      </c>
      <c r="H76" s="113">
        <f>10/1000000</f>
        <v>1.0000000000000001E-5</v>
      </c>
      <c r="I76" s="88">
        <v>21</v>
      </c>
      <c r="J76" s="113">
        <f>1.5/1000000</f>
        <v>1.5E-6</v>
      </c>
      <c r="K76" s="110">
        <v>310</v>
      </c>
    </row>
    <row r="77" spans="1:11" ht="27" x14ac:dyDescent="0.35">
      <c r="A77" s="107" t="s">
        <v>483</v>
      </c>
      <c r="B77" s="88" t="s">
        <v>479</v>
      </c>
      <c r="C77" s="88" t="s">
        <v>480</v>
      </c>
      <c r="D77" s="108">
        <f>$F77*$G77+$H77*$I77+$J77*$K77</f>
        <v>0.10506499999999999</v>
      </c>
      <c r="E77" s="108"/>
      <c r="F77" s="111">
        <f>98300/1000000</f>
        <v>9.8299999999999998E-2</v>
      </c>
      <c r="G77" s="112">
        <v>1</v>
      </c>
      <c r="H77" s="113">
        <f>300/1000000</f>
        <v>2.9999999999999997E-4</v>
      </c>
      <c r="I77" s="88">
        <v>21</v>
      </c>
      <c r="J77" s="113">
        <f>1.5/1000000</f>
        <v>1.5E-6</v>
      </c>
      <c r="K77" s="110">
        <v>310</v>
      </c>
    </row>
    <row r="78" spans="1:11" ht="27.5" thickBot="1" x14ac:dyDescent="0.4">
      <c r="A78" s="107" t="s">
        <v>484</v>
      </c>
      <c r="B78" s="88" t="s">
        <v>479</v>
      </c>
      <c r="C78" s="88" t="s">
        <v>480</v>
      </c>
      <c r="D78" s="108">
        <f>$F78*$G78+$H78*$I78+$J78*$K78</f>
        <v>0</v>
      </c>
      <c r="E78" s="108"/>
      <c r="F78" s="111"/>
      <c r="G78" s="112">
        <v>1</v>
      </c>
      <c r="H78" s="113"/>
      <c r="I78" s="88">
        <v>21</v>
      </c>
      <c r="J78" s="113"/>
      <c r="K78" s="110">
        <v>310</v>
      </c>
    </row>
    <row r="79" spans="1:11" ht="14.5" x14ac:dyDescent="0.35">
      <c r="A79" s="95" t="s">
        <v>503</v>
      </c>
      <c r="B79" s="96"/>
      <c r="C79" s="97"/>
      <c r="D79" s="98"/>
      <c r="E79" s="98"/>
      <c r="F79" s="98"/>
      <c r="G79" s="98"/>
      <c r="H79" s="98"/>
      <c r="I79" s="98"/>
      <c r="J79" s="98"/>
      <c r="K79" s="99"/>
    </row>
    <row r="80" spans="1:11" ht="27" x14ac:dyDescent="0.35">
      <c r="A80" s="107" t="s">
        <v>478</v>
      </c>
      <c r="B80" s="88" t="s">
        <v>479</v>
      </c>
      <c r="C80" s="88" t="s">
        <v>480</v>
      </c>
      <c r="D80" s="108">
        <f>$F80*$G80+$H80*$I80+$J80*$K80</f>
        <v>9.508599999999999E-2</v>
      </c>
      <c r="E80" s="108"/>
      <c r="F80" s="111">
        <f>94600/1000000</f>
        <v>9.4600000000000004E-2</v>
      </c>
      <c r="G80" s="112">
        <v>1</v>
      </c>
      <c r="H80" s="113">
        <f>1/1000000</f>
        <v>9.9999999999999995E-7</v>
      </c>
      <c r="I80" s="88">
        <v>21</v>
      </c>
      <c r="J80" s="113">
        <f>1.5/1000000</f>
        <v>1.5E-6</v>
      </c>
      <c r="K80" s="110">
        <v>310</v>
      </c>
    </row>
    <row r="81" spans="1:11" ht="40.5" x14ac:dyDescent="0.35">
      <c r="A81" s="107" t="s">
        <v>481</v>
      </c>
      <c r="B81" s="88" t="s">
        <v>479</v>
      </c>
      <c r="C81" s="88" t="s">
        <v>480</v>
      </c>
      <c r="D81" s="108">
        <f>$F81*$G81+$H81*$I81+$J81*$K81</f>
        <v>9.5274999999999999E-2</v>
      </c>
      <c r="E81" s="108"/>
      <c r="F81" s="111">
        <f>94600/1000000</f>
        <v>9.4600000000000004E-2</v>
      </c>
      <c r="G81" s="112">
        <v>1</v>
      </c>
      <c r="H81" s="113">
        <f>10/1000000</f>
        <v>1.0000000000000001E-5</v>
      </c>
      <c r="I81" s="88">
        <v>21</v>
      </c>
      <c r="J81" s="113">
        <f>1.5/1000000</f>
        <v>1.5E-6</v>
      </c>
      <c r="K81" s="110">
        <v>310</v>
      </c>
    </row>
    <row r="82" spans="1:11" ht="27" x14ac:dyDescent="0.35">
      <c r="A82" s="107" t="s">
        <v>482</v>
      </c>
      <c r="B82" s="88" t="s">
        <v>479</v>
      </c>
      <c r="C82" s="88" t="s">
        <v>480</v>
      </c>
      <c r="D82" s="108">
        <f>$F82*$G82+$H82*$I82+$J82*$K82</f>
        <v>9.5274999999999999E-2</v>
      </c>
      <c r="E82" s="108"/>
      <c r="F82" s="111">
        <f>94600/1000000</f>
        <v>9.4600000000000004E-2</v>
      </c>
      <c r="G82" s="112">
        <v>1</v>
      </c>
      <c r="H82" s="113">
        <f>10/1000000</f>
        <v>1.0000000000000001E-5</v>
      </c>
      <c r="I82" s="88">
        <v>21</v>
      </c>
      <c r="J82" s="113">
        <f>1.5/1000000</f>
        <v>1.5E-6</v>
      </c>
      <c r="K82" s="110">
        <v>310</v>
      </c>
    </row>
    <row r="83" spans="1:11" ht="27" x14ac:dyDescent="0.35">
      <c r="A83" s="107" t="s">
        <v>483</v>
      </c>
      <c r="B83" s="88" t="s">
        <v>479</v>
      </c>
      <c r="C83" s="88" t="s">
        <v>480</v>
      </c>
      <c r="D83" s="108">
        <f>$F83*$G83+$H83*$I83+$J83*$K83</f>
        <v>0.101365</v>
      </c>
      <c r="E83" s="108"/>
      <c r="F83" s="111">
        <f>94600/1000000</f>
        <v>9.4600000000000004E-2</v>
      </c>
      <c r="G83" s="112">
        <v>1</v>
      </c>
      <c r="H83" s="113">
        <f>300/1000000</f>
        <v>2.9999999999999997E-4</v>
      </c>
      <c r="I83" s="88">
        <v>21</v>
      </c>
      <c r="J83" s="113">
        <f>1.5/1000000</f>
        <v>1.5E-6</v>
      </c>
      <c r="K83" s="110">
        <v>310</v>
      </c>
    </row>
    <row r="84" spans="1:11" ht="27.5" thickBot="1" x14ac:dyDescent="0.4">
      <c r="A84" s="107" t="s">
        <v>484</v>
      </c>
      <c r="B84" s="88" t="s">
        <v>479</v>
      </c>
      <c r="C84" s="88" t="s">
        <v>480</v>
      </c>
      <c r="D84" s="108">
        <f>$F84*$G84+$H84*$I84+$J84*$K84</f>
        <v>0</v>
      </c>
      <c r="E84" s="108"/>
      <c r="F84" s="111"/>
      <c r="G84" s="112">
        <v>1</v>
      </c>
      <c r="H84" s="113"/>
      <c r="I84" s="88">
        <v>21</v>
      </c>
      <c r="J84" s="113"/>
      <c r="K84" s="110">
        <v>310</v>
      </c>
    </row>
    <row r="85" spans="1:11" ht="14.5" x14ac:dyDescent="0.35">
      <c r="A85" s="95" t="s">
        <v>504</v>
      </c>
      <c r="B85" s="96"/>
      <c r="C85" s="97"/>
      <c r="D85" s="98"/>
      <c r="E85" s="98"/>
      <c r="F85" s="98"/>
      <c r="G85" s="98"/>
      <c r="H85" s="98"/>
      <c r="I85" s="98"/>
      <c r="J85" s="98"/>
      <c r="K85" s="99"/>
    </row>
    <row r="86" spans="1:11" ht="27" x14ac:dyDescent="0.35">
      <c r="A86" s="107" t="s">
        <v>478</v>
      </c>
      <c r="B86" s="88" t="s">
        <v>479</v>
      </c>
      <c r="C86" s="88" t="s">
        <v>480</v>
      </c>
      <c r="D86" s="108">
        <f>$F86*$G86+$H86*$I86+$J86*$K86</f>
        <v>9.798599999999999E-2</v>
      </c>
      <c r="E86" s="108"/>
      <c r="F86" s="111">
        <f>97500/1000000</f>
        <v>9.7500000000000003E-2</v>
      </c>
      <c r="G86" s="112">
        <v>1</v>
      </c>
      <c r="H86" s="113">
        <f>1/1000000</f>
        <v>9.9999999999999995E-7</v>
      </c>
      <c r="I86" s="88">
        <v>21</v>
      </c>
      <c r="J86" s="113">
        <f>1.5/1000000</f>
        <v>1.5E-6</v>
      </c>
      <c r="K86" s="110">
        <v>310</v>
      </c>
    </row>
    <row r="87" spans="1:11" ht="40.5" x14ac:dyDescent="0.35">
      <c r="A87" s="107" t="s">
        <v>481</v>
      </c>
      <c r="B87" s="88" t="s">
        <v>479</v>
      </c>
      <c r="C87" s="88" t="s">
        <v>480</v>
      </c>
      <c r="D87" s="108">
        <f>$F87*$G87+$H87*$I87+$J87*$K87</f>
        <v>9.8174999999999998E-2</v>
      </c>
      <c r="E87" s="108"/>
      <c r="F87" s="111">
        <f>97500/1000000</f>
        <v>9.7500000000000003E-2</v>
      </c>
      <c r="G87" s="112">
        <v>1</v>
      </c>
      <c r="H87" s="113">
        <f>10/1000000</f>
        <v>1.0000000000000001E-5</v>
      </c>
      <c r="I87" s="88">
        <v>21</v>
      </c>
      <c r="J87" s="113">
        <f>1.5/1000000</f>
        <v>1.5E-6</v>
      </c>
      <c r="K87" s="110">
        <v>310</v>
      </c>
    </row>
    <row r="88" spans="1:11" ht="27" x14ac:dyDescent="0.35">
      <c r="A88" s="107" t="s">
        <v>482</v>
      </c>
      <c r="B88" s="88" t="s">
        <v>479</v>
      </c>
      <c r="C88" s="88" t="s">
        <v>480</v>
      </c>
      <c r="D88" s="108">
        <f>$F88*$G88+$H88*$I88+$J88*$K88</f>
        <v>9.8174999999999998E-2</v>
      </c>
      <c r="E88" s="108"/>
      <c r="F88" s="111">
        <f>97500/1000000</f>
        <v>9.7500000000000003E-2</v>
      </c>
      <c r="G88" s="112">
        <v>1</v>
      </c>
      <c r="H88" s="113">
        <f>10/1000000</f>
        <v>1.0000000000000001E-5</v>
      </c>
      <c r="I88" s="88">
        <v>21</v>
      </c>
      <c r="J88" s="113">
        <f>1.5/1000000</f>
        <v>1.5E-6</v>
      </c>
      <c r="K88" s="110">
        <v>310</v>
      </c>
    </row>
    <row r="89" spans="1:11" ht="27" x14ac:dyDescent="0.35">
      <c r="A89" s="107" t="s">
        <v>483</v>
      </c>
      <c r="B89" s="88" t="s">
        <v>479</v>
      </c>
      <c r="C89" s="88" t="s">
        <v>480</v>
      </c>
      <c r="D89" s="108">
        <f>$F89*$G89+$H89*$I89+$J89*$K89</f>
        <v>0.104265</v>
      </c>
      <c r="E89" s="108"/>
      <c r="F89" s="111">
        <f>97500/1000000</f>
        <v>9.7500000000000003E-2</v>
      </c>
      <c r="G89" s="112">
        <v>1</v>
      </c>
      <c r="H89" s="113">
        <f>300/1000000</f>
        <v>2.9999999999999997E-4</v>
      </c>
      <c r="I89" s="88">
        <v>21</v>
      </c>
      <c r="J89" s="113">
        <f>1.5/1000000</f>
        <v>1.5E-6</v>
      </c>
      <c r="K89" s="110">
        <v>310</v>
      </c>
    </row>
    <row r="90" spans="1:11" ht="27.5" thickBot="1" x14ac:dyDescent="0.4">
      <c r="A90" s="107" t="s">
        <v>484</v>
      </c>
      <c r="B90" s="88" t="s">
        <v>479</v>
      </c>
      <c r="C90" s="88" t="s">
        <v>480</v>
      </c>
      <c r="D90" s="108">
        <f>$F90*$G90+$H90*$I90+$J90*$K90</f>
        <v>0</v>
      </c>
      <c r="E90" s="108"/>
      <c r="F90" s="111"/>
      <c r="G90" s="112">
        <v>1</v>
      </c>
      <c r="H90" s="113"/>
      <c r="I90" s="88">
        <v>21</v>
      </c>
      <c r="J90" s="113"/>
      <c r="K90" s="110">
        <v>310</v>
      </c>
    </row>
    <row r="91" spans="1:11" ht="15" thickBot="1" x14ac:dyDescent="0.4">
      <c r="A91" s="95" t="s">
        <v>505</v>
      </c>
      <c r="B91" s="96"/>
      <c r="C91" s="97"/>
      <c r="D91" s="98"/>
      <c r="E91" s="98"/>
      <c r="F91" s="98"/>
      <c r="G91" s="98"/>
      <c r="H91" s="98"/>
      <c r="I91" s="98"/>
      <c r="J91" s="98"/>
      <c r="K91" s="99"/>
    </row>
    <row r="92" spans="1:11" ht="27" x14ac:dyDescent="0.35">
      <c r="A92" s="100" t="s">
        <v>471</v>
      </c>
      <c r="B92" s="101" t="s">
        <v>472</v>
      </c>
      <c r="C92" s="101" t="s">
        <v>473</v>
      </c>
      <c r="D92" s="102">
        <v>1.38E-2</v>
      </c>
      <c r="E92" s="102"/>
      <c r="F92" s="103"/>
      <c r="G92" s="104"/>
      <c r="H92" s="105"/>
      <c r="I92" s="104"/>
      <c r="J92" s="105"/>
      <c r="K92" s="106"/>
    </row>
    <row r="93" spans="1:11" ht="27" x14ac:dyDescent="0.35">
      <c r="A93" s="107" t="s">
        <v>471</v>
      </c>
      <c r="B93" s="88" t="s">
        <v>474</v>
      </c>
      <c r="C93" s="88" t="s">
        <v>473</v>
      </c>
      <c r="D93" s="108">
        <f>D92*TOEperGJ</f>
        <v>3.2960733786E-4</v>
      </c>
      <c r="E93" s="108"/>
      <c r="F93" s="109"/>
      <c r="G93" s="109"/>
      <c r="H93" s="109"/>
      <c r="K93" s="110"/>
    </row>
    <row r="94" spans="1:11" ht="27" x14ac:dyDescent="0.35">
      <c r="A94" s="107" t="s">
        <v>471</v>
      </c>
      <c r="B94" s="88" t="s">
        <v>475</v>
      </c>
      <c r="C94" s="88" t="s">
        <v>473</v>
      </c>
      <c r="D94" s="108">
        <f>D92*MWhperGJ</f>
        <v>3.8333333333333336E-3</v>
      </c>
      <c r="E94" s="108"/>
      <c r="F94" s="109"/>
      <c r="G94" s="109"/>
      <c r="H94" s="109"/>
      <c r="K94" s="110"/>
    </row>
    <row r="95" spans="1:11" x14ac:dyDescent="0.35">
      <c r="A95" s="107" t="s">
        <v>471</v>
      </c>
      <c r="B95" s="88" t="s">
        <v>487</v>
      </c>
      <c r="C95" s="88" t="s">
        <v>488</v>
      </c>
      <c r="D95" s="108">
        <v>7.8</v>
      </c>
      <c r="E95" s="108"/>
      <c r="F95" s="109"/>
      <c r="G95" s="109"/>
      <c r="H95" s="109"/>
      <c r="K95" s="110"/>
    </row>
    <row r="96" spans="1:11" ht="27" x14ac:dyDescent="0.35">
      <c r="A96" s="107" t="s">
        <v>478</v>
      </c>
      <c r="B96" s="88" t="s">
        <v>479</v>
      </c>
      <c r="C96" s="88" t="s">
        <v>480</v>
      </c>
      <c r="D96" s="108">
        <f>$F96*$G96+$H96*$I96+$J96*$K96</f>
        <v>0.11387000000000001</v>
      </c>
      <c r="E96" s="108"/>
      <c r="F96" s="111">
        <f>112000/1000000</f>
        <v>0.112</v>
      </c>
      <c r="G96" s="112">
        <v>1</v>
      </c>
      <c r="H96" s="113">
        <f>30/1000000</f>
        <v>3.0000000000000001E-5</v>
      </c>
      <c r="I96" s="88">
        <v>21</v>
      </c>
      <c r="J96" s="113">
        <f>4/1000000</f>
        <v>3.9999999999999998E-6</v>
      </c>
      <c r="K96" s="110">
        <v>310</v>
      </c>
    </row>
    <row r="97" spans="1:13" ht="40.5" x14ac:dyDescent="0.35">
      <c r="A97" s="107" t="s">
        <v>481</v>
      </c>
      <c r="B97" s="88" t="s">
        <v>479</v>
      </c>
      <c r="C97" s="88" t="s">
        <v>480</v>
      </c>
      <c r="D97" s="108">
        <f>$F97*$G97+$H97*$I97+$J97*$K97</f>
        <v>0.11387000000000001</v>
      </c>
      <c r="E97" s="108"/>
      <c r="F97" s="111">
        <f>112000/1000000</f>
        <v>0.112</v>
      </c>
      <c r="G97" s="112">
        <v>1</v>
      </c>
      <c r="H97" s="113">
        <f>30/1000000</f>
        <v>3.0000000000000001E-5</v>
      </c>
      <c r="I97" s="88">
        <v>21</v>
      </c>
      <c r="J97" s="113">
        <f>4/1000000</f>
        <v>3.9999999999999998E-6</v>
      </c>
      <c r="K97" s="110">
        <v>310</v>
      </c>
    </row>
    <row r="98" spans="1:13" ht="27" x14ac:dyDescent="0.35">
      <c r="A98" s="107" t="s">
        <v>482</v>
      </c>
      <c r="B98" s="88" t="s">
        <v>479</v>
      </c>
      <c r="C98" s="88" t="s">
        <v>480</v>
      </c>
      <c r="D98" s="108">
        <f>$F98*$G98+$H98*$I98+$J98*$K98</f>
        <v>0.11954000000000001</v>
      </c>
      <c r="E98" s="108"/>
      <c r="F98" s="111">
        <f>112000/1000000</f>
        <v>0.112</v>
      </c>
      <c r="G98" s="112">
        <v>1</v>
      </c>
      <c r="H98" s="113">
        <f>300/1000000</f>
        <v>2.9999999999999997E-4</v>
      </c>
      <c r="I98" s="88">
        <v>21</v>
      </c>
      <c r="J98" s="113">
        <f>4/1000000</f>
        <v>3.9999999999999998E-6</v>
      </c>
      <c r="K98" s="110">
        <v>310</v>
      </c>
    </row>
    <row r="99" spans="1:13" ht="27.5" thickBot="1" x14ac:dyDescent="0.4">
      <c r="A99" s="107" t="s">
        <v>483</v>
      </c>
      <c r="B99" s="88" t="s">
        <v>479</v>
      </c>
      <c r="C99" s="88" t="s">
        <v>480</v>
      </c>
      <c r="D99" s="108">
        <f>$F99*$G99+$H99*$I99+$J99*$K99</f>
        <v>0.11954000000000001</v>
      </c>
      <c r="E99" s="108"/>
      <c r="F99" s="111">
        <f>112000/1000000</f>
        <v>0.112</v>
      </c>
      <c r="G99" s="112">
        <v>1</v>
      </c>
      <c r="H99" s="113">
        <f>300/1000000</f>
        <v>2.9999999999999997E-4</v>
      </c>
      <c r="I99" s="88">
        <v>21</v>
      </c>
      <c r="J99" s="113">
        <f>4/1000000</f>
        <v>3.9999999999999998E-6</v>
      </c>
      <c r="K99" s="110">
        <v>310</v>
      </c>
    </row>
    <row r="100" spans="1:13" ht="15" thickBot="1" x14ac:dyDescent="0.4">
      <c r="A100" s="95" t="s">
        <v>506</v>
      </c>
      <c r="B100" s="96"/>
      <c r="C100" s="97"/>
      <c r="D100" s="98"/>
      <c r="E100" s="98"/>
      <c r="F100" s="98"/>
      <c r="G100" s="98"/>
      <c r="H100" s="98"/>
      <c r="I100" s="98"/>
      <c r="J100" s="98"/>
      <c r="K100" s="99"/>
    </row>
    <row r="101" spans="1:13" ht="14.5" x14ac:dyDescent="0.35">
      <c r="A101" s="100" t="s">
        <v>262</v>
      </c>
      <c r="B101" s="101" t="s">
        <v>507</v>
      </c>
      <c r="C101" s="101"/>
      <c r="D101" s="102">
        <f>1/MWhperGJ</f>
        <v>3.5999999999999996</v>
      </c>
      <c r="E101" s="102"/>
      <c r="F101" s="103"/>
      <c r="G101" s="104"/>
      <c r="H101" s="105"/>
      <c r="I101" s="104"/>
      <c r="J101" s="105"/>
      <c r="K101" s="106"/>
      <c r="M101" s="115"/>
    </row>
    <row r="102" spans="1:13" x14ac:dyDescent="0.35">
      <c r="A102" s="107" t="s">
        <v>262</v>
      </c>
      <c r="B102" s="88" t="s">
        <v>508</v>
      </c>
      <c r="D102" s="108">
        <f>TOEperMWh</f>
        <v>8.5984522800000004E-2</v>
      </c>
      <c r="E102" s="108"/>
      <c r="F102" s="109"/>
      <c r="G102" s="109"/>
      <c r="H102" s="109"/>
      <c r="K102" s="110"/>
    </row>
    <row r="103" spans="1:13" ht="27" x14ac:dyDescent="0.35">
      <c r="A103" s="107" t="s">
        <v>478</v>
      </c>
      <c r="B103" s="88" t="s">
        <v>479</v>
      </c>
      <c r="C103" s="88" t="s">
        <v>509</v>
      </c>
      <c r="D103" s="108">
        <f>'[3]Energy supply-1'!G$106*MWhperGJ</f>
        <v>0.17046084173793097</v>
      </c>
      <c r="E103" s="108"/>
      <c r="F103" s="111"/>
      <c r="G103" s="112"/>
      <c r="H103" s="113"/>
      <c r="J103" s="113"/>
      <c r="K103" s="110"/>
    </row>
    <row r="104" spans="1:13" ht="40.5" x14ac:dyDescent="0.35">
      <c r="A104" s="107" t="s">
        <v>481</v>
      </c>
      <c r="B104" s="88" t="s">
        <v>479</v>
      </c>
      <c r="C104" s="88" t="s">
        <v>509</v>
      </c>
      <c r="D104" s="108">
        <f>'[3]Energy supply-1'!G$106*MWhperGJ</f>
        <v>0.17046084173793097</v>
      </c>
      <c r="E104" s="108"/>
      <c r="F104" s="111"/>
      <c r="G104" s="112"/>
      <c r="H104" s="113"/>
      <c r="J104" s="113"/>
      <c r="K104" s="110"/>
    </row>
    <row r="105" spans="1:13" ht="27" x14ac:dyDescent="0.35">
      <c r="A105" s="107" t="s">
        <v>482</v>
      </c>
      <c r="B105" s="88" t="s">
        <v>479</v>
      </c>
      <c r="C105" s="88" t="s">
        <v>509</v>
      </c>
      <c r="D105" s="108">
        <f>'[3]Energy supply-1'!G$106*MWhperGJ</f>
        <v>0.17046084173793097</v>
      </c>
      <c r="E105" s="108"/>
      <c r="F105" s="111"/>
      <c r="G105" s="112"/>
      <c r="H105" s="113"/>
      <c r="J105" s="113"/>
      <c r="K105" s="110"/>
    </row>
    <row r="106" spans="1:13" ht="27.5" thickBot="1" x14ac:dyDescent="0.4">
      <c r="A106" s="107" t="s">
        <v>483</v>
      </c>
      <c r="B106" s="88" t="s">
        <v>479</v>
      </c>
      <c r="C106" s="88" t="s">
        <v>509</v>
      </c>
      <c r="D106" s="108">
        <f>'[3]Energy supply-1'!G$106*MWhperGJ</f>
        <v>0.17046084173793097</v>
      </c>
      <c r="E106" s="108"/>
      <c r="F106" s="111"/>
      <c r="G106" s="112"/>
      <c r="H106" s="113"/>
      <c r="J106" s="113"/>
      <c r="K106" s="110"/>
    </row>
    <row r="107" spans="1:13" ht="15" thickBot="1" x14ac:dyDescent="0.4">
      <c r="A107" s="95" t="s">
        <v>510</v>
      </c>
      <c r="B107" s="96"/>
      <c r="C107" s="97"/>
      <c r="D107" s="98"/>
      <c r="E107" s="98"/>
      <c r="F107" s="98"/>
      <c r="G107" s="98"/>
      <c r="H107" s="98"/>
      <c r="I107" s="98"/>
      <c r="J107" s="98"/>
      <c r="K107" s="99"/>
    </row>
    <row r="108" spans="1:13" ht="14.5" x14ac:dyDescent="0.35">
      <c r="A108" s="100" t="s">
        <v>262</v>
      </c>
      <c r="B108" s="101" t="s">
        <v>507</v>
      </c>
      <c r="C108" s="101"/>
      <c r="D108" s="102">
        <f>1/MWhperGJ</f>
        <v>3.5999999999999996</v>
      </c>
      <c r="E108" s="102"/>
      <c r="F108" s="103"/>
      <c r="G108" s="104"/>
      <c r="H108" s="105"/>
      <c r="I108" s="104"/>
      <c r="J108" s="105"/>
      <c r="K108" s="106"/>
      <c r="M108" s="115"/>
    </row>
    <row r="109" spans="1:13" x14ac:dyDescent="0.35">
      <c r="A109" s="107" t="s">
        <v>262</v>
      </c>
      <c r="B109" s="88" t="s">
        <v>508</v>
      </c>
      <c r="D109" s="108">
        <f>TOEperMWh</f>
        <v>8.5984522800000004E-2</v>
      </c>
      <c r="E109" s="108"/>
      <c r="F109" s="109"/>
      <c r="G109" s="109"/>
      <c r="H109" s="109"/>
      <c r="K109" s="110"/>
    </row>
    <row r="110" spans="1:13" ht="27" x14ac:dyDescent="0.35">
      <c r="A110" s="107" t="s">
        <v>478</v>
      </c>
      <c r="B110" s="88" t="s">
        <v>479</v>
      </c>
      <c r="C110" s="88" t="s">
        <v>511</v>
      </c>
      <c r="D110" s="108">
        <f>0.35*MWhperGJ</f>
        <v>9.7222222222222224E-2</v>
      </c>
      <c r="E110" s="108"/>
      <c r="F110" s="111"/>
      <c r="G110" s="112"/>
      <c r="H110" s="113"/>
      <c r="J110" s="113"/>
      <c r="K110" s="110"/>
    </row>
    <row r="111" spans="1:13" ht="40.5" x14ac:dyDescent="0.35">
      <c r="A111" s="107" t="s">
        <v>481</v>
      </c>
      <c r="B111" s="88" t="s">
        <v>479</v>
      </c>
      <c r="C111" s="88" t="s">
        <v>511</v>
      </c>
      <c r="D111" s="108">
        <f>0.35*MWhperGJ</f>
        <v>9.7222222222222224E-2</v>
      </c>
      <c r="E111" s="108"/>
      <c r="F111" s="111"/>
      <c r="G111" s="112"/>
      <c r="H111" s="113"/>
      <c r="J111" s="113"/>
      <c r="K111" s="110"/>
    </row>
    <row r="112" spans="1:13" ht="27" x14ac:dyDescent="0.35">
      <c r="A112" s="107" t="s">
        <v>482</v>
      </c>
      <c r="B112" s="88" t="s">
        <v>479</v>
      </c>
      <c r="C112" s="88" t="s">
        <v>511</v>
      </c>
      <c r="D112" s="108">
        <f>0.35*MWhperGJ</f>
        <v>9.7222222222222224E-2</v>
      </c>
      <c r="E112" s="108"/>
      <c r="F112" s="111"/>
      <c r="G112" s="112"/>
      <c r="H112" s="113"/>
      <c r="J112" s="113"/>
      <c r="K112" s="110"/>
    </row>
    <row r="113" spans="1:11" ht="27.5" thickBot="1" x14ac:dyDescent="0.4">
      <c r="A113" s="107" t="s">
        <v>483</v>
      </c>
      <c r="B113" s="88" t="s">
        <v>479</v>
      </c>
      <c r="C113" s="88" t="s">
        <v>511</v>
      </c>
      <c r="D113" s="108">
        <f>0.35*MWhperGJ</f>
        <v>9.7222222222222224E-2</v>
      </c>
      <c r="E113" s="108"/>
      <c r="F113" s="111"/>
      <c r="G113" s="112"/>
      <c r="H113" s="113"/>
      <c r="J113" s="113"/>
      <c r="K113" s="110"/>
    </row>
    <row r="114" spans="1:11" ht="15" thickBot="1" x14ac:dyDescent="0.4">
      <c r="A114" s="95" t="s">
        <v>512</v>
      </c>
      <c r="B114" s="96"/>
      <c r="C114" s="97"/>
      <c r="D114" s="98"/>
      <c r="E114" s="98"/>
      <c r="F114" s="98"/>
      <c r="G114" s="98"/>
      <c r="H114" s="98"/>
      <c r="I114" s="98"/>
      <c r="J114" s="98"/>
      <c r="K114" s="99"/>
    </row>
    <row r="115" spans="1:11" ht="27" x14ac:dyDescent="0.35">
      <c r="A115" s="100" t="s">
        <v>471</v>
      </c>
      <c r="B115" s="101" t="s">
        <v>472</v>
      </c>
      <c r="C115" s="101" t="s">
        <v>473</v>
      </c>
      <c r="D115" s="102">
        <f>0.0285</f>
        <v>2.8500000000000001E-2</v>
      </c>
      <c r="E115" s="102"/>
      <c r="F115" s="103"/>
      <c r="G115" s="104"/>
      <c r="H115" s="105"/>
      <c r="I115" s="104"/>
      <c r="J115" s="105"/>
      <c r="K115" s="106"/>
    </row>
    <row r="116" spans="1:11" ht="27" x14ac:dyDescent="0.35">
      <c r="A116" s="107" t="s">
        <v>471</v>
      </c>
      <c r="B116" s="88" t="s">
        <v>474</v>
      </c>
      <c r="C116" s="88" t="s">
        <v>473</v>
      </c>
      <c r="D116" s="108">
        <f>D115*TOEperGJ</f>
        <v>6.8071080645000005E-4</v>
      </c>
      <c r="E116" s="108"/>
      <c r="F116" s="109"/>
      <c r="G116" s="109"/>
      <c r="H116" s="109"/>
      <c r="K116" s="110"/>
    </row>
    <row r="117" spans="1:11" ht="27" x14ac:dyDescent="0.35">
      <c r="A117" s="107" t="s">
        <v>471</v>
      </c>
      <c r="B117" s="88" t="s">
        <v>475</v>
      </c>
      <c r="C117" s="88" t="s">
        <v>473</v>
      </c>
      <c r="D117" s="108">
        <f>D115*MWhperGJ</f>
        <v>7.9166666666666673E-3</v>
      </c>
      <c r="E117" s="108"/>
      <c r="F117" s="109"/>
      <c r="G117" s="109"/>
      <c r="H117" s="109"/>
      <c r="K117" s="110"/>
    </row>
    <row r="118" spans="1:11" ht="27" x14ac:dyDescent="0.35">
      <c r="A118" s="107" t="s">
        <v>478</v>
      </c>
      <c r="B118" s="88" t="s">
        <v>479</v>
      </c>
      <c r="C118" s="88" t="s">
        <v>480</v>
      </c>
      <c r="D118" s="108">
        <f>$F118*$G118+$H118*$I118+$J118*$K118</f>
        <v>0.10748599999999998</v>
      </c>
      <c r="E118" s="108"/>
      <c r="F118" s="111">
        <f>107000/1000000</f>
        <v>0.107</v>
      </c>
      <c r="G118" s="112">
        <v>1</v>
      </c>
      <c r="H118" s="113">
        <f>1/1000000</f>
        <v>9.9999999999999995E-7</v>
      </c>
      <c r="I118" s="88">
        <v>21</v>
      </c>
      <c r="J118" s="113">
        <f>1.5/1000000</f>
        <v>1.5E-6</v>
      </c>
      <c r="K118" s="110">
        <v>310</v>
      </c>
    </row>
    <row r="119" spans="1:11" ht="40.5" x14ac:dyDescent="0.35">
      <c r="A119" s="107" t="s">
        <v>481</v>
      </c>
      <c r="B119" s="88" t="s">
        <v>479</v>
      </c>
      <c r="C119" s="88" t="s">
        <v>480</v>
      </c>
      <c r="D119" s="108">
        <f>$F119*$G119+$H119*$I119+$J119*$K119</f>
        <v>0.10767499999999999</v>
      </c>
      <c r="E119" s="108"/>
      <c r="F119" s="111">
        <f>107000/1000000</f>
        <v>0.107</v>
      </c>
      <c r="G119" s="112">
        <v>1</v>
      </c>
      <c r="H119" s="113">
        <f>10/1000000</f>
        <v>1.0000000000000001E-5</v>
      </c>
      <c r="I119" s="88">
        <v>21</v>
      </c>
      <c r="J119" s="113">
        <f>1.5/1000000</f>
        <v>1.5E-6</v>
      </c>
      <c r="K119" s="110">
        <v>310</v>
      </c>
    </row>
    <row r="120" spans="1:11" ht="27" x14ac:dyDescent="0.35">
      <c r="A120" s="107" t="s">
        <v>482</v>
      </c>
      <c r="B120" s="88" t="s">
        <v>479</v>
      </c>
      <c r="C120" s="88" t="s">
        <v>480</v>
      </c>
      <c r="D120" s="108">
        <f>$F120*$G120+$H120*$I120+$J120*$K120</f>
        <v>0.10767499999999999</v>
      </c>
      <c r="E120" s="108"/>
      <c r="F120" s="111">
        <f>107000/1000000</f>
        <v>0.107</v>
      </c>
      <c r="G120" s="112">
        <v>1</v>
      </c>
      <c r="H120" s="113">
        <f>10/1000000</f>
        <v>1.0000000000000001E-5</v>
      </c>
      <c r="I120" s="88">
        <v>21</v>
      </c>
      <c r="J120" s="113">
        <f>1.5/1000000</f>
        <v>1.5E-6</v>
      </c>
      <c r="K120" s="110">
        <v>310</v>
      </c>
    </row>
    <row r="121" spans="1:11" ht="27.5" thickBot="1" x14ac:dyDescent="0.4">
      <c r="A121" s="107" t="s">
        <v>483</v>
      </c>
      <c r="B121" s="88" t="s">
        <v>479</v>
      </c>
      <c r="C121" s="88" t="s">
        <v>480</v>
      </c>
      <c r="D121" s="108">
        <f>$F121*$G121+$H121*$I121+$J121*$K121</f>
        <v>0.11376499999999999</v>
      </c>
      <c r="E121" s="108"/>
      <c r="F121" s="111">
        <f>107000/1000000</f>
        <v>0.107</v>
      </c>
      <c r="G121" s="112">
        <v>1</v>
      </c>
      <c r="H121" s="113">
        <f>300/1000000</f>
        <v>2.9999999999999997E-4</v>
      </c>
      <c r="I121" s="88">
        <v>21</v>
      </c>
      <c r="J121" s="113">
        <f>1.5/1000000</f>
        <v>1.5E-6</v>
      </c>
      <c r="K121" s="110">
        <v>310</v>
      </c>
    </row>
    <row r="122" spans="1:11" ht="15" thickBot="1" x14ac:dyDescent="0.4">
      <c r="A122" s="95" t="s">
        <v>513</v>
      </c>
      <c r="B122" s="96"/>
      <c r="C122" s="97"/>
      <c r="D122" s="98"/>
      <c r="E122" s="98"/>
      <c r="F122" s="98"/>
      <c r="G122" s="98"/>
      <c r="H122" s="98"/>
      <c r="I122" s="98"/>
      <c r="J122" s="98"/>
      <c r="K122" s="99"/>
    </row>
    <row r="123" spans="1:11" ht="27" x14ac:dyDescent="0.35">
      <c r="A123" s="100" t="s">
        <v>471</v>
      </c>
      <c r="B123" s="101" t="s">
        <v>472</v>
      </c>
      <c r="C123" s="101" t="s">
        <v>473</v>
      </c>
      <c r="D123" s="102">
        <v>1.72E-2</v>
      </c>
      <c r="E123" s="102">
        <v>3.0700000000000002E-2</v>
      </c>
      <c r="F123" s="103"/>
      <c r="G123" s="104"/>
      <c r="H123" s="105"/>
      <c r="I123" s="104"/>
      <c r="J123" s="105"/>
      <c r="K123" s="106"/>
    </row>
    <row r="124" spans="1:11" ht="27" x14ac:dyDescent="0.35">
      <c r="A124" s="107" t="s">
        <v>471</v>
      </c>
      <c r="B124" s="88" t="s">
        <v>474</v>
      </c>
      <c r="C124" s="88" t="s">
        <v>473</v>
      </c>
      <c r="D124" s="108">
        <f>D123*TOEperGJ</f>
        <v>4.1081494283999999E-4</v>
      </c>
      <c r="E124" s="108">
        <f>E123*TOEperGJ</f>
        <v>7.3325690379000003E-4</v>
      </c>
      <c r="F124" s="109"/>
      <c r="G124" s="109"/>
      <c r="H124" s="109"/>
      <c r="K124" s="110"/>
    </row>
    <row r="125" spans="1:11" ht="27" x14ac:dyDescent="0.35">
      <c r="A125" s="107" t="s">
        <v>471</v>
      </c>
      <c r="B125" s="88" t="s">
        <v>475</v>
      </c>
      <c r="C125" s="88" t="s">
        <v>473</v>
      </c>
      <c r="D125" s="108">
        <f>D123*MWhperGJ</f>
        <v>4.7777777777777784E-3</v>
      </c>
      <c r="E125" s="108">
        <f>E123*MWhperGJ</f>
        <v>8.5277777777777782E-3</v>
      </c>
      <c r="F125" s="109"/>
      <c r="G125" s="109"/>
      <c r="H125" s="109"/>
      <c r="K125" s="110"/>
    </row>
    <row r="126" spans="1:11" ht="40.5" x14ac:dyDescent="0.35">
      <c r="A126" s="107" t="s">
        <v>514</v>
      </c>
      <c r="B126" s="88" t="s">
        <v>479</v>
      </c>
      <c r="C126" s="88" t="s">
        <v>480</v>
      </c>
      <c r="D126" s="108">
        <f>$F126*$G126+$H126*$I126+$J126*$K126</f>
        <v>9.508599999999999E-2</v>
      </c>
      <c r="E126" s="108"/>
      <c r="F126" s="111">
        <f>94600/1000000</f>
        <v>9.4600000000000004E-2</v>
      </c>
      <c r="G126" s="112">
        <v>1</v>
      </c>
      <c r="H126" s="113">
        <f>1/1000000</f>
        <v>9.9999999999999995E-7</v>
      </c>
      <c r="I126" s="88">
        <v>21</v>
      </c>
      <c r="J126" s="113">
        <f>1.5/1000000</f>
        <v>1.5E-6</v>
      </c>
      <c r="K126" s="110">
        <v>310</v>
      </c>
    </row>
    <row r="127" spans="1:11" ht="40.5" x14ac:dyDescent="0.35">
      <c r="A127" s="107" t="s">
        <v>515</v>
      </c>
      <c r="B127" s="88" t="s">
        <v>479</v>
      </c>
      <c r="C127" s="88" t="s">
        <v>480</v>
      </c>
      <c r="D127" s="108">
        <f>$F127*$G127+$H127*$I127+$J127*$K127</f>
        <v>9.5274999999999999E-2</v>
      </c>
      <c r="E127" s="108"/>
      <c r="F127" s="111">
        <f>94600/1000000</f>
        <v>9.4600000000000004E-2</v>
      </c>
      <c r="G127" s="112">
        <v>1</v>
      </c>
      <c r="H127" s="113">
        <f>10/1000000</f>
        <v>1.0000000000000001E-5</v>
      </c>
      <c r="I127" s="88">
        <v>21</v>
      </c>
      <c r="J127" s="113">
        <f>1.5/1000000</f>
        <v>1.5E-6</v>
      </c>
      <c r="K127" s="110">
        <v>310</v>
      </c>
    </row>
    <row r="128" spans="1:11" ht="40.5" x14ac:dyDescent="0.35">
      <c r="A128" s="107" t="s">
        <v>516</v>
      </c>
      <c r="B128" s="88" t="s">
        <v>479</v>
      </c>
      <c r="C128" s="88" t="s">
        <v>480</v>
      </c>
      <c r="D128" s="108">
        <f>$F128*$G128+$H128*$I128+$J128*$K128</f>
        <v>9.5274999999999999E-2</v>
      </c>
      <c r="E128" s="108"/>
      <c r="F128" s="111">
        <f>94600/1000000</f>
        <v>9.4600000000000004E-2</v>
      </c>
      <c r="G128" s="112">
        <v>1</v>
      </c>
      <c r="H128" s="113">
        <f>10/1000000</f>
        <v>1.0000000000000001E-5</v>
      </c>
      <c r="I128" s="88">
        <v>21</v>
      </c>
      <c r="J128" s="113">
        <f>1.5/1000000</f>
        <v>1.5E-6</v>
      </c>
      <c r="K128" s="110">
        <v>310</v>
      </c>
    </row>
    <row r="129" spans="1:11" ht="27.5" thickBot="1" x14ac:dyDescent="0.4">
      <c r="A129" s="107" t="s">
        <v>483</v>
      </c>
      <c r="B129" s="88" t="s">
        <v>479</v>
      </c>
      <c r="C129" s="88" t="s">
        <v>480</v>
      </c>
      <c r="D129" s="108">
        <f>$F129*$G129+$H129*$I129+$J129*$K129</f>
        <v>0.101365</v>
      </c>
      <c r="E129" s="108"/>
      <c r="F129" s="111">
        <f>94600/1000000</f>
        <v>9.4600000000000004E-2</v>
      </c>
      <c r="G129" s="112">
        <v>1</v>
      </c>
      <c r="H129" s="113">
        <f>300/1000000</f>
        <v>2.9999999999999997E-4</v>
      </c>
      <c r="I129" s="88">
        <v>21</v>
      </c>
      <c r="J129" s="113">
        <f>1.5/1000000</f>
        <v>1.5E-6</v>
      </c>
      <c r="K129" s="110">
        <v>310</v>
      </c>
    </row>
    <row r="130" spans="1:11" ht="15" thickBot="1" x14ac:dyDescent="0.4">
      <c r="A130" s="95" t="s">
        <v>517</v>
      </c>
      <c r="B130" s="96"/>
      <c r="C130" s="97"/>
      <c r="D130" s="98"/>
      <c r="E130" s="98"/>
      <c r="F130" s="98"/>
      <c r="G130" s="98"/>
      <c r="H130" s="98"/>
      <c r="I130" s="98"/>
      <c r="J130" s="98"/>
      <c r="K130" s="99"/>
    </row>
    <row r="131" spans="1:11" ht="27" x14ac:dyDescent="0.35">
      <c r="A131" s="100" t="s">
        <v>471</v>
      </c>
      <c r="B131" s="101" t="s">
        <v>472</v>
      </c>
      <c r="C131" s="101" t="s">
        <v>473</v>
      </c>
      <c r="D131" s="102">
        <v>0.02</v>
      </c>
      <c r="E131" s="102"/>
      <c r="F131" s="103"/>
      <c r="G131" s="104"/>
      <c r="H131" s="105"/>
      <c r="I131" s="104"/>
      <c r="J131" s="105"/>
      <c r="K131" s="106"/>
    </row>
    <row r="132" spans="1:11" ht="27" x14ac:dyDescent="0.35">
      <c r="A132" s="107" t="s">
        <v>471</v>
      </c>
      <c r="B132" s="88" t="s">
        <v>474</v>
      </c>
      <c r="C132" s="88" t="s">
        <v>473</v>
      </c>
      <c r="D132" s="108">
        <f>D131*TOEperGJ</f>
        <v>4.77691794E-4</v>
      </c>
      <c r="E132" s="108"/>
      <c r="F132" s="109"/>
      <c r="G132" s="109"/>
      <c r="H132" s="109"/>
      <c r="K132" s="110"/>
    </row>
    <row r="133" spans="1:11" ht="27" x14ac:dyDescent="0.35">
      <c r="A133" s="107" t="s">
        <v>471</v>
      </c>
      <c r="B133" s="88" t="s">
        <v>475</v>
      </c>
      <c r="C133" s="88" t="s">
        <v>473</v>
      </c>
      <c r="D133" s="108">
        <f>D131*MWhperGJ</f>
        <v>5.5555555555555558E-3</v>
      </c>
      <c r="E133" s="108"/>
      <c r="F133" s="109"/>
      <c r="G133" s="109"/>
      <c r="H133" s="109"/>
      <c r="K133" s="110"/>
    </row>
    <row r="134" spans="1:11" ht="27" x14ac:dyDescent="0.35">
      <c r="A134" s="107" t="s">
        <v>478</v>
      </c>
      <c r="B134" s="88" t="s">
        <v>479</v>
      </c>
      <c r="C134" s="88" t="s">
        <v>480</v>
      </c>
      <c r="D134" s="108">
        <f>$F134*$G134+$H134*$I134+$J134*$K134</f>
        <v>9.798599999999999E-2</v>
      </c>
      <c r="E134" s="108"/>
      <c r="F134" s="111">
        <f>97500/1000000</f>
        <v>9.7500000000000003E-2</v>
      </c>
      <c r="G134" s="112">
        <v>1</v>
      </c>
      <c r="H134" s="113">
        <f>1/1000000</f>
        <v>9.9999999999999995E-7</v>
      </c>
      <c r="I134" s="88">
        <v>21</v>
      </c>
      <c r="J134" s="113">
        <f>1.5/1000000</f>
        <v>1.5E-6</v>
      </c>
      <c r="K134" s="110">
        <v>310</v>
      </c>
    </row>
    <row r="135" spans="1:11" ht="27" x14ac:dyDescent="0.35">
      <c r="A135" s="107" t="s">
        <v>518</v>
      </c>
      <c r="B135" s="88" t="s">
        <v>479</v>
      </c>
      <c r="C135" s="88" t="s">
        <v>480</v>
      </c>
      <c r="D135" s="108">
        <f>$F135*$G135+$H135*$I135+$J135*$K135</f>
        <v>9.8174999999999998E-2</v>
      </c>
      <c r="E135" s="108"/>
      <c r="F135" s="111">
        <f>97500/1000000</f>
        <v>9.7500000000000003E-2</v>
      </c>
      <c r="G135" s="112">
        <v>1</v>
      </c>
      <c r="H135" s="113">
        <f>10/1000000</f>
        <v>1.0000000000000001E-5</v>
      </c>
      <c r="I135" s="88">
        <v>21</v>
      </c>
      <c r="J135" s="113">
        <f>1.5/1000000</f>
        <v>1.5E-6</v>
      </c>
      <c r="K135" s="110">
        <v>310</v>
      </c>
    </row>
    <row r="136" spans="1:11" ht="27" x14ac:dyDescent="0.35">
      <c r="A136" s="107" t="s">
        <v>482</v>
      </c>
      <c r="B136" s="88" t="s">
        <v>479</v>
      </c>
      <c r="C136" s="88" t="s">
        <v>480</v>
      </c>
      <c r="D136" s="108">
        <f>$F136*$G136+$H136*$I136+$J136*$K136</f>
        <v>9.8174999999999998E-2</v>
      </c>
      <c r="E136" s="108"/>
      <c r="F136" s="111">
        <f>97500/1000000</f>
        <v>9.7500000000000003E-2</v>
      </c>
      <c r="G136" s="112">
        <v>1</v>
      </c>
      <c r="H136" s="113">
        <f>10/1000000</f>
        <v>1.0000000000000001E-5</v>
      </c>
      <c r="I136" s="88">
        <v>21</v>
      </c>
      <c r="J136" s="113">
        <f>1.5/1000000</f>
        <v>1.5E-6</v>
      </c>
      <c r="K136" s="110">
        <v>310</v>
      </c>
    </row>
    <row r="137" spans="1:11" ht="27.5" thickBot="1" x14ac:dyDescent="0.4">
      <c r="A137" s="107" t="s">
        <v>483</v>
      </c>
      <c r="B137" s="88" t="s">
        <v>479</v>
      </c>
      <c r="C137" s="88" t="s">
        <v>480</v>
      </c>
      <c r="D137" s="108">
        <f>$F137*$G137+$H137*$I137+$J137*$K137</f>
        <v>0.104265</v>
      </c>
      <c r="E137" s="108"/>
      <c r="F137" s="111">
        <f>97500/1000000</f>
        <v>9.7500000000000003E-2</v>
      </c>
      <c r="G137" s="112">
        <v>1</v>
      </c>
      <c r="H137" s="113">
        <f>300/1000000</f>
        <v>2.9999999999999997E-4</v>
      </c>
      <c r="I137" s="88">
        <v>21</v>
      </c>
      <c r="J137" s="113">
        <f>1.5/1000000</f>
        <v>1.5E-6</v>
      </c>
      <c r="K137" s="110">
        <v>310</v>
      </c>
    </row>
    <row r="138" spans="1:11" ht="15" thickBot="1" x14ac:dyDescent="0.4">
      <c r="A138" s="95" t="s">
        <v>519</v>
      </c>
      <c r="B138" s="96"/>
      <c r="C138" s="97"/>
      <c r="D138" s="98"/>
      <c r="E138" s="98"/>
      <c r="F138" s="98"/>
      <c r="G138" s="98"/>
      <c r="H138" s="98"/>
      <c r="I138" s="98"/>
      <c r="J138" s="98"/>
      <c r="K138" s="99"/>
    </row>
    <row r="139" spans="1:11" ht="27" x14ac:dyDescent="0.35">
      <c r="A139" s="100" t="s">
        <v>471</v>
      </c>
      <c r="B139" s="101" t="s">
        <v>472</v>
      </c>
      <c r="C139" s="101" t="s">
        <v>473</v>
      </c>
      <c r="D139" s="102">
        <v>5.5999999999999999E-3</v>
      </c>
      <c r="E139" s="102">
        <v>1.0500000000000001E-2</v>
      </c>
      <c r="F139" s="103"/>
      <c r="G139" s="104"/>
      <c r="H139" s="105"/>
      <c r="I139" s="104"/>
      <c r="J139" s="105"/>
      <c r="K139" s="106"/>
    </row>
    <row r="140" spans="1:11" ht="27" x14ac:dyDescent="0.35">
      <c r="A140" s="107" t="s">
        <v>471</v>
      </c>
      <c r="B140" s="88" t="s">
        <v>474</v>
      </c>
      <c r="C140" s="88" t="s">
        <v>473</v>
      </c>
      <c r="D140" s="108">
        <f>D139*TOEperGJ</f>
        <v>1.3375370232E-4</v>
      </c>
      <c r="E140" s="108">
        <f>E139*TOEperGJ</f>
        <v>2.5078819185000002E-4</v>
      </c>
      <c r="F140" s="109"/>
      <c r="G140" s="109"/>
      <c r="H140" s="109"/>
      <c r="K140" s="110"/>
    </row>
    <row r="141" spans="1:11" ht="27" x14ac:dyDescent="0.35">
      <c r="A141" s="107" t="s">
        <v>471</v>
      </c>
      <c r="B141" s="88" t="s">
        <v>475</v>
      </c>
      <c r="C141" s="88" t="s">
        <v>473</v>
      </c>
      <c r="D141" s="108">
        <f>D139*MWhperGJ</f>
        <v>1.5555555555555557E-3</v>
      </c>
      <c r="E141" s="108">
        <f>E139*MWhperGJ</f>
        <v>2.9166666666666668E-3</v>
      </c>
      <c r="F141" s="109"/>
      <c r="G141" s="109"/>
      <c r="H141" s="109"/>
      <c r="K141" s="110"/>
    </row>
    <row r="142" spans="1:11" ht="40.5" x14ac:dyDescent="0.35">
      <c r="A142" s="107" t="s">
        <v>520</v>
      </c>
      <c r="B142" s="88" t="s">
        <v>479</v>
      </c>
      <c r="C142" s="88" t="s">
        <v>480</v>
      </c>
      <c r="D142" s="108">
        <f>$F142*$G142+$H142*$I142+$J142*$K142</f>
        <v>9.798599999999999E-2</v>
      </c>
      <c r="E142" s="108"/>
      <c r="F142" s="111">
        <f>97500/1000000</f>
        <v>9.7500000000000003E-2</v>
      </c>
      <c r="G142" s="112">
        <v>1</v>
      </c>
      <c r="H142" s="113">
        <f>1/1000000</f>
        <v>9.9999999999999995E-7</v>
      </c>
      <c r="I142" s="88">
        <v>21</v>
      </c>
      <c r="J142" s="113">
        <f>1.5/1000000</f>
        <v>1.5E-6</v>
      </c>
      <c r="K142" s="110">
        <v>310</v>
      </c>
    </row>
    <row r="143" spans="1:11" ht="40.5" x14ac:dyDescent="0.35">
      <c r="A143" s="107" t="s">
        <v>521</v>
      </c>
      <c r="B143" s="88" t="s">
        <v>479</v>
      </c>
      <c r="C143" s="88" t="s">
        <v>480</v>
      </c>
      <c r="D143" s="108">
        <f>$F143*$G143+$H143*$I143+$J143*$K143</f>
        <v>9.8174999999999998E-2</v>
      </c>
      <c r="E143" s="108"/>
      <c r="F143" s="111">
        <f>97500/1000000</f>
        <v>9.7500000000000003E-2</v>
      </c>
      <c r="G143" s="112">
        <v>1</v>
      </c>
      <c r="H143" s="113">
        <f>10/1000000</f>
        <v>1.0000000000000001E-5</v>
      </c>
      <c r="I143" s="88">
        <v>21</v>
      </c>
      <c r="J143" s="113">
        <f>1.5/1000000</f>
        <v>1.5E-6</v>
      </c>
      <c r="K143" s="110">
        <v>310</v>
      </c>
    </row>
    <row r="144" spans="1:11" ht="40.5" x14ac:dyDescent="0.35">
      <c r="A144" s="107" t="s">
        <v>522</v>
      </c>
      <c r="B144" s="88" t="s">
        <v>479</v>
      </c>
      <c r="C144" s="88" t="s">
        <v>480</v>
      </c>
      <c r="D144" s="108">
        <f>$F144*$G144+$H144*$I144+$J144*$K144</f>
        <v>9.8174999999999998E-2</v>
      </c>
      <c r="E144" s="108"/>
      <c r="F144" s="111">
        <f>97500/1000000</f>
        <v>9.7500000000000003E-2</v>
      </c>
      <c r="G144" s="112">
        <v>1</v>
      </c>
      <c r="H144" s="113">
        <f>10/1000000</f>
        <v>1.0000000000000001E-5</v>
      </c>
      <c r="I144" s="88">
        <v>21</v>
      </c>
      <c r="J144" s="113">
        <f>1.5/1000000</f>
        <v>1.5E-6</v>
      </c>
      <c r="K144" s="110">
        <v>310</v>
      </c>
    </row>
    <row r="145" spans="1:11" ht="27.5" thickBot="1" x14ac:dyDescent="0.4">
      <c r="A145" s="107" t="s">
        <v>483</v>
      </c>
      <c r="B145" s="88" t="s">
        <v>479</v>
      </c>
      <c r="C145" s="88" t="s">
        <v>480</v>
      </c>
      <c r="D145" s="108">
        <f>$F145*$G145+$H145*$I145+$J145*$K145</f>
        <v>0.104265</v>
      </c>
      <c r="E145" s="108"/>
      <c r="F145" s="111">
        <f>97500/1000000</f>
        <v>9.7500000000000003E-2</v>
      </c>
      <c r="G145" s="112">
        <v>1</v>
      </c>
      <c r="H145" s="113">
        <f>300/1000000</f>
        <v>2.9999999999999997E-4</v>
      </c>
      <c r="I145" s="88">
        <v>21</v>
      </c>
      <c r="J145" s="113">
        <f>1.5/1000000</f>
        <v>1.5E-6</v>
      </c>
      <c r="K145" s="110">
        <v>310</v>
      </c>
    </row>
    <row r="146" spans="1:11" ht="15" thickBot="1" x14ac:dyDescent="0.4">
      <c r="A146" s="95" t="s">
        <v>523</v>
      </c>
      <c r="B146" s="96"/>
      <c r="C146" s="97"/>
      <c r="D146" s="98"/>
      <c r="E146" s="98"/>
      <c r="F146" s="98"/>
      <c r="G146" s="98"/>
      <c r="H146" s="98"/>
      <c r="I146" s="98"/>
      <c r="J146" s="98"/>
      <c r="K146" s="99"/>
    </row>
    <row r="147" spans="1:11" ht="27" x14ac:dyDescent="0.35">
      <c r="A147" s="100" t="s">
        <v>471</v>
      </c>
      <c r="B147" s="101" t="s">
        <v>472</v>
      </c>
      <c r="C147" s="101" t="s">
        <v>473</v>
      </c>
      <c r="D147" s="102">
        <v>1.0500000000000001E-2</v>
      </c>
      <c r="E147" s="102">
        <v>2.1000000000000001E-2</v>
      </c>
      <c r="F147" s="103"/>
      <c r="G147" s="104"/>
      <c r="H147" s="105"/>
      <c r="I147" s="104"/>
      <c r="J147" s="105"/>
      <c r="K147" s="106"/>
    </row>
    <row r="148" spans="1:11" ht="27" x14ac:dyDescent="0.35">
      <c r="A148" s="107" t="s">
        <v>471</v>
      </c>
      <c r="B148" s="88" t="s">
        <v>474</v>
      </c>
      <c r="C148" s="88" t="s">
        <v>473</v>
      </c>
      <c r="D148" s="108">
        <f>D147*TOEperGJ</f>
        <v>2.5078819185000002E-4</v>
      </c>
      <c r="E148" s="108">
        <f>E147*TOEperGJ</f>
        <v>5.0157638370000005E-4</v>
      </c>
      <c r="F148" s="109"/>
      <c r="G148" s="109"/>
      <c r="H148" s="109"/>
      <c r="K148" s="110"/>
    </row>
    <row r="149" spans="1:11" ht="27" x14ac:dyDescent="0.35">
      <c r="A149" s="107" t="s">
        <v>471</v>
      </c>
      <c r="B149" s="88" t="s">
        <v>475</v>
      </c>
      <c r="C149" s="88" t="s">
        <v>473</v>
      </c>
      <c r="D149" s="108">
        <f>D147*MWhperGJ</f>
        <v>2.9166666666666668E-3</v>
      </c>
      <c r="E149" s="108">
        <f>E147*MWhperGJ</f>
        <v>5.8333333333333336E-3</v>
      </c>
      <c r="F149" s="109"/>
      <c r="G149" s="109"/>
      <c r="H149" s="109"/>
      <c r="K149" s="110"/>
    </row>
    <row r="150" spans="1:11" ht="27" x14ac:dyDescent="0.35">
      <c r="A150" s="107" t="s">
        <v>478</v>
      </c>
      <c r="B150" s="88" t="s">
        <v>479</v>
      </c>
      <c r="C150" s="88" t="s">
        <v>480</v>
      </c>
      <c r="D150" s="108">
        <f>$F150*$G150+$H150*$I150+$J150*$K150</f>
        <v>0.10148599999999999</v>
      </c>
      <c r="E150" s="108"/>
      <c r="F150" s="111">
        <f>101000/1000000</f>
        <v>0.10100000000000001</v>
      </c>
      <c r="G150" s="112">
        <v>1</v>
      </c>
      <c r="H150" s="113">
        <f>1/1000000</f>
        <v>9.9999999999999995E-7</v>
      </c>
      <c r="I150" s="88">
        <v>21</v>
      </c>
      <c r="J150" s="113">
        <f>1.5/1000000</f>
        <v>1.5E-6</v>
      </c>
      <c r="K150" s="110">
        <v>310</v>
      </c>
    </row>
    <row r="151" spans="1:11" ht="27" x14ac:dyDescent="0.35">
      <c r="A151" s="107" t="s">
        <v>518</v>
      </c>
      <c r="B151" s="88" t="s">
        <v>479</v>
      </c>
      <c r="C151" s="88" t="s">
        <v>480</v>
      </c>
      <c r="D151" s="108">
        <f>$F151*$G151+$H151*$I151+$J151*$K151</f>
        <v>0.101675</v>
      </c>
      <c r="E151" s="108"/>
      <c r="F151" s="111">
        <f>101000/1000000</f>
        <v>0.10100000000000001</v>
      </c>
      <c r="G151" s="112">
        <v>1</v>
      </c>
      <c r="H151" s="113">
        <f>10/1000000</f>
        <v>1.0000000000000001E-5</v>
      </c>
      <c r="I151" s="88">
        <v>21</v>
      </c>
      <c r="J151" s="113">
        <f>1.5/1000000</f>
        <v>1.5E-6</v>
      </c>
      <c r="K151" s="110">
        <v>310</v>
      </c>
    </row>
    <row r="152" spans="1:11" ht="27" x14ac:dyDescent="0.35">
      <c r="A152" s="107" t="s">
        <v>482</v>
      </c>
      <c r="B152" s="88" t="s">
        <v>479</v>
      </c>
      <c r="C152" s="88" t="s">
        <v>480</v>
      </c>
      <c r="D152" s="108">
        <f>$F152*$G152+$H152*$I152+$J152*$K152</f>
        <v>0.101675</v>
      </c>
      <c r="E152" s="108"/>
      <c r="F152" s="111">
        <f>101000/1000000</f>
        <v>0.10100000000000001</v>
      </c>
      <c r="G152" s="112">
        <v>1</v>
      </c>
      <c r="H152" s="113">
        <f>10/1000000</f>
        <v>1.0000000000000001E-5</v>
      </c>
      <c r="I152" s="88">
        <v>21</v>
      </c>
      <c r="J152" s="113">
        <f>1.5/1000000</f>
        <v>1.5E-6</v>
      </c>
      <c r="K152" s="110">
        <v>310</v>
      </c>
    </row>
    <row r="153" spans="1:11" ht="27.5" thickBot="1" x14ac:dyDescent="0.4">
      <c r="A153" s="107" t="s">
        <v>483</v>
      </c>
      <c r="B153" s="88" t="s">
        <v>479</v>
      </c>
      <c r="C153" s="88" t="s">
        <v>480</v>
      </c>
      <c r="D153" s="108">
        <f>$F153*$G153+$H153*$I153+$J153*$K153</f>
        <v>0.107765</v>
      </c>
      <c r="E153" s="108"/>
      <c r="F153" s="111">
        <f>101000/1000000</f>
        <v>0.10100000000000001</v>
      </c>
      <c r="G153" s="112">
        <v>1</v>
      </c>
      <c r="H153" s="113">
        <f>300/1000000</f>
        <v>2.9999999999999997E-4</v>
      </c>
      <c r="I153" s="88">
        <v>21</v>
      </c>
      <c r="J153" s="113">
        <f>1.5/1000000</f>
        <v>1.5E-6</v>
      </c>
      <c r="K153" s="110">
        <v>310</v>
      </c>
    </row>
    <row r="154" spans="1:11" ht="15" thickBot="1" x14ac:dyDescent="0.4">
      <c r="A154" s="95" t="s">
        <v>524</v>
      </c>
      <c r="B154" s="96"/>
      <c r="C154" s="97"/>
      <c r="D154" s="98"/>
      <c r="E154" s="98"/>
      <c r="F154" s="98"/>
      <c r="G154" s="98"/>
      <c r="H154" s="98"/>
      <c r="I154" s="98"/>
      <c r="J154" s="98"/>
      <c r="K154" s="99"/>
    </row>
    <row r="155" spans="1:11" ht="27" x14ac:dyDescent="0.35">
      <c r="A155" s="100" t="s">
        <v>471</v>
      </c>
      <c r="B155" s="101" t="s">
        <v>472</v>
      </c>
      <c r="C155" s="101" t="s">
        <v>473</v>
      </c>
      <c r="D155" s="102">
        <v>1.6799999999999999E-2</v>
      </c>
      <c r="E155" s="102"/>
      <c r="F155" s="103"/>
      <c r="G155" s="104"/>
      <c r="H155" s="105"/>
      <c r="I155" s="104"/>
      <c r="J155" s="105"/>
      <c r="K155" s="106"/>
    </row>
    <row r="156" spans="1:11" ht="27" x14ac:dyDescent="0.35">
      <c r="A156" s="107" t="s">
        <v>471</v>
      </c>
      <c r="B156" s="88" t="s">
        <v>474</v>
      </c>
      <c r="C156" s="88" t="s">
        <v>473</v>
      </c>
      <c r="D156" s="108">
        <f>D155*TOEperGJ</f>
        <v>4.0126110695999997E-4</v>
      </c>
      <c r="E156" s="108"/>
      <c r="F156" s="109"/>
      <c r="G156" s="109"/>
      <c r="H156" s="109"/>
      <c r="K156" s="110"/>
    </row>
    <row r="157" spans="1:11" ht="27" x14ac:dyDescent="0.35">
      <c r="A157" s="107" t="s">
        <v>471</v>
      </c>
      <c r="B157" s="88" t="s">
        <v>475</v>
      </c>
      <c r="C157" s="88" t="s">
        <v>473</v>
      </c>
      <c r="D157" s="108">
        <f>D155*MWhperGJ</f>
        <v>4.6666666666666662E-3</v>
      </c>
      <c r="E157" s="108"/>
      <c r="F157" s="109"/>
      <c r="G157" s="109"/>
      <c r="H157" s="109"/>
      <c r="K157" s="110"/>
    </row>
    <row r="158" spans="1:11" x14ac:dyDescent="0.35">
      <c r="A158" s="107" t="s">
        <v>471</v>
      </c>
      <c r="B158" s="88" t="s">
        <v>487</v>
      </c>
      <c r="D158" s="108"/>
      <c r="E158" s="108"/>
      <c r="F158" s="109"/>
      <c r="G158" s="109"/>
      <c r="H158" s="109"/>
      <c r="K158" s="110"/>
    </row>
    <row r="159" spans="1:11" ht="27" x14ac:dyDescent="0.35">
      <c r="A159" s="107" t="s">
        <v>525</v>
      </c>
      <c r="B159" s="88" t="s">
        <v>479</v>
      </c>
      <c r="C159" s="88" t="s">
        <v>480</v>
      </c>
      <c r="D159" s="108">
        <f>$F159*$G159+$H159*$I159+$J159*$K159</f>
        <v>0.11387000000000001</v>
      </c>
      <c r="E159" s="108"/>
      <c r="F159" s="111">
        <f>112000/1000000</f>
        <v>0.112</v>
      </c>
      <c r="G159" s="112">
        <v>1</v>
      </c>
      <c r="H159" s="113">
        <f>30/1000000</f>
        <v>3.0000000000000001E-5</v>
      </c>
      <c r="I159" s="88">
        <v>21</v>
      </c>
      <c r="J159" s="113">
        <f>4/1000000</f>
        <v>3.9999999999999998E-6</v>
      </c>
      <c r="K159" s="110">
        <v>310</v>
      </c>
    </row>
    <row r="160" spans="1:11" ht="40.5" x14ac:dyDescent="0.35">
      <c r="A160" s="107" t="s">
        <v>526</v>
      </c>
      <c r="B160" s="88" t="s">
        <v>479</v>
      </c>
      <c r="C160" s="88" t="s">
        <v>480</v>
      </c>
      <c r="D160" s="108">
        <f>$F160*$G160+$H160*$I160+$J160*$K160</f>
        <v>0.11387000000000001</v>
      </c>
      <c r="E160" s="108"/>
      <c r="F160" s="111">
        <f>112000/1000000</f>
        <v>0.112</v>
      </c>
      <c r="G160" s="112">
        <v>1</v>
      </c>
      <c r="H160" s="113">
        <f>30/1000000</f>
        <v>3.0000000000000001E-5</v>
      </c>
      <c r="I160" s="88">
        <v>21</v>
      </c>
      <c r="J160" s="113">
        <f>4/1000000</f>
        <v>3.9999999999999998E-6</v>
      </c>
      <c r="K160" s="110">
        <v>310</v>
      </c>
    </row>
    <row r="161" spans="1:11" ht="40.5" x14ac:dyDescent="0.35">
      <c r="A161" s="107" t="s">
        <v>527</v>
      </c>
      <c r="B161" s="88" t="s">
        <v>479</v>
      </c>
      <c r="C161" s="88" t="s">
        <v>480</v>
      </c>
      <c r="D161" s="108">
        <f>$F161*$G161+$H161*$I161+$J161*$K161</f>
        <v>0.11954000000000001</v>
      </c>
      <c r="E161" s="108"/>
      <c r="F161" s="111">
        <f>112000/1000000</f>
        <v>0.112</v>
      </c>
      <c r="G161" s="112">
        <v>1</v>
      </c>
      <c r="H161" s="113">
        <f>300/1000000</f>
        <v>2.9999999999999997E-4</v>
      </c>
      <c r="I161" s="88">
        <v>21</v>
      </c>
      <c r="J161" s="113">
        <f>4/1000000</f>
        <v>3.9999999999999998E-6</v>
      </c>
      <c r="K161" s="110">
        <v>310</v>
      </c>
    </row>
    <row r="162" spans="1:11" ht="41" thickBot="1" x14ac:dyDescent="0.4">
      <c r="A162" s="107" t="s">
        <v>528</v>
      </c>
      <c r="B162" s="88" t="s">
        <v>479</v>
      </c>
      <c r="C162" s="88" t="s">
        <v>480</v>
      </c>
      <c r="D162" s="108">
        <f>$F162*$G162+$H162*$I162+$J162*$K162</f>
        <v>0.11954000000000001</v>
      </c>
      <c r="E162" s="108"/>
      <c r="F162" s="111">
        <f>112000/1000000</f>
        <v>0.112</v>
      </c>
      <c r="G162" s="112">
        <v>1</v>
      </c>
      <c r="H162" s="113">
        <f>300/1000000</f>
        <v>2.9999999999999997E-4</v>
      </c>
      <c r="I162" s="88">
        <v>21</v>
      </c>
      <c r="J162" s="113">
        <f>4/1000000</f>
        <v>3.9999999999999998E-6</v>
      </c>
      <c r="K162" s="110">
        <v>310</v>
      </c>
    </row>
    <row r="163" spans="1:11" ht="15" thickBot="1" x14ac:dyDescent="0.4">
      <c r="A163" s="95" t="s">
        <v>529</v>
      </c>
      <c r="B163" s="96"/>
      <c r="C163" s="97"/>
      <c r="D163" s="98"/>
      <c r="E163" s="98"/>
      <c r="F163" s="98"/>
      <c r="G163" s="98"/>
      <c r="H163" s="98"/>
      <c r="I163" s="98"/>
      <c r="J163" s="98"/>
      <c r="K163" s="99"/>
    </row>
    <row r="164" spans="1:11" ht="27" x14ac:dyDescent="0.35">
      <c r="A164" s="100" t="s">
        <v>471</v>
      </c>
      <c r="B164" s="101" t="s">
        <v>472</v>
      </c>
      <c r="C164" s="101" t="s">
        <v>473</v>
      </c>
      <c r="D164" s="102">
        <v>8.0000000000000002E-3</v>
      </c>
      <c r="E164" s="102">
        <v>8.9999999999999993E-3</v>
      </c>
      <c r="F164" s="103"/>
      <c r="G164" s="104"/>
      <c r="H164" s="105"/>
      <c r="I164" s="104"/>
      <c r="J164" s="105"/>
      <c r="K164" s="106"/>
    </row>
    <row r="165" spans="1:11" ht="27" x14ac:dyDescent="0.35">
      <c r="A165" s="107" t="s">
        <v>471</v>
      </c>
      <c r="B165" s="88" t="s">
        <v>474</v>
      </c>
      <c r="C165" s="88" t="s">
        <v>473</v>
      </c>
      <c r="D165" s="108">
        <f>D164*TOEperGJ</f>
        <v>1.910767176E-4</v>
      </c>
      <c r="E165" s="108">
        <f>E164*TOEperGJ</f>
        <v>2.1496130729999999E-4</v>
      </c>
      <c r="F165" s="109"/>
      <c r="G165" s="109"/>
      <c r="H165" s="109"/>
      <c r="K165" s="110"/>
    </row>
    <row r="166" spans="1:11" ht="27" x14ac:dyDescent="0.35">
      <c r="A166" s="107" t="s">
        <v>471</v>
      </c>
      <c r="B166" s="88" t="s">
        <v>475</v>
      </c>
      <c r="C166" s="88" t="s">
        <v>473</v>
      </c>
      <c r="D166" s="108">
        <f>D164*MWhperGJ</f>
        <v>2.2222222222222222E-3</v>
      </c>
      <c r="E166" s="108">
        <f>E164*MWhperGJ</f>
        <v>2.5000000000000001E-3</v>
      </c>
      <c r="F166" s="109"/>
      <c r="G166" s="109"/>
      <c r="H166" s="109"/>
      <c r="K166" s="110"/>
    </row>
    <row r="167" spans="1:11" ht="27" x14ac:dyDescent="0.35">
      <c r="A167" s="107" t="s">
        <v>478</v>
      </c>
      <c r="B167" s="88" t="s">
        <v>479</v>
      </c>
      <c r="C167" s="88" t="s">
        <v>480</v>
      </c>
      <c r="D167" s="108">
        <f>$F167*$G167+$H167*$I167+$J167*$K167</f>
        <v>7.3549000000000003E-2</v>
      </c>
      <c r="E167" s="108"/>
      <c r="F167" s="111">
        <f>73300/1000000</f>
        <v>7.3300000000000004E-2</v>
      </c>
      <c r="G167" s="112">
        <v>1</v>
      </c>
      <c r="H167" s="113">
        <f>3/1000000</f>
        <v>3.0000000000000001E-6</v>
      </c>
      <c r="I167" s="88">
        <v>21</v>
      </c>
      <c r="J167" s="113">
        <f>0.6/1000000</f>
        <v>5.9999999999999997E-7</v>
      </c>
      <c r="K167" s="110">
        <v>310</v>
      </c>
    </row>
    <row r="168" spans="1:11" ht="27" x14ac:dyDescent="0.35">
      <c r="A168" s="107" t="s">
        <v>518</v>
      </c>
      <c r="B168" s="88" t="s">
        <v>479</v>
      </c>
      <c r="C168" s="88" t="s">
        <v>480</v>
      </c>
      <c r="D168" s="108">
        <f>$F168*$G168+$H168*$I168+$J168*$K168</f>
        <v>7.3549000000000003E-2</v>
      </c>
      <c r="E168" s="108"/>
      <c r="F168" s="111">
        <f>73300/1000000</f>
        <v>7.3300000000000004E-2</v>
      </c>
      <c r="G168" s="112">
        <v>1</v>
      </c>
      <c r="H168" s="113">
        <f>3/1000000</f>
        <v>3.0000000000000001E-6</v>
      </c>
      <c r="I168" s="88">
        <v>21</v>
      </c>
      <c r="J168" s="113">
        <f>0.6/1000000</f>
        <v>5.9999999999999997E-7</v>
      </c>
      <c r="K168" s="110">
        <v>310</v>
      </c>
    </row>
    <row r="169" spans="1:11" ht="27" x14ac:dyDescent="0.35">
      <c r="A169" s="107" t="s">
        <v>482</v>
      </c>
      <c r="B169" s="88" t="s">
        <v>479</v>
      </c>
      <c r="C169" s="88" t="s">
        <v>480</v>
      </c>
      <c r="D169" s="108">
        <f>$F169*$G169+$H169*$I169+$J169*$K169</f>
        <v>7.3696000000000011E-2</v>
      </c>
      <c r="E169" s="108"/>
      <c r="F169" s="111">
        <f>73300/1000000</f>
        <v>7.3300000000000004E-2</v>
      </c>
      <c r="G169" s="112">
        <v>1</v>
      </c>
      <c r="H169" s="113">
        <f>10/1000000</f>
        <v>1.0000000000000001E-5</v>
      </c>
      <c r="I169" s="88">
        <v>21</v>
      </c>
      <c r="J169" s="113">
        <f>0.6/1000000</f>
        <v>5.9999999999999997E-7</v>
      </c>
      <c r="K169" s="110">
        <v>310</v>
      </c>
    </row>
    <row r="170" spans="1:11" ht="27.5" thickBot="1" x14ac:dyDescent="0.4">
      <c r="A170" s="107" t="s">
        <v>483</v>
      </c>
      <c r="B170" s="88" t="s">
        <v>479</v>
      </c>
      <c r="C170" s="88" t="s">
        <v>480</v>
      </c>
      <c r="D170" s="108">
        <f>$F170*$G170+$H170*$I170+$J170*$K170</f>
        <v>7.3696000000000011E-2</v>
      </c>
      <c r="E170" s="108"/>
      <c r="F170" s="111">
        <f>73300/1000000</f>
        <v>7.3300000000000004E-2</v>
      </c>
      <c r="G170" s="112">
        <v>1</v>
      </c>
      <c r="H170" s="113">
        <f>10/1000000</f>
        <v>1.0000000000000001E-5</v>
      </c>
      <c r="I170" s="88">
        <v>21</v>
      </c>
      <c r="J170" s="113">
        <f>0.6/1000000</f>
        <v>5.9999999999999997E-7</v>
      </c>
      <c r="K170" s="110">
        <v>310</v>
      </c>
    </row>
    <row r="171" spans="1:11" ht="15" thickBot="1" x14ac:dyDescent="0.4">
      <c r="A171" s="95" t="s">
        <v>530</v>
      </c>
      <c r="B171" s="96"/>
      <c r="C171" s="97"/>
      <c r="D171" s="98"/>
      <c r="E171" s="98"/>
      <c r="F171" s="98"/>
      <c r="G171" s="98"/>
      <c r="H171" s="98"/>
      <c r="I171" s="98"/>
      <c r="J171" s="98"/>
      <c r="K171" s="99"/>
    </row>
    <row r="172" spans="1:11" ht="27" x14ac:dyDescent="0.35">
      <c r="A172" s="100" t="s">
        <v>471</v>
      </c>
      <c r="B172" s="101" t="s">
        <v>472</v>
      </c>
      <c r="C172" s="101" t="s">
        <v>473</v>
      </c>
      <c r="D172" s="102">
        <v>7.7999999999999996E-3</v>
      </c>
      <c r="E172" s="102">
        <v>1.38E-2</v>
      </c>
      <c r="F172" s="103"/>
      <c r="G172" s="104"/>
      <c r="H172" s="105"/>
      <c r="I172" s="104"/>
      <c r="J172" s="105"/>
      <c r="K172" s="106"/>
    </row>
    <row r="173" spans="1:11" ht="27" x14ac:dyDescent="0.35">
      <c r="A173" s="107" t="s">
        <v>471</v>
      </c>
      <c r="B173" s="88" t="s">
        <v>474</v>
      </c>
      <c r="C173" s="88" t="s">
        <v>473</v>
      </c>
      <c r="D173" s="108">
        <f>D172*TOEperGJ</f>
        <v>1.8629979965999999E-4</v>
      </c>
      <c r="E173" s="108">
        <f>E172*TOEperGJ</f>
        <v>3.2960733786E-4</v>
      </c>
      <c r="F173" s="109"/>
      <c r="G173" s="109"/>
      <c r="H173" s="109"/>
      <c r="K173" s="110"/>
    </row>
    <row r="174" spans="1:11" ht="27" x14ac:dyDescent="0.35">
      <c r="A174" s="107" t="s">
        <v>471</v>
      </c>
      <c r="B174" s="88" t="s">
        <v>475</v>
      </c>
      <c r="C174" s="88" t="s">
        <v>473</v>
      </c>
      <c r="D174" s="108">
        <f>D172*MWhperGJ</f>
        <v>2.1666666666666666E-3</v>
      </c>
      <c r="E174" s="108">
        <f>E172*MWhperGJ</f>
        <v>3.8333333333333336E-3</v>
      </c>
      <c r="F174" s="109"/>
      <c r="G174" s="109"/>
      <c r="H174" s="109"/>
      <c r="K174" s="110"/>
    </row>
    <row r="175" spans="1:11" ht="27" x14ac:dyDescent="0.35">
      <c r="A175" s="107" t="s">
        <v>478</v>
      </c>
      <c r="B175" s="88" t="s">
        <v>479</v>
      </c>
      <c r="C175" s="88" t="s">
        <v>480</v>
      </c>
      <c r="D175" s="108">
        <f>$F175*$G175+$H175*$I175+$J175*$K175</f>
        <v>0.10648599999999998</v>
      </c>
      <c r="E175" s="108"/>
      <c r="F175" s="111">
        <f>106000/1000000</f>
        <v>0.106</v>
      </c>
      <c r="G175" s="112">
        <v>1</v>
      </c>
      <c r="H175" s="113">
        <f>1/1000000</f>
        <v>9.9999999999999995E-7</v>
      </c>
      <c r="I175" s="88">
        <v>21</v>
      </c>
      <c r="J175" s="113">
        <f>1.5/1000000</f>
        <v>1.5E-6</v>
      </c>
      <c r="K175" s="110">
        <v>310</v>
      </c>
    </row>
    <row r="176" spans="1:11" ht="27" x14ac:dyDescent="0.35">
      <c r="A176" s="107" t="s">
        <v>518</v>
      </c>
      <c r="B176" s="88" t="s">
        <v>479</v>
      </c>
      <c r="C176" s="88" t="s">
        <v>480</v>
      </c>
      <c r="D176" s="108">
        <f>$F176*$G176+$H176*$I176+$J176*$K176</f>
        <v>0.10650699999999999</v>
      </c>
      <c r="E176" s="108"/>
      <c r="F176" s="111">
        <f>106000/1000000</f>
        <v>0.106</v>
      </c>
      <c r="G176" s="112">
        <v>1</v>
      </c>
      <c r="H176" s="113">
        <f>2/1000000</f>
        <v>1.9999999999999999E-6</v>
      </c>
      <c r="I176" s="88">
        <v>21</v>
      </c>
      <c r="J176" s="113">
        <f>1.5/1000000</f>
        <v>1.5E-6</v>
      </c>
      <c r="K176" s="110">
        <v>310</v>
      </c>
    </row>
    <row r="177" spans="1:11" ht="27" x14ac:dyDescent="0.35">
      <c r="A177" s="107" t="s">
        <v>482</v>
      </c>
      <c r="B177" s="88" t="s">
        <v>479</v>
      </c>
      <c r="C177" s="88" t="s">
        <v>480</v>
      </c>
      <c r="D177" s="108">
        <f>$F177*$G177+$H177*$I177+$J177*$K177</f>
        <v>0.106644</v>
      </c>
      <c r="E177" s="108"/>
      <c r="F177" s="111">
        <f>106000/1000000</f>
        <v>0.106</v>
      </c>
      <c r="G177" s="112">
        <v>1</v>
      </c>
      <c r="H177" s="113">
        <f>10/1000000</f>
        <v>1.0000000000000001E-5</v>
      </c>
      <c r="I177" s="88">
        <v>21</v>
      </c>
      <c r="J177" s="113">
        <f>1.4/1000000</f>
        <v>1.3999999999999999E-6</v>
      </c>
      <c r="K177" s="110">
        <v>310</v>
      </c>
    </row>
    <row r="178" spans="1:11" ht="27.5" thickBot="1" x14ac:dyDescent="0.4">
      <c r="A178" s="107" t="s">
        <v>483</v>
      </c>
      <c r="B178" s="88" t="s">
        <v>479</v>
      </c>
      <c r="C178" s="88" t="s">
        <v>480</v>
      </c>
      <c r="D178" s="108">
        <f>$F178*$G178+$H178*$I178+$J178*$K178</f>
        <v>0.112734</v>
      </c>
      <c r="E178" s="108"/>
      <c r="F178" s="111">
        <f>106000/1000000</f>
        <v>0.106</v>
      </c>
      <c r="G178" s="112">
        <v>1</v>
      </c>
      <c r="H178" s="113">
        <f>300/1000000</f>
        <v>2.9999999999999997E-4</v>
      </c>
      <c r="I178" s="88">
        <v>21</v>
      </c>
      <c r="J178" s="113">
        <f>1.4/1000000</f>
        <v>1.3999999999999999E-6</v>
      </c>
      <c r="K178" s="110">
        <v>310</v>
      </c>
    </row>
    <row r="179" spans="1:11" ht="15" thickBot="1" x14ac:dyDescent="0.4">
      <c r="A179" s="95" t="s">
        <v>531</v>
      </c>
      <c r="B179" s="96"/>
      <c r="C179" s="97"/>
      <c r="D179" s="98"/>
      <c r="E179" s="98"/>
      <c r="F179" s="98"/>
      <c r="G179" s="98"/>
      <c r="H179" s="98"/>
      <c r="I179" s="98"/>
      <c r="J179" s="98"/>
      <c r="K179" s="99"/>
    </row>
    <row r="180" spans="1:11" ht="27" x14ac:dyDescent="0.35">
      <c r="A180" s="100" t="s">
        <v>471</v>
      </c>
      <c r="B180" s="101" t="s">
        <v>472</v>
      </c>
      <c r="C180" s="101" t="s">
        <v>473</v>
      </c>
      <c r="D180" s="102">
        <v>1.6E-2</v>
      </c>
      <c r="E180" s="102">
        <v>1.6799999999999999E-2</v>
      </c>
      <c r="F180" s="103"/>
      <c r="G180" s="104"/>
      <c r="H180" s="105"/>
      <c r="I180" s="104"/>
      <c r="J180" s="105"/>
      <c r="K180" s="106"/>
    </row>
    <row r="181" spans="1:11" ht="27" x14ac:dyDescent="0.35">
      <c r="A181" s="107" t="s">
        <v>471</v>
      </c>
      <c r="B181" s="88" t="s">
        <v>474</v>
      </c>
      <c r="C181" s="88" t="s">
        <v>473</v>
      </c>
      <c r="D181" s="108">
        <f>D180*TOEperGJ</f>
        <v>3.8215343519999999E-4</v>
      </c>
      <c r="E181" s="108">
        <f>E180*TOEperGJ</f>
        <v>4.0126110695999997E-4</v>
      </c>
      <c r="F181" s="109"/>
      <c r="G181" s="109"/>
      <c r="H181" s="109"/>
      <c r="K181" s="110"/>
    </row>
    <row r="182" spans="1:11" ht="27" x14ac:dyDescent="0.35">
      <c r="A182" s="107" t="s">
        <v>471</v>
      </c>
      <c r="B182" s="88" t="s">
        <v>475</v>
      </c>
      <c r="C182" s="88" t="s">
        <v>473</v>
      </c>
      <c r="D182" s="108">
        <f>D180*MWhperGJ</f>
        <v>4.4444444444444444E-3</v>
      </c>
      <c r="E182" s="108">
        <f>E180*MWhperGJ</f>
        <v>4.6666666666666662E-3</v>
      </c>
      <c r="F182" s="109"/>
      <c r="G182" s="109"/>
      <c r="H182" s="109"/>
      <c r="K182" s="110"/>
    </row>
    <row r="183" spans="1:11" ht="27" x14ac:dyDescent="0.35">
      <c r="A183" s="107" t="s">
        <v>532</v>
      </c>
      <c r="B183" s="88" t="s">
        <v>479</v>
      </c>
      <c r="C183" s="88" t="s">
        <v>480</v>
      </c>
      <c r="D183" s="108">
        <f>$F183*$G183+$H183*$I183+$J183*$K183</f>
        <v>0.10648599999999998</v>
      </c>
      <c r="E183" s="108"/>
      <c r="F183" s="111">
        <f>106000/1000000</f>
        <v>0.106</v>
      </c>
      <c r="G183" s="112">
        <v>1</v>
      </c>
      <c r="H183" s="113">
        <f>1/1000000</f>
        <v>9.9999999999999995E-7</v>
      </c>
      <c r="I183" s="88">
        <v>21</v>
      </c>
      <c r="J183" s="113">
        <f>1.5/1000000</f>
        <v>1.5E-6</v>
      </c>
      <c r="K183" s="110">
        <v>310</v>
      </c>
    </row>
    <row r="184" spans="1:11" ht="40.5" x14ac:dyDescent="0.35">
      <c r="A184" s="107" t="s">
        <v>533</v>
      </c>
      <c r="B184" s="88" t="s">
        <v>479</v>
      </c>
      <c r="C184" s="88" t="s">
        <v>480</v>
      </c>
      <c r="D184" s="108">
        <f>$F184*$G184+$H184*$I184+$J184*$K184</f>
        <v>0.10650699999999999</v>
      </c>
      <c r="E184" s="108"/>
      <c r="F184" s="111">
        <f>106000/1000000</f>
        <v>0.106</v>
      </c>
      <c r="G184" s="112">
        <v>1</v>
      </c>
      <c r="H184" s="113">
        <f>2/1000000</f>
        <v>1.9999999999999999E-6</v>
      </c>
      <c r="I184" s="88">
        <v>21</v>
      </c>
      <c r="J184" s="113">
        <f>1.5/1000000</f>
        <v>1.5E-6</v>
      </c>
      <c r="K184" s="110">
        <v>310</v>
      </c>
    </row>
    <row r="185" spans="1:11" ht="40.5" x14ac:dyDescent="0.35">
      <c r="A185" s="107" t="s">
        <v>534</v>
      </c>
      <c r="B185" s="88" t="s">
        <v>479</v>
      </c>
      <c r="C185" s="88" t="s">
        <v>480</v>
      </c>
      <c r="D185" s="108">
        <f>$F185*$G185+$H185*$I185+$J185*$K185</f>
        <v>0.106644</v>
      </c>
      <c r="E185" s="108"/>
      <c r="F185" s="111">
        <f>106000/1000000</f>
        <v>0.106</v>
      </c>
      <c r="G185" s="112">
        <v>1</v>
      </c>
      <c r="H185" s="113">
        <f>10/1000000</f>
        <v>1.0000000000000001E-5</v>
      </c>
      <c r="I185" s="88">
        <v>21</v>
      </c>
      <c r="J185" s="113">
        <f>1.4/1000000</f>
        <v>1.3999999999999999E-6</v>
      </c>
      <c r="K185" s="110">
        <v>310</v>
      </c>
    </row>
    <row r="186" spans="1:11" ht="41" thickBot="1" x14ac:dyDescent="0.4">
      <c r="A186" s="107" t="s">
        <v>535</v>
      </c>
      <c r="B186" s="88" t="s">
        <v>479</v>
      </c>
      <c r="C186" s="88" t="s">
        <v>480</v>
      </c>
      <c r="D186" s="108">
        <f>$F186*$G186+$H186*$I186+$J186*$K186</f>
        <v>0.112734</v>
      </c>
      <c r="E186" s="108"/>
      <c r="F186" s="111">
        <f>106000/1000000</f>
        <v>0.106</v>
      </c>
      <c r="G186" s="112">
        <v>1</v>
      </c>
      <c r="H186" s="113">
        <f>300/1000000</f>
        <v>2.9999999999999997E-4</v>
      </c>
      <c r="I186" s="88">
        <v>21</v>
      </c>
      <c r="J186" s="113">
        <f>1.4/1000000</f>
        <v>1.3999999999999999E-6</v>
      </c>
      <c r="K186" s="110">
        <v>310</v>
      </c>
    </row>
    <row r="187" spans="1:11" ht="15" thickBot="1" x14ac:dyDescent="0.4">
      <c r="A187" s="95" t="s">
        <v>536</v>
      </c>
      <c r="B187" s="96"/>
      <c r="C187" s="97"/>
      <c r="D187" s="98"/>
      <c r="E187" s="98"/>
      <c r="F187" s="98"/>
      <c r="G187" s="98"/>
      <c r="H187" s="98"/>
      <c r="I187" s="98"/>
      <c r="J187" s="98"/>
      <c r="K187" s="99"/>
    </row>
    <row r="188" spans="1:11" ht="27" x14ac:dyDescent="0.35">
      <c r="A188" s="100" t="s">
        <v>471</v>
      </c>
      <c r="B188" s="101" t="s">
        <v>472</v>
      </c>
      <c r="C188" s="101" t="s">
        <v>473</v>
      </c>
      <c r="D188" s="102">
        <v>0.04</v>
      </c>
      <c r="E188" s="102"/>
      <c r="F188" s="103"/>
      <c r="G188" s="104"/>
      <c r="H188" s="105"/>
      <c r="I188" s="104"/>
      <c r="J188" s="105"/>
      <c r="K188" s="106"/>
    </row>
    <row r="189" spans="1:11" ht="27" x14ac:dyDescent="0.35">
      <c r="A189" s="107" t="s">
        <v>471</v>
      </c>
      <c r="B189" s="88" t="s">
        <v>474</v>
      </c>
      <c r="C189" s="88" t="s">
        <v>473</v>
      </c>
      <c r="D189" s="108">
        <f>D188*TOEperGJ</f>
        <v>9.5538358800000001E-4</v>
      </c>
      <c r="E189" s="108"/>
      <c r="F189" s="109"/>
      <c r="G189" s="109"/>
      <c r="H189" s="109"/>
      <c r="K189" s="110"/>
    </row>
    <row r="190" spans="1:11" ht="27" x14ac:dyDescent="0.35">
      <c r="A190" s="107" t="s">
        <v>471</v>
      </c>
      <c r="B190" s="88" t="s">
        <v>475</v>
      </c>
      <c r="C190" s="88" t="s">
        <v>473</v>
      </c>
      <c r="D190" s="108">
        <f>D188*MWhperGJ</f>
        <v>1.1111111111111112E-2</v>
      </c>
      <c r="E190" s="108"/>
      <c r="F190" s="109"/>
      <c r="G190" s="109"/>
      <c r="H190" s="109"/>
      <c r="K190" s="110"/>
    </row>
    <row r="191" spans="1:11" x14ac:dyDescent="0.35">
      <c r="A191" s="107" t="s">
        <v>471</v>
      </c>
      <c r="B191" s="88" t="s">
        <v>476</v>
      </c>
      <c r="D191" s="108"/>
      <c r="E191" s="108"/>
      <c r="F191" s="109"/>
      <c r="G191" s="109"/>
      <c r="H191" s="109"/>
      <c r="K191" s="110"/>
    </row>
    <row r="192" spans="1:11" ht="27" x14ac:dyDescent="0.35">
      <c r="A192" s="107" t="s">
        <v>478</v>
      </c>
      <c r="B192" s="88" t="s">
        <v>479</v>
      </c>
      <c r="C192" s="88" t="s">
        <v>480</v>
      </c>
      <c r="D192" s="108">
        <f>$F192*$G192+$H192*$I192+$J192*$K192</f>
        <v>7.7648999999999996E-2</v>
      </c>
      <c r="E192" s="108"/>
      <c r="F192" s="111">
        <f>77400/1000000</f>
        <v>7.7399999999999997E-2</v>
      </c>
      <c r="G192" s="112">
        <v>1</v>
      </c>
      <c r="H192" s="113">
        <f>3/1000000</f>
        <v>3.0000000000000001E-6</v>
      </c>
      <c r="I192" s="88">
        <v>21</v>
      </c>
      <c r="J192" s="113">
        <f>0.6/1000000</f>
        <v>5.9999999999999997E-7</v>
      </c>
      <c r="K192" s="110">
        <v>310</v>
      </c>
    </row>
    <row r="193" spans="1:11" ht="27" x14ac:dyDescent="0.35">
      <c r="A193" s="107" t="s">
        <v>518</v>
      </c>
      <c r="B193" s="88" t="s">
        <v>479</v>
      </c>
      <c r="C193" s="88" t="s">
        <v>480</v>
      </c>
      <c r="D193" s="108">
        <f>$F193*$G193+$H193*$I193+$J193*$K193</f>
        <v>7.7648999999999996E-2</v>
      </c>
      <c r="E193" s="108"/>
      <c r="F193" s="111">
        <f>77400/1000000</f>
        <v>7.7399999999999997E-2</v>
      </c>
      <c r="G193" s="112">
        <v>1</v>
      </c>
      <c r="H193" s="113">
        <f>3/1000000</f>
        <v>3.0000000000000001E-6</v>
      </c>
      <c r="I193" s="88">
        <v>21</v>
      </c>
      <c r="J193" s="113">
        <f>0.6/1000000</f>
        <v>5.9999999999999997E-7</v>
      </c>
      <c r="K193" s="110">
        <v>310</v>
      </c>
    </row>
    <row r="194" spans="1:11" ht="27" x14ac:dyDescent="0.35">
      <c r="A194" s="107" t="s">
        <v>482</v>
      </c>
      <c r="B194" s="88" t="s">
        <v>479</v>
      </c>
      <c r="C194" s="88" t="s">
        <v>480</v>
      </c>
      <c r="D194" s="108">
        <f>$F194*$G194+$H194*$I194+$J194*$K194</f>
        <v>7.7796000000000004E-2</v>
      </c>
      <c r="E194" s="108"/>
      <c r="F194" s="111">
        <f>77400/1000000</f>
        <v>7.7399999999999997E-2</v>
      </c>
      <c r="G194" s="112">
        <v>1</v>
      </c>
      <c r="H194" s="113">
        <f>10/1000000</f>
        <v>1.0000000000000001E-5</v>
      </c>
      <c r="I194" s="88">
        <v>21</v>
      </c>
      <c r="J194" s="113">
        <f>0.6/1000000</f>
        <v>5.9999999999999997E-7</v>
      </c>
      <c r="K194" s="110">
        <v>310</v>
      </c>
    </row>
    <row r="195" spans="1:11" ht="27.5" thickBot="1" x14ac:dyDescent="0.4">
      <c r="A195" s="107" t="s">
        <v>483</v>
      </c>
      <c r="B195" s="88" t="s">
        <v>479</v>
      </c>
      <c r="C195" s="88" t="s">
        <v>480</v>
      </c>
      <c r="D195" s="108">
        <f>$F195*$G195+$H195*$I195+$J195*$K195</f>
        <v>7.7796000000000004E-2</v>
      </c>
      <c r="E195" s="108"/>
      <c r="F195" s="111">
        <f>77400/1000000</f>
        <v>7.7399999999999997E-2</v>
      </c>
      <c r="G195" s="112">
        <v>1</v>
      </c>
      <c r="H195" s="113">
        <f>10/1000000</f>
        <v>1.0000000000000001E-5</v>
      </c>
      <c r="I195" s="88">
        <v>21</v>
      </c>
      <c r="J195" s="113">
        <f>0.6/1000000</f>
        <v>5.9999999999999997E-7</v>
      </c>
      <c r="K195" s="110">
        <v>310</v>
      </c>
    </row>
    <row r="196" spans="1:11" ht="15" thickBot="1" x14ac:dyDescent="0.4">
      <c r="A196" s="95" t="s">
        <v>537</v>
      </c>
      <c r="B196" s="96"/>
      <c r="C196" s="97"/>
      <c r="D196" s="98"/>
      <c r="E196" s="98"/>
      <c r="F196" s="98"/>
      <c r="G196" s="98"/>
      <c r="H196" s="98"/>
      <c r="I196" s="98"/>
      <c r="J196" s="98"/>
      <c r="K196" s="99"/>
    </row>
    <row r="197" spans="1:11" ht="27" x14ac:dyDescent="0.35">
      <c r="A197" s="100" t="s">
        <v>471</v>
      </c>
      <c r="B197" s="101" t="s">
        <v>472</v>
      </c>
      <c r="C197" s="101" t="s">
        <v>473</v>
      </c>
      <c r="D197" s="102">
        <v>0.04</v>
      </c>
      <c r="E197" s="102"/>
      <c r="F197" s="103"/>
      <c r="G197" s="104"/>
      <c r="H197" s="105"/>
      <c r="I197" s="104"/>
      <c r="J197" s="105"/>
      <c r="K197" s="106"/>
    </row>
    <row r="198" spans="1:11" ht="27" x14ac:dyDescent="0.35">
      <c r="A198" s="107" t="s">
        <v>471</v>
      </c>
      <c r="B198" s="88" t="s">
        <v>474</v>
      </c>
      <c r="C198" s="88" t="s">
        <v>473</v>
      </c>
      <c r="D198" s="108">
        <f>D197*TOEperGJ</f>
        <v>9.5538358800000001E-4</v>
      </c>
      <c r="E198" s="108"/>
      <c r="F198" s="109"/>
      <c r="G198" s="109"/>
      <c r="H198" s="109"/>
      <c r="K198" s="110"/>
    </row>
    <row r="199" spans="1:11" ht="27" x14ac:dyDescent="0.35">
      <c r="A199" s="107" t="s">
        <v>471</v>
      </c>
      <c r="B199" s="88" t="s">
        <v>475</v>
      </c>
      <c r="C199" s="88" t="s">
        <v>473</v>
      </c>
      <c r="D199" s="108">
        <f>D197*MWhperGJ</f>
        <v>1.1111111111111112E-2</v>
      </c>
      <c r="E199" s="108"/>
      <c r="F199" s="109"/>
      <c r="G199" s="109"/>
      <c r="H199" s="109"/>
      <c r="K199" s="110"/>
    </row>
    <row r="200" spans="1:11" ht="27" x14ac:dyDescent="0.35">
      <c r="A200" s="107" t="s">
        <v>478</v>
      </c>
      <c r="B200" s="88" t="s">
        <v>479</v>
      </c>
      <c r="C200" s="88" t="s">
        <v>480</v>
      </c>
      <c r="D200" s="108">
        <f>$F200*$G200+$H200*$I200+$J200*$K200</f>
        <v>7.3549000000000003E-2</v>
      </c>
      <c r="E200" s="108"/>
      <c r="F200" s="111">
        <f>73300/1000000</f>
        <v>7.3300000000000004E-2</v>
      </c>
      <c r="G200" s="112">
        <v>1</v>
      </c>
      <c r="H200" s="113">
        <f>3/1000000</f>
        <v>3.0000000000000001E-6</v>
      </c>
      <c r="I200" s="88">
        <v>21</v>
      </c>
      <c r="J200" s="113">
        <f>0.6/1000000</f>
        <v>5.9999999999999997E-7</v>
      </c>
      <c r="K200" s="110">
        <v>310</v>
      </c>
    </row>
    <row r="201" spans="1:11" ht="27" x14ac:dyDescent="0.35">
      <c r="A201" s="107" t="s">
        <v>518</v>
      </c>
      <c r="B201" s="88" t="s">
        <v>479</v>
      </c>
      <c r="C201" s="88" t="s">
        <v>480</v>
      </c>
      <c r="D201" s="108">
        <f>$F201*$G201+$H201*$I201+$J201*$K201</f>
        <v>7.3549000000000003E-2</v>
      </c>
      <c r="E201" s="108"/>
      <c r="F201" s="111">
        <f>73300/1000000</f>
        <v>7.3300000000000004E-2</v>
      </c>
      <c r="G201" s="112">
        <v>1</v>
      </c>
      <c r="H201" s="113">
        <f>3/1000000</f>
        <v>3.0000000000000001E-6</v>
      </c>
      <c r="I201" s="88">
        <v>21</v>
      </c>
      <c r="J201" s="113">
        <f>0.6/1000000</f>
        <v>5.9999999999999997E-7</v>
      </c>
      <c r="K201" s="110">
        <v>310</v>
      </c>
    </row>
    <row r="202" spans="1:11" ht="27" x14ac:dyDescent="0.35">
      <c r="A202" s="107" t="s">
        <v>482</v>
      </c>
      <c r="B202" s="88" t="s">
        <v>479</v>
      </c>
      <c r="C202" s="88" t="s">
        <v>480</v>
      </c>
      <c r="D202" s="108">
        <f>$F202*$G202+$H202*$I202+$J202*$K202</f>
        <v>7.3696000000000011E-2</v>
      </c>
      <c r="E202" s="108"/>
      <c r="F202" s="111">
        <f>73300/1000000</f>
        <v>7.3300000000000004E-2</v>
      </c>
      <c r="G202" s="112">
        <v>1</v>
      </c>
      <c r="H202" s="113">
        <f>10/1000000</f>
        <v>1.0000000000000001E-5</v>
      </c>
      <c r="I202" s="88">
        <v>21</v>
      </c>
      <c r="J202" s="113">
        <f>0.6/1000000</f>
        <v>5.9999999999999997E-7</v>
      </c>
      <c r="K202" s="110">
        <v>310</v>
      </c>
    </row>
    <row r="203" spans="1:11" ht="27.5" thickBot="1" x14ac:dyDescent="0.4">
      <c r="A203" s="107" t="s">
        <v>483</v>
      </c>
      <c r="B203" s="88" t="s">
        <v>479</v>
      </c>
      <c r="C203" s="88" t="s">
        <v>480</v>
      </c>
      <c r="D203" s="108">
        <f>$F203*$G203+$H203*$I203+$J203*$K203</f>
        <v>7.3696000000000011E-2</v>
      </c>
      <c r="E203" s="108"/>
      <c r="F203" s="111">
        <f>73300/1000000</f>
        <v>7.3300000000000004E-2</v>
      </c>
      <c r="G203" s="112">
        <v>1</v>
      </c>
      <c r="H203" s="113">
        <f>10/1000000</f>
        <v>1.0000000000000001E-5</v>
      </c>
      <c r="I203" s="88">
        <v>21</v>
      </c>
      <c r="J203" s="113">
        <f>0.6/1000000</f>
        <v>5.9999999999999997E-7</v>
      </c>
      <c r="K203" s="110">
        <v>310</v>
      </c>
    </row>
    <row r="204" spans="1:11" ht="15" thickBot="1" x14ac:dyDescent="0.4">
      <c r="A204" s="95" t="s">
        <v>538</v>
      </c>
      <c r="B204" s="96"/>
      <c r="C204" s="97"/>
      <c r="D204" s="98"/>
      <c r="E204" s="98"/>
      <c r="F204" s="98"/>
      <c r="G204" s="98"/>
      <c r="H204" s="98"/>
      <c r="I204" s="98"/>
      <c r="J204" s="98"/>
      <c r="K204" s="99"/>
    </row>
    <row r="205" spans="1:11" ht="27" x14ac:dyDescent="0.35">
      <c r="A205" s="100" t="s">
        <v>471</v>
      </c>
      <c r="B205" s="101" t="s">
        <v>472</v>
      </c>
      <c r="C205" s="101" t="s">
        <v>473</v>
      </c>
      <c r="D205" s="102">
        <v>7.3999999999999996E-2</v>
      </c>
      <c r="E205" s="102">
        <v>0.107</v>
      </c>
      <c r="F205" s="103"/>
      <c r="G205" s="104"/>
      <c r="H205" s="105"/>
      <c r="I205" s="104"/>
      <c r="J205" s="105"/>
      <c r="K205" s="106"/>
    </row>
    <row r="206" spans="1:11" ht="27" x14ac:dyDescent="0.35">
      <c r="A206" s="107" t="s">
        <v>471</v>
      </c>
      <c r="B206" s="88" t="s">
        <v>474</v>
      </c>
      <c r="C206" s="88" t="s">
        <v>473</v>
      </c>
      <c r="D206" s="108">
        <f>D205*TOEperGJ</f>
        <v>1.7674596378E-3</v>
      </c>
      <c r="E206" s="108">
        <f>E205*TOEperGJ</f>
        <v>2.5556510979000001E-3</v>
      </c>
      <c r="F206" s="109"/>
      <c r="G206" s="109"/>
      <c r="H206" s="109"/>
      <c r="K206" s="110"/>
    </row>
    <row r="207" spans="1:11" ht="27" x14ac:dyDescent="0.35">
      <c r="A207" s="107" t="s">
        <v>471</v>
      </c>
      <c r="B207" s="88" t="s">
        <v>475</v>
      </c>
      <c r="C207" s="88" t="s">
        <v>473</v>
      </c>
      <c r="D207" s="108">
        <f>D205*MWhperGJ</f>
        <v>2.0555555555555556E-2</v>
      </c>
      <c r="E207" s="108">
        <f>E205*MWhperGJ</f>
        <v>2.9722222222222223E-2</v>
      </c>
      <c r="F207" s="109"/>
      <c r="G207" s="109"/>
      <c r="H207" s="109"/>
      <c r="K207" s="110"/>
    </row>
    <row r="208" spans="1:11" ht="27" x14ac:dyDescent="0.35">
      <c r="A208" s="107" t="s">
        <v>478</v>
      </c>
      <c r="B208" s="88" t="s">
        <v>479</v>
      </c>
      <c r="C208" s="88" t="s">
        <v>480</v>
      </c>
      <c r="D208" s="108">
        <f>$F208*$G208+$H208*$I208+$J208*$K208</f>
        <v>0.10187000000000002</v>
      </c>
      <c r="E208" s="108"/>
      <c r="F208" s="111">
        <f>100000/1000000</f>
        <v>0.1</v>
      </c>
      <c r="G208" s="112">
        <v>1</v>
      </c>
      <c r="H208" s="113">
        <f>30/1000000</f>
        <v>3.0000000000000001E-5</v>
      </c>
      <c r="I208" s="88">
        <v>21</v>
      </c>
      <c r="J208" s="113">
        <f>4/1000000</f>
        <v>3.9999999999999998E-6</v>
      </c>
      <c r="K208" s="110">
        <v>310</v>
      </c>
    </row>
    <row r="209" spans="1:13" ht="27" x14ac:dyDescent="0.35">
      <c r="A209" s="107" t="s">
        <v>518</v>
      </c>
      <c r="B209" s="88" t="s">
        <v>479</v>
      </c>
      <c r="C209" s="88" t="s">
        <v>480</v>
      </c>
      <c r="D209" s="108">
        <f>$F209*$G209+$H209*$I209+$J209*$K209</f>
        <v>0.10187000000000002</v>
      </c>
      <c r="E209" s="108"/>
      <c r="F209" s="111">
        <f>100000/1000000</f>
        <v>0.1</v>
      </c>
      <c r="G209" s="112">
        <v>1</v>
      </c>
      <c r="H209" s="113">
        <f>30/1000000</f>
        <v>3.0000000000000001E-5</v>
      </c>
      <c r="I209" s="88">
        <v>21</v>
      </c>
      <c r="J209" s="113">
        <f>4/1000000</f>
        <v>3.9999999999999998E-6</v>
      </c>
      <c r="K209" s="110">
        <v>310</v>
      </c>
    </row>
    <row r="210" spans="1:13" ht="27" x14ac:dyDescent="0.35">
      <c r="A210" s="107" t="s">
        <v>482</v>
      </c>
      <c r="B210" s="88" t="s">
        <v>479</v>
      </c>
      <c r="C210" s="88" t="s">
        <v>480</v>
      </c>
      <c r="D210" s="108">
        <f>$F210*$G210+$H210*$I210+$J210*$K210</f>
        <v>0.10754000000000001</v>
      </c>
      <c r="E210" s="108"/>
      <c r="F210" s="111">
        <f>100000/1000000</f>
        <v>0.1</v>
      </c>
      <c r="G210" s="112">
        <v>1</v>
      </c>
      <c r="H210" s="113">
        <f>300/1000000</f>
        <v>2.9999999999999997E-4</v>
      </c>
      <c r="I210" s="88">
        <v>21</v>
      </c>
      <c r="J210" s="113">
        <f>4/1000000</f>
        <v>3.9999999999999998E-6</v>
      </c>
      <c r="K210" s="110">
        <v>310</v>
      </c>
    </row>
    <row r="211" spans="1:13" ht="27.5" thickBot="1" x14ac:dyDescent="0.4">
      <c r="A211" s="107" t="s">
        <v>483</v>
      </c>
      <c r="B211" s="88" t="s">
        <v>479</v>
      </c>
      <c r="C211" s="88" t="s">
        <v>480</v>
      </c>
      <c r="D211" s="108">
        <f>$F211*$G211+$H211*$I211+$J211*$K211</f>
        <v>0.10754000000000001</v>
      </c>
      <c r="E211" s="108"/>
      <c r="F211" s="111">
        <f>100000/1000000</f>
        <v>0.1</v>
      </c>
      <c r="G211" s="112">
        <v>1</v>
      </c>
      <c r="H211" s="113">
        <f>300/1000000</f>
        <v>2.9999999999999997E-4</v>
      </c>
      <c r="I211" s="88">
        <v>21</v>
      </c>
      <c r="J211" s="113">
        <f>4/1000000</f>
        <v>3.9999999999999998E-6</v>
      </c>
      <c r="K211" s="110">
        <v>310</v>
      </c>
    </row>
    <row r="212" spans="1:13" ht="15" thickBot="1" x14ac:dyDescent="0.4">
      <c r="A212" s="95" t="s">
        <v>539</v>
      </c>
      <c r="B212" s="96"/>
      <c r="C212" s="98"/>
      <c r="D212" s="98"/>
      <c r="E212" s="98"/>
      <c r="F212" s="98"/>
      <c r="G212" s="98"/>
      <c r="H212" s="98"/>
      <c r="I212" s="98"/>
      <c r="J212" s="98"/>
      <c r="K212" s="99"/>
      <c r="M212" s="115"/>
    </row>
    <row r="213" spans="1:13" ht="27" x14ac:dyDescent="0.35">
      <c r="A213" s="100" t="s">
        <v>540</v>
      </c>
      <c r="B213" s="101" t="s">
        <v>472</v>
      </c>
      <c r="C213" s="101" t="s">
        <v>541</v>
      </c>
      <c r="D213" s="102">
        <v>3.6999999999999998E-2</v>
      </c>
      <c r="E213" s="102"/>
      <c r="F213" s="103"/>
      <c r="G213" s="104"/>
      <c r="H213" s="105"/>
      <c r="I213" s="104"/>
      <c r="J213" s="105"/>
      <c r="K213" s="106"/>
      <c r="M213" s="116"/>
    </row>
    <row r="214" spans="1:13" ht="27" x14ac:dyDescent="0.35">
      <c r="A214" s="107" t="s">
        <v>471</v>
      </c>
      <c r="B214" s="88" t="s">
        <v>474</v>
      </c>
      <c r="C214" s="88" t="s">
        <v>473</v>
      </c>
      <c r="D214" s="108">
        <f>D213*TOEperGJ</f>
        <v>8.8372981889999998E-4</v>
      </c>
      <c r="E214" s="108"/>
      <c r="F214" s="109"/>
      <c r="G214" s="109"/>
      <c r="H214" s="109"/>
      <c r="K214" s="110"/>
    </row>
    <row r="215" spans="1:13" ht="27" x14ac:dyDescent="0.35">
      <c r="A215" s="107" t="s">
        <v>471</v>
      </c>
      <c r="B215" s="88" t="s">
        <v>475</v>
      </c>
      <c r="C215" s="88" t="s">
        <v>473</v>
      </c>
      <c r="D215" s="108">
        <f>D213*MWhperGJ</f>
        <v>1.0277777777777778E-2</v>
      </c>
      <c r="E215" s="108"/>
      <c r="F215" s="109"/>
      <c r="G215" s="109"/>
      <c r="H215" s="109"/>
      <c r="K215" s="110"/>
    </row>
    <row r="216" spans="1:13" ht="27" x14ac:dyDescent="0.35">
      <c r="A216" s="107" t="s">
        <v>471</v>
      </c>
      <c r="B216" s="88" t="s">
        <v>476</v>
      </c>
      <c r="C216" s="88" t="s">
        <v>541</v>
      </c>
      <c r="D216" s="108">
        <v>3.3000000000000002E-2</v>
      </c>
      <c r="E216" s="108"/>
      <c r="F216" s="109"/>
      <c r="G216" s="109"/>
      <c r="H216" s="109"/>
      <c r="K216" s="110"/>
    </row>
    <row r="217" spans="1:13" ht="27" x14ac:dyDescent="0.35">
      <c r="A217" s="107" t="s">
        <v>478</v>
      </c>
      <c r="B217" s="88" t="s">
        <v>479</v>
      </c>
      <c r="C217" s="88" t="s">
        <v>480</v>
      </c>
      <c r="D217" s="108">
        <f>$F217*$G217+$H217*$I217+$J217*$K217</f>
        <v>7.1049000000000001E-2</v>
      </c>
      <c r="E217" s="108"/>
      <c r="F217" s="111">
        <f>70800/1000000</f>
        <v>7.0800000000000002E-2</v>
      </c>
      <c r="G217" s="112">
        <v>1</v>
      </c>
      <c r="H217" s="113">
        <f>3/1000000</f>
        <v>3.0000000000000001E-6</v>
      </c>
      <c r="I217" s="88">
        <v>21</v>
      </c>
      <c r="J217" s="113">
        <f>0.6/1000000</f>
        <v>5.9999999999999997E-7</v>
      </c>
      <c r="K217" s="110">
        <v>310</v>
      </c>
    </row>
    <row r="218" spans="1:13" ht="27" x14ac:dyDescent="0.35">
      <c r="A218" s="107" t="s">
        <v>518</v>
      </c>
      <c r="B218" s="88" t="s">
        <v>479</v>
      </c>
      <c r="C218" s="88" t="s">
        <v>480</v>
      </c>
      <c r="D218" s="108">
        <f>$F218*$G218+$H218*$I218+$J218*$K218</f>
        <v>7.1049000000000001E-2</v>
      </c>
      <c r="E218" s="108"/>
      <c r="F218" s="111">
        <f>70800/1000000</f>
        <v>7.0800000000000002E-2</v>
      </c>
      <c r="G218" s="112">
        <v>1</v>
      </c>
      <c r="H218" s="113">
        <f>3/1000000</f>
        <v>3.0000000000000001E-6</v>
      </c>
      <c r="I218" s="88">
        <v>21</v>
      </c>
      <c r="J218" s="113">
        <f>0.6/1000000</f>
        <v>5.9999999999999997E-7</v>
      </c>
      <c r="K218" s="110">
        <v>310</v>
      </c>
    </row>
    <row r="219" spans="1:13" ht="27" x14ac:dyDescent="0.35">
      <c r="A219" s="107" t="s">
        <v>482</v>
      </c>
      <c r="B219" s="88" t="s">
        <v>479</v>
      </c>
      <c r="C219" s="88" t="s">
        <v>480</v>
      </c>
      <c r="D219" s="108">
        <f>$F219*$G219+$H219*$I219+$J219*$K219</f>
        <v>7.1196000000000009E-2</v>
      </c>
      <c r="E219" s="108"/>
      <c r="F219" s="111">
        <f>70800/1000000</f>
        <v>7.0800000000000002E-2</v>
      </c>
      <c r="G219" s="112">
        <v>1</v>
      </c>
      <c r="H219" s="113">
        <f>10/1000000</f>
        <v>1.0000000000000001E-5</v>
      </c>
      <c r="I219" s="88">
        <v>21</v>
      </c>
      <c r="J219" s="113">
        <f>0.6/1000000</f>
        <v>5.9999999999999997E-7</v>
      </c>
      <c r="K219" s="110">
        <v>310</v>
      </c>
    </row>
    <row r="220" spans="1:13" ht="27.5" thickBot="1" x14ac:dyDescent="0.4">
      <c r="A220" s="117" t="s">
        <v>483</v>
      </c>
      <c r="B220" s="118" t="s">
        <v>479</v>
      </c>
      <c r="C220" s="118" t="s">
        <v>480</v>
      </c>
      <c r="D220" s="119">
        <f>$F220*$G220+$H220*$I220+$J220*$K220</f>
        <v>7.1196000000000009E-2</v>
      </c>
      <c r="E220" s="119"/>
      <c r="F220" s="120">
        <f>70800/1000000</f>
        <v>7.0800000000000002E-2</v>
      </c>
      <c r="G220" s="121">
        <v>1</v>
      </c>
      <c r="H220" s="122">
        <f>10/1000000</f>
        <v>1.0000000000000001E-5</v>
      </c>
      <c r="I220" s="118">
        <v>21</v>
      </c>
      <c r="J220" s="122">
        <f>0.6/1000000</f>
        <v>5.9999999999999997E-7</v>
      </c>
      <c r="K220" s="123">
        <v>310</v>
      </c>
    </row>
  </sheetData>
  <mergeCells count="2">
    <mergeCell ref="F2:J2"/>
    <mergeCell ref="F3:J3"/>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workbookViewId="0">
      <selection activeCell="K83" sqref="K83"/>
    </sheetView>
  </sheetViews>
  <sheetFormatPr baseColWidth="10" defaultColWidth="12.58203125" defaultRowHeight="15" customHeight="1" x14ac:dyDescent="0.3"/>
  <cols>
    <col min="1" max="1" width="29" customWidth="1"/>
    <col min="2" max="2" width="11.58203125" bestFit="1" customWidth="1"/>
    <col min="3" max="3" width="12.5" bestFit="1" customWidth="1"/>
    <col min="4" max="4" width="11.58203125" bestFit="1" customWidth="1"/>
    <col min="5" max="5" width="12.33203125" bestFit="1" customWidth="1"/>
    <col min="6" max="6" width="12.5" bestFit="1" customWidth="1"/>
    <col min="7" max="7" width="12.83203125" customWidth="1"/>
    <col min="8" max="8" width="11.08203125" customWidth="1"/>
    <col min="9" max="9" width="10.83203125" customWidth="1"/>
    <col min="10" max="10" width="12.5" bestFit="1" customWidth="1"/>
    <col min="11" max="11" width="11.58203125" bestFit="1" customWidth="1"/>
    <col min="12" max="12" width="12.5" bestFit="1" customWidth="1"/>
    <col min="13" max="13" width="24.5" customWidth="1"/>
    <col min="14" max="14" width="26.5" customWidth="1"/>
    <col min="15" max="26" width="9.33203125" customWidth="1"/>
  </cols>
  <sheetData>
    <row r="1" spans="1:26" ht="42" customHeight="1" x14ac:dyDescent="0.3">
      <c r="A1" s="15" t="s">
        <v>141</v>
      </c>
      <c r="B1" s="15"/>
      <c r="C1" s="15"/>
      <c r="D1" s="15"/>
      <c r="E1" s="15"/>
      <c r="F1" s="15"/>
      <c r="G1" s="15"/>
      <c r="H1" s="15"/>
      <c r="I1" s="15"/>
      <c r="J1" s="15"/>
      <c r="K1" s="16"/>
      <c r="L1" s="16"/>
      <c r="M1" s="16"/>
      <c r="N1" s="16"/>
      <c r="O1" s="15"/>
      <c r="P1" s="15"/>
      <c r="Q1" s="15"/>
      <c r="R1" s="15"/>
      <c r="S1" s="15"/>
      <c r="T1" s="15"/>
      <c r="U1" s="15"/>
      <c r="V1" s="15"/>
      <c r="W1" s="15"/>
      <c r="X1" s="15"/>
      <c r="Y1" s="15"/>
      <c r="Z1" s="15"/>
    </row>
    <row r="2" spans="1:26" ht="31.5" customHeight="1" x14ac:dyDescent="0.3">
      <c r="A2" s="36"/>
      <c r="B2" s="36"/>
      <c r="C2" s="36"/>
      <c r="D2" s="36"/>
      <c r="E2" s="36"/>
      <c r="F2" s="36"/>
      <c r="G2" s="36"/>
      <c r="H2" s="36"/>
      <c r="I2" s="36"/>
      <c r="J2" s="36"/>
      <c r="K2" s="36"/>
      <c r="L2" s="36"/>
      <c r="M2" s="36"/>
      <c r="N2" s="37"/>
      <c r="O2" s="36"/>
      <c r="P2" s="36"/>
      <c r="Q2" s="36"/>
      <c r="R2" s="36"/>
      <c r="S2" s="36"/>
      <c r="T2" s="36"/>
      <c r="U2" s="36"/>
      <c r="V2" s="36"/>
      <c r="W2" s="36"/>
      <c r="X2" s="36"/>
      <c r="Y2" s="36"/>
      <c r="Z2" s="36"/>
    </row>
    <row r="3" spans="1:26" ht="46.5" customHeight="1" x14ac:dyDescent="0.3">
      <c r="A3" s="21" t="s">
        <v>68</v>
      </c>
      <c r="B3" s="38" t="s">
        <v>46</v>
      </c>
      <c r="C3" s="38" t="s">
        <v>48</v>
      </c>
      <c r="D3" s="38" t="s">
        <v>49</v>
      </c>
      <c r="E3" s="38" t="s">
        <v>50</v>
      </c>
      <c r="F3" s="38" t="s">
        <v>51</v>
      </c>
      <c r="G3" s="38" t="s">
        <v>52</v>
      </c>
      <c r="H3" s="38" t="s">
        <v>53</v>
      </c>
      <c r="I3" s="38" t="s">
        <v>54</v>
      </c>
      <c r="J3" s="38" t="s">
        <v>55</v>
      </c>
      <c r="K3" s="38" t="s">
        <v>763</v>
      </c>
      <c r="L3" s="38" t="s">
        <v>648</v>
      </c>
      <c r="M3" s="56" t="s">
        <v>56</v>
      </c>
    </row>
    <row r="4" spans="1:26" ht="40.5" customHeight="1" x14ac:dyDescent="0.35">
      <c r="A4" s="21" t="s">
        <v>58</v>
      </c>
      <c r="B4" s="157">
        <f>IFERROR('Input_Area and Costs'!B25*SUMIF('Input_Area and Costs'!$A$38:$A$44,'Output_Financial savings'!$A17,'Input_Area and Costs'!$D$38:$D$44),0)</f>
        <v>0</v>
      </c>
      <c r="C4" s="157">
        <f>IFERROR('Input_Area and Costs'!C25*SUMIF('Input_Area and Costs'!$A$38:$A$44,'Output_Financial savings'!$A17,'Input_Area and Costs'!$D$38:$D$44),0)</f>
        <v>32079481.140000004</v>
      </c>
      <c r="D4" s="157">
        <f>IFERROR('Input_Area and Costs'!D25*SUMIF('Input_Area and Costs'!$A$38:$A$44,'Output_Financial savings'!$A17,'Input_Area and Costs'!$D$38:$D$44),0)</f>
        <v>2865825.6900000004</v>
      </c>
      <c r="E4" s="157">
        <f>IFERROR('Input_Area and Costs'!E25*SUMIF('Input_Area and Costs'!$A$38:$A$44,'Output_Financial savings'!$A17,'Input_Area and Costs'!$D$38:$D$44),0)</f>
        <v>5355000.0000000009</v>
      </c>
      <c r="F4" s="157">
        <f>IFERROR('Input_Area and Costs'!F25*SUMIF('Input_Area and Costs'!$A$38:$A$44,'Output_Financial savings'!$A17,'Input_Area and Costs'!$D$38:$D$44),0)</f>
        <v>8032500.0000000009</v>
      </c>
      <c r="G4" s="157">
        <f>IFERROR('Input_Area and Costs'!G25*SUMIF('Input_Area and Costs'!$A$38:$A$44,'Output_Financial savings'!$A17,'Input_Area and Costs'!$D$38:$D$44),0)</f>
        <v>8032500.0000000009</v>
      </c>
      <c r="H4" s="157">
        <f>IFERROR('Input_Area and Costs'!H25*SUMIF('Input_Area and Costs'!$A$38:$A$44,'Output_Financial savings'!$A17,'Input_Area and Costs'!$D$38:$D$44),0)</f>
        <v>9817500.0000000019</v>
      </c>
      <c r="I4" s="157">
        <f>IFERROR('Input_Area and Costs'!I25*SUMIF('Input_Area and Costs'!$A$38:$A$44,'Output_Financial savings'!$A17,'Input_Area and Costs'!$D$38:$D$44),0)</f>
        <v>0</v>
      </c>
      <c r="J4" s="157">
        <f>IFERROR('Input_Area and Costs'!J25*SUMIF('Input_Area and Costs'!$A$38:$A$44,'Output_Financial savings'!$A17,'Input_Area and Costs'!$D$38:$D$44),0)</f>
        <v>0</v>
      </c>
      <c r="K4" s="157">
        <f>IFERROR('Input_Area and Costs'!K25*SUMIF('Input_Area and Costs'!$A$38:$A$44,'Output_Financial savings'!$A17,'Input_Area and Costs'!$D$38:$D$44),0)</f>
        <v>0</v>
      </c>
      <c r="L4" s="157">
        <f>IFERROR('Input_Area and Costs'!L25*SUMIF('Input_Area and Costs'!$A$38:$A$44,'Output_Financial savings'!$A17,'Input_Area and Costs'!$D$38:$D$44),0)</f>
        <v>0</v>
      </c>
      <c r="M4" s="157">
        <f t="shared" ref="M4:M10" si="0">SUM(B4:L4)</f>
        <v>66182806.830000006</v>
      </c>
      <c r="N4" s="65"/>
    </row>
    <row r="5" spans="1:26" ht="31.5" customHeight="1" x14ac:dyDescent="0.35">
      <c r="A5" s="21" t="s">
        <v>59</v>
      </c>
      <c r="B5" s="157">
        <f>IFERROR('Input_Area and Costs'!B26*SUMIF('Input_Area and Costs'!$A$38:$A$44,'Output_Financial savings'!$A18,'Input_Area and Costs'!$D$38:$D$44),0)</f>
        <v>0</v>
      </c>
      <c r="C5" s="157">
        <f>IFERROR('Input_Area and Costs'!C26*SUMIF('Input_Area and Costs'!$A$38:$A$44,'Output_Financial savings'!$A18,'Input_Area and Costs'!$D$38:$D$44),0)</f>
        <v>0</v>
      </c>
      <c r="D5" s="157">
        <f>IFERROR('Input_Area and Costs'!D26*SUMIF('Input_Area and Costs'!$A$38:$A$44,'Output_Financial savings'!$A18,'Input_Area and Costs'!$D$38:$D$44),0)</f>
        <v>0</v>
      </c>
      <c r="E5" s="157">
        <f>IFERROR('Input_Area and Costs'!E26*SUMIF('Input_Area and Costs'!$A$38:$A$44,'Output_Financial savings'!$A18,'Input_Area and Costs'!$D$38:$D$44),0)</f>
        <v>0</v>
      </c>
      <c r="F5" s="157">
        <f>IFERROR('Input_Area and Costs'!F26*SUMIF('Input_Area and Costs'!$A$38:$A$44,'Output_Financial savings'!$A18,'Input_Area and Costs'!$D$38:$D$44),0)</f>
        <v>0</v>
      </c>
      <c r="G5" s="157">
        <f>IFERROR('Input_Area and Costs'!G26*SUMIF('Input_Area and Costs'!$A$38:$A$44,'Output_Financial savings'!$A18,'Input_Area and Costs'!$D$38:$D$44),0)</f>
        <v>0</v>
      </c>
      <c r="H5" s="157">
        <f>IFERROR('Input_Area and Costs'!H26*SUMIF('Input_Area and Costs'!$A$38:$A$44,'Output_Financial savings'!$A18,'Input_Area and Costs'!$D$38:$D$44),0)</f>
        <v>0</v>
      </c>
      <c r="I5" s="157">
        <f>IFERROR('Input_Area and Costs'!I26*SUMIF('Input_Area and Costs'!$A$38:$A$44,'Output_Financial savings'!$A18,'Input_Area and Costs'!$D$38:$D$44),0)</f>
        <v>0</v>
      </c>
      <c r="J5" s="157">
        <f>IFERROR('Input_Area and Costs'!J26*SUMIF('Input_Area and Costs'!$A$38:$A$44,'Output_Financial savings'!$A18,'Input_Area and Costs'!$D$38:$D$44),0)</f>
        <v>0</v>
      </c>
      <c r="K5" s="157">
        <f>IFERROR('Input_Area and Costs'!K26*SUMIF('Input_Area and Costs'!$A$38:$A$44,'Output_Financial savings'!$A18,'Input_Area and Costs'!$D$38:$D$44),0)</f>
        <v>0</v>
      </c>
      <c r="L5" s="157">
        <f>IFERROR('Input_Area and Costs'!L26*SUMIF('Input_Area and Costs'!$A$38:$A$44,'Output_Financial savings'!$A18,'Input_Area and Costs'!$D$38:$D$44),0)</f>
        <v>0</v>
      </c>
      <c r="M5" s="157">
        <f t="shared" si="0"/>
        <v>0</v>
      </c>
      <c r="N5" s="65"/>
    </row>
    <row r="6" spans="1:26" ht="31.5" customHeight="1" x14ac:dyDescent="0.35">
      <c r="A6" s="21" t="s">
        <v>60</v>
      </c>
      <c r="B6" s="157">
        <f>IFERROR('Input_Area and Costs'!B27*SUMIF('Input_Area and Costs'!$A$38:$A$44,'Output_Financial savings'!$A19,'Input_Area and Costs'!$D$38:$D$44),0)</f>
        <v>0</v>
      </c>
      <c r="C6" s="157">
        <f>IFERROR('Input_Area and Costs'!C27*SUMIF('Input_Area and Costs'!$A$38:$A$44,'Output_Financial savings'!$A19,'Input_Area and Costs'!$D$38:$D$44),0)</f>
        <v>0</v>
      </c>
      <c r="D6" s="157">
        <f>IFERROR('Input_Area and Costs'!D27*SUMIF('Input_Area and Costs'!$A$38:$A$44,'Output_Financial savings'!$A19,'Input_Area and Costs'!$D$38:$D$44),0)</f>
        <v>0</v>
      </c>
      <c r="E6" s="157">
        <f>IFERROR('Input_Area and Costs'!E27*SUMIF('Input_Area and Costs'!$A$38:$A$44,'Output_Financial savings'!$A19,'Input_Area and Costs'!$D$38:$D$44),0)</f>
        <v>3357500</v>
      </c>
      <c r="F6" s="157">
        <f>IFERROR('Input_Area and Costs'!F27*SUMIF('Input_Area and Costs'!$A$38:$A$44,'Output_Financial savings'!$A19,'Input_Area and Costs'!$D$38:$D$44),0)</f>
        <v>0</v>
      </c>
      <c r="G6" s="157">
        <f>IFERROR('Input_Area and Costs'!G27*SUMIF('Input_Area and Costs'!$A$38:$A$44,'Output_Financial savings'!$A19,'Input_Area and Costs'!$D$38:$D$44),0)</f>
        <v>0</v>
      </c>
      <c r="H6" s="157">
        <f>IFERROR('Input_Area and Costs'!H27*SUMIF('Input_Area and Costs'!$A$38:$A$44,'Output_Financial savings'!$A19,'Input_Area and Costs'!$D$38:$D$44),0)</f>
        <v>0</v>
      </c>
      <c r="I6" s="157">
        <f>IFERROR('Input_Area and Costs'!I27*SUMIF('Input_Area and Costs'!$A$38:$A$44,'Output_Financial savings'!$A19,'Input_Area and Costs'!$D$38:$D$44),0)</f>
        <v>0</v>
      </c>
      <c r="J6" s="157">
        <f>IFERROR('Input_Area and Costs'!J27*SUMIF('Input_Area and Costs'!$A$38:$A$44,'Output_Financial savings'!$A19,'Input_Area and Costs'!$E$38:$E$44),0)</f>
        <v>50000000</v>
      </c>
      <c r="K6" s="157">
        <f>IFERROR('Input_Area and Costs'!K27*SUMIF('Input_Area and Costs'!$A$38:$A$44,'Output_Financial savings'!$A19,'Input_Area and Costs'!$D$38:$D$44),0)</f>
        <v>0</v>
      </c>
      <c r="L6" s="157">
        <f>IFERROR('Input_Area and Costs'!L27*SUMIF('Input_Area and Costs'!$A$38:$A$44,'Output_Financial savings'!$A19,'Input_Area and Costs'!$D$38:$D$44),0)</f>
        <v>0</v>
      </c>
      <c r="M6" s="157">
        <f t="shared" si="0"/>
        <v>53357500</v>
      </c>
      <c r="N6" s="65"/>
    </row>
    <row r="7" spans="1:26" ht="31.5" customHeight="1" x14ac:dyDescent="0.35">
      <c r="A7" s="21" t="s">
        <v>61</v>
      </c>
      <c r="B7" s="157">
        <f>IFERROR('Input_Area and Costs'!B28*SUMIF('Input_Area and Costs'!$A$38:$A$44,'Output_Financial savings'!$A20,'Input_Area and Costs'!$D$38:$D$44),0)</f>
        <v>0</v>
      </c>
      <c r="C7" s="157">
        <f>IFERROR('Input_Area and Costs'!C28*SUMIF('Input_Area and Costs'!$A$38:$A$44,'Output_Financial savings'!$A20,'Input_Area and Costs'!$D$38:$D$44),0)</f>
        <v>1011499.9999999999</v>
      </c>
      <c r="D7" s="157">
        <f>IFERROR('Input_Area and Costs'!D28*SUMIF('Input_Area and Costs'!$A$38:$A$44,'Output_Financial savings'!$A20,'Input_Area and Costs'!$D$38:$D$44),0)</f>
        <v>0</v>
      </c>
      <c r="E7" s="157">
        <f>IFERROR('Input_Area and Costs'!E28*SUMIF('Input_Area and Costs'!$A$38:$A$44,'Output_Financial savings'!$A20,'Input_Area and Costs'!$D$38:$D$44),0)</f>
        <v>0</v>
      </c>
      <c r="F7" s="157">
        <f>IFERROR('Input_Area and Costs'!F28*SUMIF('Input_Area and Costs'!$A$38:$A$44,'Output_Financial savings'!$A20,'Input_Area and Costs'!$D$38:$D$44),0)</f>
        <v>0</v>
      </c>
      <c r="G7" s="157">
        <f>IFERROR('Input_Area and Costs'!G28*SUMIF('Input_Area and Costs'!$A$38:$A$44,'Output_Financial savings'!$A20,'Input_Area and Costs'!$D$38:$D$44),0)</f>
        <v>0</v>
      </c>
      <c r="H7" s="157">
        <f>IFERROR('Input_Area and Costs'!H28*SUMIF('Input_Area and Costs'!$A$38:$A$44,'Output_Financial savings'!$A20,'Input_Area and Costs'!$D$38:$D$44),0)</f>
        <v>0</v>
      </c>
      <c r="I7" s="157">
        <f>IFERROR('Input_Area and Costs'!I28*SUMIF('Input_Area and Costs'!$A$38:$A$44,'Output_Financial savings'!$A20,'Input_Area and Costs'!$D$38:$D$44),0)</f>
        <v>0</v>
      </c>
      <c r="J7" s="157">
        <f>IFERROR('Input_Area and Costs'!J28*SUMIF('Input_Area and Costs'!$A$38:$A$44,'Output_Financial savings'!$A20,'Input_Area and Costs'!$D$38:$D$44),0)</f>
        <v>0</v>
      </c>
      <c r="K7" s="157">
        <f>IFERROR('Input_Area and Costs'!K28*SUMIF('Input_Area and Costs'!$A$38:$A$44,'Output_Financial savings'!$A20,'Input_Area and Costs'!$D$38:$D$44),0)</f>
        <v>1274999.9999999998</v>
      </c>
      <c r="L7" s="157">
        <f>IFERROR('Input_Area and Costs'!L28*SUMIF('Input_Area and Costs'!$A$38:$A$44,'Output_Financial savings'!$A20,'Input_Area and Costs'!$D$38:$D$44),0)</f>
        <v>0</v>
      </c>
      <c r="M7" s="157">
        <f t="shared" si="0"/>
        <v>2286499.9999999995</v>
      </c>
      <c r="N7" s="65"/>
    </row>
    <row r="8" spans="1:26" ht="31.5" customHeight="1" x14ac:dyDescent="0.35">
      <c r="A8" s="21" t="s">
        <v>62</v>
      </c>
      <c r="B8" s="157">
        <f>IFERROR('Input_Area and Costs'!B29*SUMIF('Input_Area and Costs'!$A$38:$A$44,'Output_Financial savings'!$A21,'Input_Area and Costs'!$E$38:$E$44),0)</f>
        <v>5250000</v>
      </c>
      <c r="C8" s="157">
        <f>IFERROR('Input_Area and Costs'!C29*SUMIF('Input_Area and Costs'!$A$38:$A$44,'Output_Financial savings'!$A21,'Input_Area and Costs'!$D$38:$D$44),0)</f>
        <v>0</v>
      </c>
      <c r="D8" s="157">
        <f>IFERROR('Input_Area and Costs'!D29*SUMIF('Input_Area and Costs'!$A$38:$A$44,'Output_Financial savings'!$A21,'Input_Area and Costs'!$D$38:$D$44),0)</f>
        <v>0</v>
      </c>
      <c r="E8" s="157">
        <f>IFERROR('Input_Area and Costs'!E29*SUMIF('Input_Area and Costs'!$A$38:$A$44,'Output_Financial savings'!$A21,'Input_Area and Costs'!$D$38:$D$44),0)</f>
        <v>0</v>
      </c>
      <c r="F8" s="157">
        <f>IFERROR('Input_Area and Costs'!F29*SUMIF('Input_Area and Costs'!$A$38:$A$44,'Output_Financial savings'!$A21,'Input_Area and Costs'!$D$38:$D$44),0)</f>
        <v>0</v>
      </c>
      <c r="G8" s="157">
        <f>IFERROR('Input_Area and Costs'!G29*SUMIF('Input_Area and Costs'!$A$38:$A$44,'Output_Financial savings'!$A21,'Input_Area and Costs'!$D$38:$D$44),0)</f>
        <v>3276000.0000000005</v>
      </c>
      <c r="H8" s="157">
        <f>IFERROR('Input_Area and Costs'!H29*SUMIF('Input_Area and Costs'!$A$38:$A$44,'Output_Financial savings'!$A21,'Input_Area and Costs'!$D$38:$D$44),0)</f>
        <v>0</v>
      </c>
      <c r="I8" s="157">
        <f>IFERROR('Input_Area and Costs'!I29*SUMIF('Input_Area and Costs'!$A$38:$A$44,'Output_Financial savings'!$A21,'Input_Area and Costs'!$D$38:$D$44),0)</f>
        <v>551250</v>
      </c>
      <c r="J8" s="157">
        <f>IFERROR('Input_Area and Costs'!J29*SUMIF('Input_Area and Costs'!$A$38:$A$44,'Output_Financial savings'!$A21,'Input_Area and Costs'!$D$38:$D$44),0)</f>
        <v>0</v>
      </c>
      <c r="K8" s="157">
        <f>IFERROR('Input_Area and Costs'!K29*SUMIF('Input_Area and Costs'!$A$38:$A$44,'Output_Financial savings'!$A21,'Input_Area and Costs'!$D$38:$D$44),0)</f>
        <v>0</v>
      </c>
      <c r="L8" s="157">
        <f>IFERROR('Input_Area and Costs'!L29*SUMIF('Input_Area and Costs'!$A$38:$A$44,'Output_Financial savings'!$A21,'Input_Area and Costs'!$D$38:$D$44),0)</f>
        <v>0</v>
      </c>
      <c r="M8" s="157">
        <f t="shared" si="0"/>
        <v>9077250</v>
      </c>
      <c r="N8" s="65"/>
    </row>
    <row r="9" spans="1:26" ht="31.5" customHeight="1" x14ac:dyDescent="0.35">
      <c r="A9" s="21" t="s">
        <v>63</v>
      </c>
      <c r="B9" s="157">
        <f>IFERROR('Input_Area and Costs'!B30*SUMIF('Input_Area and Costs'!$A$38:$A$44,'Output_Financial savings'!$A22,'Input_Area and Costs'!$D$38:$D$44),0)</f>
        <v>0</v>
      </c>
      <c r="C9" s="157">
        <f>IFERROR('Input_Area and Costs'!C30*SUMIF('Input_Area and Costs'!$A$38:$A$44,'Output_Financial savings'!$A22,'Input_Area and Costs'!$D$38:$D$44),0)</f>
        <v>0</v>
      </c>
      <c r="D9" s="157">
        <f>IFERROR('Input_Area and Costs'!D30*SUMIF('Input_Area and Costs'!$A$38:$A$44,'Output_Financial savings'!$A22,'Input_Area and Costs'!$D$38:$D$44),0)</f>
        <v>0</v>
      </c>
      <c r="E9" s="157">
        <f>IFERROR('Input_Area and Costs'!E30*SUMIF('Input_Area and Costs'!$A$38:$A$44,'Output_Financial savings'!$A22,'Input_Area and Costs'!$D$38:$D$44),0)</f>
        <v>0</v>
      </c>
      <c r="F9" s="157">
        <f>IFERROR('Input_Area and Costs'!F30*SUMIF('Input_Area and Costs'!$A$38:$A$44,'Output_Financial savings'!$A22,'Input_Area and Costs'!$D$38:$D$44),0)</f>
        <v>0</v>
      </c>
      <c r="G9" s="157">
        <f>IFERROR('Input_Area and Costs'!G30*SUMIF('Input_Area and Costs'!$A$38:$A$44,'Output_Financial savings'!$A22,'Input_Area and Costs'!$D$38:$D$44),0)</f>
        <v>0</v>
      </c>
      <c r="H9" s="157">
        <f>IFERROR('Input_Area and Costs'!H30*SUMIF('Input_Area and Costs'!$A$38:$A$44,'Output_Financial savings'!$A22,'Input_Area and Costs'!$D$38:$D$44),0)</f>
        <v>0</v>
      </c>
      <c r="I9" s="157">
        <f>IFERROR('Input_Area and Costs'!I30*SUMIF('Input_Area and Costs'!$A$38:$A$44,'Output_Financial savings'!$A22,'Input_Area and Costs'!$D$38:$D$44),0)</f>
        <v>0</v>
      </c>
      <c r="J9" s="157">
        <f>IFERROR('Input_Area and Costs'!J30*SUMIF('Input_Area and Costs'!$A$38:$A$44,'Output_Financial savings'!$A22,'Input_Area and Costs'!$D$38:$D$44),0)</f>
        <v>0</v>
      </c>
      <c r="K9" s="157">
        <f>IFERROR('Input_Area and Costs'!K30*SUMIF('Input_Area and Costs'!$A$38:$A$44,'Output_Financial savings'!$A22,'Input_Area and Costs'!$D$38:$D$44),0)</f>
        <v>0</v>
      </c>
      <c r="L9" s="157">
        <f>IFERROR('Input_Area and Costs'!L30*SUMIF('Input_Area and Costs'!$A$38:$A$44,'Output_Financial savings'!$A22,'Input_Area and Costs'!$D$38:$D$44),0)</f>
        <v>0</v>
      </c>
      <c r="M9" s="157">
        <f t="shared" si="0"/>
        <v>0</v>
      </c>
      <c r="N9" s="65"/>
    </row>
    <row r="10" spans="1:26" ht="31.5" customHeight="1" x14ac:dyDescent="0.35">
      <c r="A10" s="21" t="s">
        <v>64</v>
      </c>
      <c r="B10" s="157">
        <f>IFERROR('Input_Area and Costs'!B31*SUMIF('Input_Area and Costs'!$A$38:$A$44,'Output_Financial savings'!$A23,'Input_Area and Costs'!$D$38:$D$44),0)</f>
        <v>0</v>
      </c>
      <c r="C10" s="157">
        <f>IFERROR('Input_Area and Costs'!C31*SUMIF('Input_Area and Costs'!$A$38:$A$44,'Output_Financial savings'!$A23,'Input_Area and Costs'!$D$38:$D$44),0)</f>
        <v>0</v>
      </c>
      <c r="D10" s="157">
        <f>IFERROR('Input_Area and Costs'!D31*SUMIF('Input_Area and Costs'!$A$38:$A$44,'Output_Financial savings'!$A23,'Input_Area and Costs'!$D$38:$D$44),0)</f>
        <v>909999.99999999988</v>
      </c>
      <c r="E10" s="157">
        <f>IFERROR('Input_Area and Costs'!E31*SUMIF('Input_Area and Costs'!$A$38:$A$44,'Output_Financial savings'!$A23,'Input_Area and Costs'!$D$38:$D$44),0)</f>
        <v>0</v>
      </c>
      <c r="F10" s="157">
        <f>IFERROR('Input_Area and Costs'!F31*SUMIF('Input_Area and Costs'!$A$38:$A$44,'Output_Financial savings'!$A23,'Input_Area and Costs'!$D$38:$D$44),0)</f>
        <v>0</v>
      </c>
      <c r="G10" s="157">
        <f>IFERROR('Input_Area and Costs'!G31*SUMIF('Input_Area and Costs'!$A$38:$A$44,'Output_Financial savings'!$A23,'Input_Area and Costs'!$D$38:$D$44),0)</f>
        <v>0</v>
      </c>
      <c r="H10" s="157">
        <f>IFERROR('Input_Area and Costs'!H31*SUMIF('Input_Area and Costs'!$A$38:$A$44,'Output_Financial savings'!$A23,'Input_Area and Costs'!$D$38:$D$44),0)</f>
        <v>0</v>
      </c>
      <c r="I10" s="157">
        <f>IFERROR('Input_Area and Costs'!I31*SUMIF('Input_Area and Costs'!$A$38:$A$44,'Output_Financial savings'!$A23,'Input_Area and Costs'!$D$38:$D$44),0)</f>
        <v>0</v>
      </c>
      <c r="J10" s="157">
        <f>IFERROR('Input_Area and Costs'!J31*SUMIF('Input_Area and Costs'!$A$38:$A$44,'Output_Financial savings'!$A23,'Input_Area and Costs'!$D$38:$D$44),0)</f>
        <v>0</v>
      </c>
      <c r="K10" s="157">
        <f>IFERROR('Input_Area and Costs'!K31*SUMIF('Input_Area and Costs'!$A$38:$A$44,'Output_Financial savings'!$A23,'Input_Area and Costs'!$D$38:$D$44),0)</f>
        <v>0</v>
      </c>
      <c r="L10" s="157">
        <f>IFERROR('Input_Area and Costs'!L31*SUMIF('Input_Area and Costs'!$A$38:$A$44,'Output_Financial savings'!$A23,'Input_Area and Costs'!$E$38:$E$44),0)</f>
        <v>50000000</v>
      </c>
      <c r="M10" s="167">
        <f t="shared" si="0"/>
        <v>50910000</v>
      </c>
      <c r="N10" s="65"/>
    </row>
    <row r="11" spans="1:26" ht="31.5" customHeight="1" x14ac:dyDescent="0.3">
      <c r="A11" s="42"/>
      <c r="B11" s="42"/>
      <c r="C11" s="42"/>
      <c r="D11" s="42"/>
      <c r="E11" s="42"/>
      <c r="F11" s="42"/>
      <c r="G11" s="42"/>
      <c r="H11" s="42"/>
      <c r="I11" s="42"/>
      <c r="J11" s="42"/>
      <c r="K11" s="42"/>
      <c r="L11" s="52"/>
      <c r="M11" s="157">
        <f>SUM(M4:M10)</f>
        <v>181814056.83000001</v>
      </c>
      <c r="N11" s="46" t="s">
        <v>142</v>
      </c>
    </row>
    <row r="12" spans="1:26" ht="31.5" customHeight="1" x14ac:dyDescent="0.3">
      <c r="A12" s="42"/>
      <c r="B12" s="42"/>
      <c r="C12" s="42"/>
      <c r="D12" s="42"/>
      <c r="E12" s="42"/>
      <c r="F12" s="42"/>
      <c r="G12" s="42"/>
      <c r="H12" s="42"/>
      <c r="I12" s="42"/>
      <c r="J12" s="42"/>
      <c r="K12" s="42"/>
      <c r="L12" s="52"/>
      <c r="M12" s="23">
        <f>M11/'Input_Area and Costs'!$M$32</f>
        <v>0.19109909439843509</v>
      </c>
      <c r="N12" s="66" t="s">
        <v>143</v>
      </c>
    </row>
    <row r="13" spans="1:26" ht="22.5" customHeight="1" x14ac:dyDescent="0.35">
      <c r="K13" s="17"/>
      <c r="L13" s="17"/>
      <c r="M13" s="17"/>
      <c r="N13" s="17"/>
    </row>
    <row r="14" spans="1:26" ht="42" customHeight="1" x14ac:dyDescent="0.3">
      <c r="A14" s="15" t="s">
        <v>144</v>
      </c>
      <c r="B14" s="15"/>
      <c r="C14" s="15"/>
      <c r="D14" s="15"/>
      <c r="E14" s="15"/>
      <c r="F14" s="15"/>
      <c r="G14" s="15"/>
      <c r="H14" s="15"/>
      <c r="I14" s="15"/>
      <c r="J14" s="15"/>
      <c r="K14" s="16"/>
      <c r="L14" s="16"/>
      <c r="M14" s="16"/>
      <c r="N14" s="16"/>
      <c r="O14" s="15"/>
      <c r="P14" s="15"/>
      <c r="Q14" s="15"/>
      <c r="R14" s="15"/>
      <c r="S14" s="15"/>
      <c r="T14" s="15"/>
      <c r="U14" s="15"/>
      <c r="V14" s="15"/>
      <c r="W14" s="15"/>
      <c r="X14" s="15"/>
      <c r="Y14" s="15"/>
      <c r="Z14" s="15"/>
    </row>
    <row r="15" spans="1:26" ht="14.5" x14ac:dyDescent="0.35">
      <c r="K15" s="17"/>
      <c r="L15" s="17"/>
      <c r="M15" s="17"/>
      <c r="N15" s="17"/>
    </row>
    <row r="16" spans="1:26" ht="52.5" customHeight="1" x14ac:dyDescent="0.3">
      <c r="A16" s="21" t="s">
        <v>145</v>
      </c>
      <c r="B16" s="38" t="s">
        <v>46</v>
      </c>
      <c r="C16" s="38" t="s">
        <v>48</v>
      </c>
      <c r="D16" s="38" t="s">
        <v>49</v>
      </c>
      <c r="E16" s="38" t="s">
        <v>50</v>
      </c>
      <c r="F16" s="38" t="s">
        <v>51</v>
      </c>
      <c r="G16" s="38" t="s">
        <v>52</v>
      </c>
      <c r="H16" s="38" t="s">
        <v>53</v>
      </c>
      <c r="I16" s="38" t="s">
        <v>54</v>
      </c>
      <c r="J16" s="38" t="s">
        <v>55</v>
      </c>
      <c r="K16" s="38" t="s">
        <v>763</v>
      </c>
      <c r="L16" s="38" t="s">
        <v>648</v>
      </c>
      <c r="M16" s="56" t="s">
        <v>56</v>
      </c>
    </row>
    <row r="17" spans="1:26" ht="36" customHeight="1" x14ac:dyDescent="0.35">
      <c r="A17" s="21" t="s">
        <v>58</v>
      </c>
      <c r="B17" s="157">
        <f>IFERROR('Input_Area and Costs'!B25*SUMIF('Input_Area and Costs'!$A$48:$A$54,'Output_Financial savings'!$A17,'Input_Area and Costs'!$D$48:$D$54),0)</f>
        <v>0</v>
      </c>
      <c r="C17" s="157">
        <f>IFERROR('Input_Area and Costs'!C25*SUMIF('Input_Area and Costs'!$A$48:$A$54,'Output_Financial savings'!$A17,'Input_Area and Costs'!$D$48:$D$54),0)</f>
        <v>16803537.739999998</v>
      </c>
      <c r="D17" s="157">
        <f>IFERROR('Input_Area and Costs'!D25*SUMIF('Input_Area and Costs'!$A$48:$A$54,'Output_Financial savings'!$A17,'Input_Area and Costs'!$D$48:$D$54),0)</f>
        <v>1501146.79</v>
      </c>
      <c r="E17" s="157">
        <f>IFERROR('Input_Area and Costs'!E25*SUMIF('Input_Area and Costs'!$A$48:$A$54,'Output_Financial savings'!$A17,'Input_Area and Costs'!$D$48:$D$54),0)</f>
        <v>2805000</v>
      </c>
      <c r="F17" s="157">
        <f>IFERROR('Input_Area and Costs'!F25*SUMIF('Input_Area and Costs'!$A$48:$A$54,'Output_Financial savings'!$A17,'Input_Area and Costs'!$D$48:$D$54),0)</f>
        <v>4207500</v>
      </c>
      <c r="G17" s="157">
        <f>IFERROR('Input_Area and Costs'!G25*SUMIF('Input_Area and Costs'!$A$48:$A$54,'Output_Financial savings'!$A17,'Input_Area and Costs'!$D$48:$D$54),0)</f>
        <v>4207500</v>
      </c>
      <c r="H17" s="157">
        <f>IFERROR('Input_Area and Costs'!H25*SUMIF('Input_Area and Costs'!$A$48:$A$54,'Output_Financial savings'!$A17,'Input_Area and Costs'!$D$48:$D$54),0)</f>
        <v>5142500</v>
      </c>
      <c r="I17" s="157">
        <f>IFERROR('Input_Area and Costs'!I25*SUMIF('Input_Area and Costs'!$A$48:$A$54,'Output_Financial savings'!$A17,'Input_Area and Costs'!$D$48:$D$54),0)</f>
        <v>0</v>
      </c>
      <c r="J17" s="157">
        <f>IFERROR('Input_Area and Costs'!J25*SUMIF('Input_Area and Costs'!$A$48:$A$54,'Output_Financial savings'!$A17,'Input_Area and Costs'!$D$48:$D$54),0)</f>
        <v>0</v>
      </c>
      <c r="K17" s="157">
        <f>IFERROR('Input_Area and Costs'!K25*SUMIF('Input_Area and Costs'!$A$48:$A$54,'Output_Financial savings'!$A17,'Input_Area and Costs'!$D$48:$D$54),0)</f>
        <v>0</v>
      </c>
      <c r="L17" s="157">
        <f>IFERROR('Input_Area and Costs'!L25*SUMIF('Input_Area and Costs'!$A$48:$A$54,'Output_Financial savings'!$A17,'Input_Area and Costs'!$D$48:$D$54),0)</f>
        <v>0</v>
      </c>
      <c r="M17" s="157">
        <f t="shared" ref="M17:M23" si="1">SUM(B17:L17)</f>
        <v>34667184.530000001</v>
      </c>
      <c r="N17" s="67"/>
    </row>
    <row r="18" spans="1:26" ht="28.5" customHeight="1" x14ac:dyDescent="0.35">
      <c r="A18" s="21" t="s">
        <v>59</v>
      </c>
      <c r="B18" s="157">
        <f>IFERROR('Input_Area and Costs'!B26*SUMIF('Input_Area and Costs'!$A$48:$A$54,'Output_Financial savings'!$A18,'Input_Area and Costs'!$D$48:$D$54),0)</f>
        <v>0</v>
      </c>
      <c r="C18" s="157">
        <f>IFERROR('Input_Area and Costs'!C26*SUMIF('Input_Area and Costs'!$A$48:$A$54,'Output_Financial savings'!$A18,'Input_Area and Costs'!$D$48:$D$54),0)</f>
        <v>0</v>
      </c>
      <c r="D18" s="157">
        <f>IFERROR('Input_Area and Costs'!D26*SUMIF('Input_Area and Costs'!$A$48:$A$54,'Output_Financial savings'!$A18,'Input_Area and Costs'!$D$48:$D$54),0)</f>
        <v>0</v>
      </c>
      <c r="E18" s="157">
        <f>IFERROR('Input_Area and Costs'!E26*SUMIF('Input_Area and Costs'!$A$48:$A$54,'Output_Financial savings'!$A18,'Input_Area and Costs'!$D$48:$D$54),0)</f>
        <v>0</v>
      </c>
      <c r="F18" s="157">
        <f>IFERROR('Input_Area and Costs'!F26*SUMIF('Input_Area and Costs'!$A$48:$A$54,'Output_Financial savings'!$A18,'Input_Area and Costs'!$D$48:$D$54),0)</f>
        <v>0</v>
      </c>
      <c r="G18" s="157">
        <f>IFERROR('Input_Area and Costs'!G26*SUMIF('Input_Area and Costs'!$A$48:$A$54,'Output_Financial savings'!$A18,'Input_Area and Costs'!$D$48:$D$54),0)</f>
        <v>0</v>
      </c>
      <c r="H18" s="157">
        <f>IFERROR('Input_Area and Costs'!H26*SUMIF('Input_Area and Costs'!$A$48:$A$54,'Output_Financial savings'!$A18,'Input_Area and Costs'!$D$48:$D$54),0)</f>
        <v>0</v>
      </c>
      <c r="I18" s="157">
        <f>IFERROR('Input_Area and Costs'!I26*SUMIF('Input_Area and Costs'!$A$48:$A$54,'Output_Financial savings'!$A18,'Input_Area and Costs'!$D$48:$D$54),0)</f>
        <v>0</v>
      </c>
      <c r="J18" s="157">
        <f>IFERROR('Input_Area and Costs'!J26*SUMIF('Input_Area and Costs'!$A$48:$A$54,'Output_Financial savings'!$A18,'Input_Area and Costs'!$D$48:$D$54),0)</f>
        <v>0</v>
      </c>
      <c r="K18" s="157">
        <f>IFERROR('Input_Area and Costs'!K26*SUMIF('Input_Area and Costs'!$A$48:$A$54,'Output_Financial savings'!$A18,'Input_Area and Costs'!$D$48:$D$54),0)</f>
        <v>0</v>
      </c>
      <c r="L18" s="157">
        <f>IFERROR('Input_Area and Costs'!L26*SUMIF('Input_Area and Costs'!$A$48:$A$54,'Output_Financial savings'!$A18,'Input_Area and Costs'!$D$48:$D$54),0)</f>
        <v>0</v>
      </c>
      <c r="M18" s="157">
        <f t="shared" si="1"/>
        <v>0</v>
      </c>
      <c r="N18" s="17"/>
    </row>
    <row r="19" spans="1:26" ht="28.5" customHeight="1" x14ac:dyDescent="0.35">
      <c r="A19" s="21" t="s">
        <v>60</v>
      </c>
      <c r="B19" s="157">
        <f>IFERROR('Input_Area and Costs'!B27*SUMIF('Input_Area and Costs'!$A$48:$A$54,'Output_Financial savings'!$A19,'Input_Area and Costs'!$D$48:$D$54),0)</f>
        <v>0</v>
      </c>
      <c r="C19" s="157">
        <f>IFERROR('Input_Area and Costs'!C27*SUMIF('Input_Area and Costs'!$A$48:$A$54,'Output_Financial savings'!$A19,'Input_Area and Costs'!$D$48:$D$54),0)</f>
        <v>0</v>
      </c>
      <c r="D19" s="157">
        <f>IFERROR('Input_Area and Costs'!D27*SUMIF('Input_Area and Costs'!$A$48:$A$54,'Output_Financial savings'!$A19,'Input_Area and Costs'!$D$48:$D$54),0)</f>
        <v>0</v>
      </c>
      <c r="E19" s="157">
        <f>IFERROR('Input_Area and Costs'!E27*SUMIF('Input_Area and Costs'!$A$48:$A$54,'Output_Financial savings'!$A19,'Input_Area and Costs'!$D$48:$D$54),0)</f>
        <v>2014500</v>
      </c>
      <c r="F19" s="157">
        <f>IFERROR('Input_Area and Costs'!F27*SUMIF('Input_Area and Costs'!$A$48:$A$54,'Output_Financial savings'!$A19,'Input_Area and Costs'!$D$48:$D$54),0)</f>
        <v>0</v>
      </c>
      <c r="G19" s="157">
        <f>IFERROR('Input_Area and Costs'!G27*SUMIF('Input_Area and Costs'!$A$48:$A$54,'Output_Financial savings'!$A19,'Input_Area and Costs'!$D$48:$D$54),0)</f>
        <v>0</v>
      </c>
      <c r="H19" s="157">
        <f>IFERROR('Input_Area and Costs'!H27*SUMIF('Input_Area and Costs'!$A$48:$A$54,'Output_Financial savings'!$A19,'Input_Area and Costs'!$D$48:$D$54),0)</f>
        <v>0</v>
      </c>
      <c r="I19" s="157">
        <f>IFERROR('Input_Area and Costs'!I27*SUMIF('Input_Area and Costs'!$A$48:$A$54,'Output_Financial savings'!$A19,'Input_Area and Costs'!$D$48:$D$54),0)</f>
        <v>0</v>
      </c>
      <c r="J19" s="157">
        <f>IFERROR('Input_Area and Costs'!J27*SUMIF('Input_Area and Costs'!$A$48:$A$54,'Output_Financial savings'!$A19,'Input_Area and Costs'!$E$48:$E$54),0)</f>
        <v>35000000</v>
      </c>
      <c r="K19" s="157">
        <f>IFERROR('Input_Area and Costs'!K27*SUMIF('Input_Area and Costs'!$A$48:$A$54,'Output_Financial savings'!$A19,'Input_Area and Costs'!$D$48:$D$54),0)</f>
        <v>0</v>
      </c>
      <c r="L19" s="157">
        <f>IFERROR('Input_Area and Costs'!L27*SUMIF('Input_Area and Costs'!$A$48:$A$54,'Output_Financial savings'!$A19,'Input_Area and Costs'!$D$48:$D$54),0)</f>
        <v>0</v>
      </c>
      <c r="M19" s="157">
        <f t="shared" si="1"/>
        <v>37014500</v>
      </c>
      <c r="N19" s="17"/>
    </row>
    <row r="20" spans="1:26" ht="28.5" customHeight="1" x14ac:dyDescent="0.35">
      <c r="A20" s="21" t="s">
        <v>61</v>
      </c>
      <c r="B20" s="157">
        <f>IFERROR('Input_Area and Costs'!B28*SUMIF('Input_Area and Costs'!$A$48:$A$54,'Output_Financial savings'!$A20,'Input_Area and Costs'!$D$48:$D$54),0)</f>
        <v>0</v>
      </c>
      <c r="C20" s="157">
        <f>IFERROR('Input_Area and Costs'!C28*SUMIF('Input_Area and Costs'!$A$48:$A$54,'Output_Financial savings'!$A20,'Input_Area and Costs'!$D$48:$D$54),0)</f>
        <v>416500.00000000006</v>
      </c>
      <c r="D20" s="157">
        <f>IFERROR('Input_Area and Costs'!D28*SUMIF('Input_Area and Costs'!$A$48:$A$54,'Output_Financial savings'!$A20,'Input_Area and Costs'!$D$48:$D$54),0)</f>
        <v>0</v>
      </c>
      <c r="E20" s="157">
        <f>IFERROR('Input_Area and Costs'!E28*SUMIF('Input_Area and Costs'!$A$48:$A$54,'Output_Financial savings'!$A20,'Input_Area and Costs'!$D$48:$D$54),0)</f>
        <v>0</v>
      </c>
      <c r="F20" s="157">
        <f>IFERROR('Input_Area and Costs'!F28*SUMIF('Input_Area and Costs'!$A$48:$A$54,'Output_Financial savings'!$A20,'Input_Area and Costs'!$D$48:$D$54),0)</f>
        <v>0</v>
      </c>
      <c r="G20" s="157">
        <f>IFERROR('Input_Area and Costs'!G28*SUMIF('Input_Area and Costs'!$A$48:$A$54,'Output_Financial savings'!$A20,'Input_Area and Costs'!$D$48:$D$54),0)</f>
        <v>0</v>
      </c>
      <c r="H20" s="157">
        <f>IFERROR('Input_Area and Costs'!H28*SUMIF('Input_Area and Costs'!$A$48:$A$54,'Output_Financial savings'!$A20,'Input_Area and Costs'!$D$48:$D$54),0)</f>
        <v>0</v>
      </c>
      <c r="I20" s="157">
        <f>IFERROR('Input_Area and Costs'!I28*SUMIF('Input_Area and Costs'!$A$48:$A$54,'Output_Financial savings'!$A20,'Input_Area and Costs'!$D$48:$D$54),0)</f>
        <v>0</v>
      </c>
      <c r="J20" s="157">
        <f>IFERROR('Input_Area and Costs'!J28*SUMIF('Input_Area and Costs'!$A$48:$A$54,'Output_Financial savings'!$A20,'Input_Area and Costs'!$D$48:$D$54),0)</f>
        <v>0</v>
      </c>
      <c r="K20" s="157">
        <f>IFERROR('Input_Area and Costs'!K28*SUMIF('Input_Area and Costs'!$A$48:$A$54,'Output_Financial savings'!$A20,'Input_Area and Costs'!$D$48:$D$54),0)</f>
        <v>525000</v>
      </c>
      <c r="L20" s="157">
        <f>IFERROR('Input_Area and Costs'!L28*SUMIF('Input_Area and Costs'!$A$48:$A$54,'Output_Financial savings'!$A20,'Input_Area and Costs'!$D$48:$D$54),0)</f>
        <v>0</v>
      </c>
      <c r="M20" s="157">
        <f t="shared" si="1"/>
        <v>941500</v>
      </c>
      <c r="N20" s="17"/>
    </row>
    <row r="21" spans="1:26" ht="28.5" customHeight="1" x14ac:dyDescent="0.35">
      <c r="A21" s="21" t="s">
        <v>62</v>
      </c>
      <c r="B21" s="157">
        <f>IFERROR('Input_Area and Costs'!B29*SUMIF('Input_Area and Costs'!$A$48:$A$54,'Output_Financial savings'!$A21,'Input_Area and Costs'!$E$48:$E$54),0)</f>
        <v>3674999.9999999995</v>
      </c>
      <c r="C21" s="157">
        <f>IFERROR('Input_Area and Costs'!C29*SUMIF('Input_Area and Costs'!$A$48:$A$54,'Output_Financial savings'!$A21,'Input_Area and Costs'!$D$48:$D$54),0)</f>
        <v>0</v>
      </c>
      <c r="D21" s="157">
        <f>IFERROR('Input_Area and Costs'!D29*SUMIF('Input_Area and Costs'!$A$48:$A$54,'Output_Financial savings'!$A21,'Input_Area and Costs'!$D$48:$D$54),0)</f>
        <v>0</v>
      </c>
      <c r="E21" s="157">
        <f>IFERROR('Input_Area and Costs'!E29*SUMIF('Input_Area and Costs'!$A$48:$A$54,'Output_Financial savings'!$A21,'Input_Area and Costs'!$D$48:$D$54),0)</f>
        <v>0</v>
      </c>
      <c r="F21" s="157">
        <f>IFERROR('Input_Area and Costs'!F29*SUMIF('Input_Area and Costs'!$A$48:$A$54,'Output_Financial savings'!$A21,'Input_Area and Costs'!$D$48:$D$54),0)</f>
        <v>0</v>
      </c>
      <c r="G21" s="157">
        <f>IFERROR('Input_Area and Costs'!G29*SUMIF('Input_Area and Costs'!$A$48:$A$54,'Output_Financial savings'!$A21,'Input_Area and Costs'!$D$48:$D$54),0)</f>
        <v>1092000</v>
      </c>
      <c r="H21" s="157">
        <f>IFERROR('Input_Area and Costs'!H29*SUMIF('Input_Area and Costs'!$A$48:$A$54,'Output_Financial savings'!$A21,'Input_Area and Costs'!$D$48:$D$54),0)</f>
        <v>0</v>
      </c>
      <c r="I21" s="157">
        <f>IFERROR('Input_Area and Costs'!I29*SUMIF('Input_Area and Costs'!$A$48:$A$54,'Output_Financial savings'!$A21,'Input_Area and Costs'!$D$48:$D$54),0)</f>
        <v>183749.99999999997</v>
      </c>
      <c r="J21" s="157">
        <f>IFERROR('Input_Area and Costs'!J29*SUMIF('Input_Area and Costs'!$A$48:$A$54,'Output_Financial savings'!$A21,'Input_Area and Costs'!$D$48:$D$54),0)</f>
        <v>0</v>
      </c>
      <c r="K21" s="157">
        <f>IFERROR('Input_Area and Costs'!K29*SUMIF('Input_Area and Costs'!$A$48:$A$54,'Output_Financial savings'!$A21,'Input_Area and Costs'!$D$48:$D$54),0)</f>
        <v>0</v>
      </c>
      <c r="L21" s="157">
        <f>IFERROR('Input_Area and Costs'!L29*SUMIF('Input_Area and Costs'!$A$48:$A$54,'Output_Financial savings'!$A21,'Input_Area and Costs'!$D$48:$D$54),0)</f>
        <v>0</v>
      </c>
      <c r="M21" s="157">
        <f t="shared" si="1"/>
        <v>4950750</v>
      </c>
      <c r="N21" s="17"/>
    </row>
    <row r="22" spans="1:26" ht="28.5" customHeight="1" x14ac:dyDescent="0.35">
      <c r="A22" s="21" t="s">
        <v>63</v>
      </c>
      <c r="B22" s="157">
        <f>IFERROR('Input_Area and Costs'!B30*SUMIF('Input_Area and Costs'!$A$48:$A$54,'Output_Financial savings'!$A22,'Input_Area and Costs'!$D$48:$D$54),0)</f>
        <v>0</v>
      </c>
      <c r="C22" s="157">
        <f>IFERROR('Input_Area and Costs'!C30*SUMIF('Input_Area and Costs'!$A$48:$A$54,'Output_Financial savings'!$A22,'Input_Area and Costs'!$D$48:$D$54),0)</f>
        <v>0</v>
      </c>
      <c r="D22" s="157">
        <f>IFERROR('Input_Area and Costs'!D30*SUMIF('Input_Area and Costs'!$A$48:$A$54,'Output_Financial savings'!$A22,'Input_Area and Costs'!$D$48:$D$54),0)</f>
        <v>0</v>
      </c>
      <c r="E22" s="157">
        <f>IFERROR('Input_Area and Costs'!E30*SUMIF('Input_Area and Costs'!$A$48:$A$54,'Output_Financial savings'!$A22,'Input_Area and Costs'!$D$48:$D$54),0)</f>
        <v>0</v>
      </c>
      <c r="F22" s="157">
        <f>IFERROR('Input_Area and Costs'!F30*SUMIF('Input_Area and Costs'!$A$48:$A$54,'Output_Financial savings'!$A22,'Input_Area and Costs'!$D$48:$D$54),0)</f>
        <v>0</v>
      </c>
      <c r="G22" s="157">
        <f>IFERROR('Input_Area and Costs'!G30*SUMIF('Input_Area and Costs'!$A$48:$A$54,'Output_Financial savings'!$A22,'Input_Area and Costs'!$D$48:$D$54),0)</f>
        <v>0</v>
      </c>
      <c r="H22" s="157">
        <f>IFERROR('Input_Area and Costs'!H30*SUMIF('Input_Area and Costs'!$A$48:$A$54,'Output_Financial savings'!$A22,'Input_Area and Costs'!$D$48:$D$54),0)</f>
        <v>0</v>
      </c>
      <c r="I22" s="157">
        <f>IFERROR('Input_Area and Costs'!I30*SUMIF('Input_Area and Costs'!$A$48:$A$54,'Output_Financial savings'!$A22,'Input_Area and Costs'!$D$48:$D$54),0)</f>
        <v>0</v>
      </c>
      <c r="J22" s="157">
        <f>IFERROR('Input_Area and Costs'!J30*SUMIF('Input_Area and Costs'!$A$48:$A$54,'Output_Financial savings'!$A22,'Input_Area and Costs'!$D$48:$D$54),0)</f>
        <v>0</v>
      </c>
      <c r="K22" s="157">
        <f>IFERROR('Input_Area and Costs'!K30*SUMIF('Input_Area and Costs'!$A$48:$A$54,'Output_Financial savings'!$A22,'Input_Area and Costs'!$D$48:$D$54),0)</f>
        <v>0</v>
      </c>
      <c r="L22" s="157">
        <f>IFERROR('Input_Area and Costs'!L30*SUMIF('Input_Area and Costs'!$A$48:$A$54,'Output_Financial savings'!$A22,'Input_Area and Costs'!$D$48:$D$54),0)</f>
        <v>0</v>
      </c>
      <c r="M22" s="157">
        <f t="shared" si="1"/>
        <v>0</v>
      </c>
      <c r="N22" s="17"/>
    </row>
    <row r="23" spans="1:26" ht="28.5" customHeight="1" x14ac:dyDescent="0.35">
      <c r="A23" s="21" t="s">
        <v>64</v>
      </c>
      <c r="B23" s="157">
        <f>IFERROR('Input_Area and Costs'!B31*SUMIF('Input_Area and Costs'!$A$48:$A$54,'Output_Financial savings'!$A23,'Input_Area and Costs'!$D$48:$D$54),0)</f>
        <v>0</v>
      </c>
      <c r="C23" s="157">
        <f>IFERROR('Input_Area and Costs'!C31*SUMIF('Input_Area and Costs'!$A$48:$A$54,'Output_Financial savings'!$A23,'Input_Area and Costs'!$D$48:$D$54),0)</f>
        <v>0</v>
      </c>
      <c r="D23" s="157">
        <f>IFERROR('Input_Area and Costs'!D31*SUMIF('Input_Area and Costs'!$A$48:$A$54,'Output_Financial savings'!$A23,'Input_Area and Costs'!$D$48:$D$54),0)</f>
        <v>364000</v>
      </c>
      <c r="E23" s="157">
        <f>IFERROR('Input_Area and Costs'!E31*SUMIF('Input_Area and Costs'!$A$48:$A$54,'Output_Financial savings'!$A23,'Input_Area and Costs'!$D$48:$D$54),0)</f>
        <v>0</v>
      </c>
      <c r="F23" s="157">
        <f>IFERROR('Input_Area and Costs'!F31*SUMIF('Input_Area and Costs'!$A$48:$A$54,'Output_Financial savings'!$A23,'Input_Area and Costs'!$D$48:$D$54),0)</f>
        <v>0</v>
      </c>
      <c r="G23" s="157">
        <f>IFERROR('Input_Area and Costs'!G31*SUMIF('Input_Area and Costs'!$A$48:$A$54,'Output_Financial savings'!$A23,'Input_Area and Costs'!$D$48:$D$54),0)</f>
        <v>0</v>
      </c>
      <c r="H23" s="157">
        <f>IFERROR('Input_Area and Costs'!H31*SUMIF('Input_Area and Costs'!$A$48:$A$54,'Output_Financial savings'!$A23,'Input_Area and Costs'!$D$48:$D$54),0)</f>
        <v>0</v>
      </c>
      <c r="I23" s="157">
        <f>IFERROR('Input_Area and Costs'!I31*SUMIF('Input_Area and Costs'!$A$48:$A$54,'Output_Financial savings'!$A23,'Input_Area and Costs'!$D$48:$D$54),0)</f>
        <v>0</v>
      </c>
      <c r="J23" s="157">
        <f>IFERROR('Input_Area and Costs'!J31*SUMIF('Input_Area and Costs'!$A$48:$A$54,'Output_Financial savings'!$A23,'Input_Area and Costs'!$D$48:$D$54),0)</f>
        <v>0</v>
      </c>
      <c r="K23" s="157">
        <f>IFERROR('Input_Area and Costs'!K31*SUMIF('Input_Area and Costs'!$A$48:$A$54,'Output_Financial savings'!$A23,'Input_Area and Costs'!$D$48:$D$54),0)</f>
        <v>0</v>
      </c>
      <c r="L23" s="157">
        <f>IFERROR('Input_Area and Costs'!L31*SUMIF('Input_Area and Costs'!$A$48:$A$54,'Output_Financial savings'!$A23,'Input_Area and Costs'!$E$48:$E$54),0)</f>
        <v>35000000</v>
      </c>
      <c r="M23" s="167">
        <f t="shared" si="1"/>
        <v>35364000</v>
      </c>
      <c r="N23" s="17"/>
    </row>
    <row r="24" spans="1:26" ht="33" customHeight="1" x14ac:dyDescent="0.3">
      <c r="M24" s="157">
        <f>SUM(M17:M23)</f>
        <v>112937934.53</v>
      </c>
      <c r="N24" s="46" t="s">
        <v>142</v>
      </c>
    </row>
    <row r="25" spans="1:26" ht="33" customHeight="1" x14ac:dyDescent="0.3">
      <c r="M25" s="23">
        <f>M24/'Input_Area and Costs'!$M$32</f>
        <v>0.11870554668989479</v>
      </c>
      <c r="N25" s="66" t="s">
        <v>143</v>
      </c>
    </row>
    <row r="26" spans="1:26" ht="15.75" customHeight="1" x14ac:dyDescent="0.3"/>
    <row r="27" spans="1:26" ht="42" customHeight="1" x14ac:dyDescent="0.3">
      <c r="A27" s="15" t="s">
        <v>146</v>
      </c>
      <c r="B27" s="15"/>
      <c r="C27" s="15"/>
      <c r="D27" s="15"/>
      <c r="E27" s="15"/>
      <c r="F27" s="15"/>
      <c r="G27" s="15"/>
      <c r="H27" s="15"/>
      <c r="I27" s="15"/>
      <c r="J27" s="15"/>
      <c r="K27" s="16"/>
      <c r="L27" s="16"/>
      <c r="M27" s="16"/>
      <c r="N27" s="16"/>
      <c r="O27" s="15"/>
      <c r="P27" s="15"/>
      <c r="Q27" s="15"/>
      <c r="R27" s="15"/>
      <c r="S27" s="15"/>
      <c r="T27" s="15"/>
      <c r="U27" s="15"/>
      <c r="V27" s="15"/>
      <c r="W27" s="15"/>
      <c r="X27" s="15"/>
      <c r="Y27" s="15"/>
      <c r="Z27" s="15"/>
    </row>
    <row r="28" spans="1:26" ht="15.75" customHeight="1" x14ac:dyDescent="0.35">
      <c r="K28" s="17"/>
      <c r="L28" s="17"/>
      <c r="M28" s="17"/>
      <c r="N28" s="17"/>
    </row>
    <row r="29" spans="1:26" ht="64.5" customHeight="1" x14ac:dyDescent="0.3">
      <c r="A29" s="21" t="s">
        <v>147</v>
      </c>
      <c r="B29" s="38" t="s">
        <v>46</v>
      </c>
      <c r="C29" s="38" t="s">
        <v>48</v>
      </c>
      <c r="D29" s="38" t="s">
        <v>49</v>
      </c>
      <c r="E29" s="38" t="s">
        <v>50</v>
      </c>
      <c r="F29" s="38" t="s">
        <v>51</v>
      </c>
      <c r="G29" s="38" t="s">
        <v>52</v>
      </c>
      <c r="H29" s="38" t="s">
        <v>53</v>
      </c>
      <c r="I29" s="38" t="s">
        <v>54</v>
      </c>
      <c r="J29" s="38" t="s">
        <v>55</v>
      </c>
      <c r="K29" s="38" t="s">
        <v>763</v>
      </c>
      <c r="L29" s="38" t="s">
        <v>648</v>
      </c>
      <c r="M29" s="56" t="s">
        <v>56</v>
      </c>
    </row>
    <row r="30" spans="1:26" ht="33" customHeight="1" x14ac:dyDescent="0.3">
      <c r="A30" s="21" t="s">
        <v>58</v>
      </c>
      <c r="B30" s="157">
        <f>'Input_EDGE energy savings'!B7*('Input_Area and Costs'!B4)</f>
        <v>0</v>
      </c>
      <c r="C30" s="157">
        <f>'Input_EDGE energy savings'!C7*('Input_Area and Costs'!C4)</f>
        <v>25567500</v>
      </c>
      <c r="D30" s="157">
        <f>'Input_EDGE energy savings'!D7*('Input_Area and Costs'!D4)</f>
        <v>1725000</v>
      </c>
      <c r="E30" s="157">
        <f>'Input_EDGE energy savings'!E7*('Input_Area and Costs'!E4)</f>
        <v>7140000</v>
      </c>
      <c r="F30" s="157">
        <f>'Input_EDGE energy savings'!F7*('Input_Area and Costs'!F4)</f>
        <v>11550000</v>
      </c>
      <c r="G30" s="157">
        <f>'Input_EDGE energy savings'!G7*('Input_Area and Costs'!G4)</f>
        <v>4590000</v>
      </c>
      <c r="H30" s="157">
        <f>'Input_EDGE energy savings'!H7*('Input_Area and Costs'!H4)</f>
        <v>4363333.333333333</v>
      </c>
      <c r="I30" s="157">
        <f>'Input_EDGE energy savings'!I7*('Input_Area and Costs'!I4)</f>
        <v>0</v>
      </c>
      <c r="J30" s="157">
        <f>'Input_EDGE energy savings'!J7*('Input_Area and Costs'!J4)</f>
        <v>0</v>
      </c>
      <c r="K30" s="157">
        <f>'Input_EDGE energy savings'!K7*('Input_Area and Costs'!K4)</f>
        <v>0</v>
      </c>
      <c r="L30" s="157">
        <f>'Input_EDGE energy savings'!L7*('Input_Area and Costs'!L4)</f>
        <v>0</v>
      </c>
      <c r="M30" s="168">
        <f t="shared" ref="M30:M36" si="2">SUM(B30:L30)</f>
        <v>54935833.333333336</v>
      </c>
    </row>
    <row r="31" spans="1:26" ht="30" customHeight="1" x14ac:dyDescent="0.3">
      <c r="A31" s="21" t="s">
        <v>59</v>
      </c>
      <c r="B31" s="157">
        <f>'Input_EDGE energy savings'!B10*'Input_Area and Costs'!B5</f>
        <v>0</v>
      </c>
      <c r="C31" s="157">
        <f>'Input_EDGE energy savings'!C10*'Input_Area and Costs'!C5</f>
        <v>0</v>
      </c>
      <c r="D31" s="157">
        <f>'Input_EDGE energy savings'!D10*'Input_Area and Costs'!D5</f>
        <v>0</v>
      </c>
      <c r="E31" s="157">
        <f>'Input_EDGE energy savings'!E10*'Input_Area and Costs'!E5</f>
        <v>0</v>
      </c>
      <c r="F31" s="157">
        <f>'Input_EDGE energy savings'!F10*'Input_Area and Costs'!F5</f>
        <v>0</v>
      </c>
      <c r="G31" s="157">
        <f>'Input_EDGE energy savings'!G10*'Input_Area and Costs'!G5</f>
        <v>0</v>
      </c>
      <c r="H31" s="157">
        <f>'Input_EDGE energy savings'!H10*'Input_Area and Costs'!H5</f>
        <v>0</v>
      </c>
      <c r="I31" s="157">
        <f>'Input_EDGE energy savings'!I10*'Input_Area and Costs'!I5</f>
        <v>0</v>
      </c>
      <c r="J31" s="157">
        <f>'Input_EDGE energy savings'!J10*'Input_Area and Costs'!J5</f>
        <v>0</v>
      </c>
      <c r="K31" s="157">
        <f>'Input_EDGE energy savings'!K10*'Input_Area and Costs'!K5</f>
        <v>0</v>
      </c>
      <c r="L31" s="157">
        <f>'Input_EDGE energy savings'!L10*'Input_Area and Costs'!L5</f>
        <v>0</v>
      </c>
      <c r="M31" s="168">
        <f t="shared" si="2"/>
        <v>0</v>
      </c>
    </row>
    <row r="32" spans="1:26" ht="30" customHeight="1" x14ac:dyDescent="0.3">
      <c r="A32" s="21" t="s">
        <v>60</v>
      </c>
      <c r="B32" s="157">
        <f>'Input_EDGE energy savings'!B13*'Input_Area and Costs'!B6</f>
        <v>0</v>
      </c>
      <c r="C32" s="157">
        <f>'Input_EDGE energy savings'!C13*'Input_Area and Costs'!C6</f>
        <v>0</v>
      </c>
      <c r="D32" s="157">
        <f>'Input_EDGE energy savings'!D13*'Input_Area and Costs'!D6</f>
        <v>0</v>
      </c>
      <c r="E32" s="157">
        <f>'Input_EDGE energy savings'!E13*'Input_Area and Costs'!E6</f>
        <v>2544823</v>
      </c>
      <c r="F32" s="157">
        <f>'Input_EDGE energy savings'!F13*'Input_Area and Costs'!F6</f>
        <v>0</v>
      </c>
      <c r="G32" s="157">
        <f>'Input_EDGE energy savings'!G13*'Input_Area and Costs'!G6</f>
        <v>0</v>
      </c>
      <c r="H32" s="157">
        <f>'Input_EDGE energy savings'!H13*'Input_Area and Costs'!H6</f>
        <v>0</v>
      </c>
      <c r="I32" s="157">
        <f>'Input_EDGE energy savings'!I13*'Input_Area and Costs'!I6</f>
        <v>0</v>
      </c>
      <c r="J32" s="157">
        <f>'Input_EDGE energy savings'!J13*'Input_Area and Costs'!J6</f>
        <v>14566900</v>
      </c>
      <c r="K32" s="157">
        <f>'Input_EDGE energy savings'!K13*'Input_Area and Costs'!K6</f>
        <v>0</v>
      </c>
      <c r="L32" s="157">
        <f>'Input_EDGE energy savings'!L13*'Input_Area and Costs'!L6</f>
        <v>0</v>
      </c>
      <c r="M32" s="168">
        <f t="shared" si="2"/>
        <v>17111723</v>
      </c>
    </row>
    <row r="33" spans="1:14" ht="30" customHeight="1" x14ac:dyDescent="0.3">
      <c r="A33" s="21" t="s">
        <v>61</v>
      </c>
      <c r="B33" s="157">
        <f>'Input_EDGE energy savings'!B16*'Input_Area and Costs'!B7</f>
        <v>0</v>
      </c>
      <c r="C33" s="157">
        <f>'Input_EDGE energy savings'!C16*'Input_Area and Costs'!C7</f>
        <v>135000</v>
      </c>
      <c r="D33" s="157">
        <f>'Input_EDGE energy savings'!D16*'Input_Area and Costs'!D7</f>
        <v>0</v>
      </c>
      <c r="E33" s="157">
        <f>'Input_EDGE energy savings'!E16*'Input_Area and Costs'!E7</f>
        <v>0</v>
      </c>
      <c r="F33" s="157">
        <f>'Input_EDGE energy savings'!F16*'Input_Area and Costs'!F7</f>
        <v>0</v>
      </c>
      <c r="G33" s="157">
        <f>'Input_EDGE energy savings'!G16*'Input_Area and Costs'!G7</f>
        <v>0</v>
      </c>
      <c r="H33" s="157">
        <f>'Input_EDGE energy savings'!H16*'Input_Area and Costs'!H7</f>
        <v>0</v>
      </c>
      <c r="I33" s="157">
        <f>'Input_EDGE energy savings'!I16*'Input_Area and Costs'!I7</f>
        <v>0</v>
      </c>
      <c r="J33" s="157">
        <f>'Input_EDGE energy savings'!J16*'Input_Area and Costs'!J7</f>
        <v>0</v>
      </c>
      <c r="K33" s="157">
        <f>'Input_EDGE energy savings'!K16*'Input_Area and Costs'!K7</f>
        <v>1092000</v>
      </c>
      <c r="L33" s="157">
        <f>'Input_EDGE energy savings'!L16*'Input_Area and Costs'!L7</f>
        <v>0</v>
      </c>
      <c r="M33" s="168">
        <f t="shared" si="2"/>
        <v>1227000</v>
      </c>
    </row>
    <row r="34" spans="1:14" ht="30" customHeight="1" x14ac:dyDescent="0.3">
      <c r="A34" s="21" t="s">
        <v>62</v>
      </c>
      <c r="B34" s="157">
        <f>'Input_EDGE energy savings'!B19*'Input_Area and Costs'!B8</f>
        <v>5820000</v>
      </c>
      <c r="C34" s="157">
        <f>'Input_EDGE energy savings'!C19*'Input_Area and Costs'!C8</f>
        <v>0</v>
      </c>
      <c r="D34" s="157">
        <f>'Input_EDGE energy savings'!D19*'Input_Area and Costs'!D8</f>
        <v>0</v>
      </c>
      <c r="E34" s="157">
        <f>'Input_EDGE energy savings'!E19*'Input_Area and Costs'!E8</f>
        <v>0</v>
      </c>
      <c r="F34" s="157">
        <f>'Input_EDGE energy savings'!F19*'Input_Area and Costs'!F8</f>
        <v>0</v>
      </c>
      <c r="G34" s="157">
        <f>'Input_EDGE energy savings'!G19*'Input_Area and Costs'!G8</f>
        <v>5940000</v>
      </c>
      <c r="H34" s="157">
        <f>'Input_EDGE energy savings'!H19*'Input_Area and Costs'!H8</f>
        <v>0</v>
      </c>
      <c r="I34" s="157">
        <f>'Input_EDGE energy savings'!I19*'Input_Area and Costs'!I8</f>
        <v>1515000</v>
      </c>
      <c r="J34" s="157">
        <f>'Input_EDGE energy savings'!J19*'Input_Area and Costs'!J8</f>
        <v>0</v>
      </c>
      <c r="K34" s="157">
        <f>'Input_EDGE energy savings'!K19*'Input_Area and Costs'!K8</f>
        <v>0</v>
      </c>
      <c r="L34" s="157">
        <f>'Input_EDGE energy savings'!L19*'Input_Area and Costs'!L8</f>
        <v>0</v>
      </c>
      <c r="M34" s="168">
        <f t="shared" si="2"/>
        <v>13275000</v>
      </c>
    </row>
    <row r="35" spans="1:14" ht="30" customHeight="1" x14ac:dyDescent="0.3">
      <c r="A35" s="21" t="s">
        <v>63</v>
      </c>
      <c r="B35" s="157">
        <f>'Input_EDGE energy savings'!B22*'Input_Area and Costs'!B9</f>
        <v>0</v>
      </c>
      <c r="C35" s="157">
        <f>'Input_EDGE energy savings'!C22*'Input_Area and Costs'!C9</f>
        <v>0</v>
      </c>
      <c r="D35" s="157">
        <f>'Input_EDGE energy savings'!D22*'Input_Area and Costs'!D9</f>
        <v>0</v>
      </c>
      <c r="E35" s="157">
        <f>'Input_EDGE energy savings'!E22*'Input_Area and Costs'!E9</f>
        <v>0</v>
      </c>
      <c r="F35" s="157">
        <f>'Input_EDGE energy savings'!F22*'Input_Area and Costs'!F9</f>
        <v>0</v>
      </c>
      <c r="G35" s="157">
        <f>'Input_EDGE energy savings'!G22*'Input_Area and Costs'!G9</f>
        <v>0</v>
      </c>
      <c r="H35" s="157">
        <f>'Input_EDGE energy savings'!H22*'Input_Area and Costs'!H9</f>
        <v>0</v>
      </c>
      <c r="I35" s="157">
        <f>'Input_EDGE energy savings'!I22*'Input_Area and Costs'!I9</f>
        <v>0</v>
      </c>
      <c r="J35" s="157">
        <f>'Input_EDGE energy savings'!J22*'Input_Area and Costs'!J9</f>
        <v>0</v>
      </c>
      <c r="K35" s="157">
        <f>'Input_EDGE energy savings'!K22*'Input_Area and Costs'!K9</f>
        <v>0</v>
      </c>
      <c r="L35" s="157">
        <f>'Input_EDGE energy savings'!L22*'Input_Area and Costs'!L9</f>
        <v>0</v>
      </c>
      <c r="M35" s="168">
        <f t="shared" si="2"/>
        <v>0</v>
      </c>
    </row>
    <row r="36" spans="1:14" ht="30" customHeight="1" x14ac:dyDescent="0.3">
      <c r="A36" s="21" t="s">
        <v>64</v>
      </c>
      <c r="B36" s="157">
        <f>'Input_EDGE energy savings'!B25*'Input_Area and Costs'!B10</f>
        <v>0</v>
      </c>
      <c r="C36" s="157">
        <f>'Input_EDGE energy savings'!C25*'Input_Area and Costs'!C10</f>
        <v>0</v>
      </c>
      <c r="D36" s="157">
        <f>'Input_EDGE energy savings'!D25*'Input_Area and Costs'!D10</f>
        <v>1232000</v>
      </c>
      <c r="E36" s="157">
        <f>'Input_EDGE energy savings'!E25*'Input_Area and Costs'!E10</f>
        <v>0</v>
      </c>
      <c r="F36" s="157">
        <f>'Input_EDGE energy savings'!F25*'Input_Area and Costs'!F10</f>
        <v>0</v>
      </c>
      <c r="G36" s="157">
        <f>'Input_EDGE energy savings'!G25*'Input_Area and Costs'!G10</f>
        <v>0</v>
      </c>
      <c r="H36" s="157">
        <f>'Input_EDGE energy savings'!H25*'Input_Area and Costs'!H10</f>
        <v>0</v>
      </c>
      <c r="I36" s="157">
        <f>'Input_EDGE energy savings'!I25*'Input_Area and Costs'!I10</f>
        <v>0</v>
      </c>
      <c r="J36" s="157">
        <f>'Input_EDGE energy savings'!J25*'Input_Area and Costs'!J10</f>
        <v>0</v>
      </c>
      <c r="K36" s="157">
        <f>'Input_EDGE energy savings'!K25*'Input_Area and Costs'!K10</f>
        <v>0</v>
      </c>
      <c r="L36" s="157">
        <f>'Input_EDGE energy savings'!L25*'Input_Area and Costs'!L10</f>
        <v>29527500</v>
      </c>
      <c r="M36" s="168">
        <f t="shared" si="2"/>
        <v>30759500</v>
      </c>
    </row>
    <row r="37" spans="1:14" ht="30" customHeight="1" x14ac:dyDescent="0.3">
      <c r="A37" s="42"/>
      <c r="B37" s="42"/>
      <c r="C37" s="42"/>
      <c r="D37" s="42"/>
      <c r="E37" s="42"/>
      <c r="F37" s="42"/>
      <c r="G37" s="42"/>
      <c r="H37" s="42"/>
      <c r="I37" s="42"/>
      <c r="J37" s="42"/>
      <c r="K37" s="42"/>
      <c r="L37" s="42"/>
      <c r="M37" s="22">
        <f>SUM(M30:M36)</f>
        <v>117309056.33333334</v>
      </c>
      <c r="N37" s="46" t="s">
        <v>142</v>
      </c>
    </row>
    <row r="38" spans="1:14" ht="15.75" customHeight="1" x14ac:dyDescent="0.35">
      <c r="K38" s="17"/>
      <c r="L38" s="17"/>
    </row>
    <row r="39" spans="1:14" ht="49.5" customHeight="1" x14ac:dyDescent="0.3">
      <c r="A39" s="21" t="s">
        <v>148</v>
      </c>
      <c r="B39" s="38" t="s">
        <v>46</v>
      </c>
      <c r="C39" s="38" t="s">
        <v>48</v>
      </c>
      <c r="D39" s="38" t="s">
        <v>49</v>
      </c>
      <c r="E39" s="38" t="s">
        <v>50</v>
      </c>
      <c r="F39" s="38" t="s">
        <v>51</v>
      </c>
      <c r="G39" s="38" t="s">
        <v>52</v>
      </c>
      <c r="H39" s="38" t="s">
        <v>53</v>
      </c>
      <c r="I39" s="38" t="s">
        <v>54</v>
      </c>
      <c r="J39" s="38" t="s">
        <v>55</v>
      </c>
      <c r="K39" s="38" t="s">
        <v>763</v>
      </c>
      <c r="L39" s="38" t="s">
        <v>648</v>
      </c>
      <c r="M39" s="56" t="s">
        <v>56</v>
      </c>
    </row>
    <row r="40" spans="1:14" ht="28.5" customHeight="1" x14ac:dyDescent="0.3">
      <c r="A40" s="21" t="s">
        <v>58</v>
      </c>
      <c r="B40" s="157">
        <f>'Input_EDGE energy savings'!B8*('Input_Area and Costs'!B4)</f>
        <v>0</v>
      </c>
      <c r="C40" s="157">
        <f>'Input_EDGE energy savings'!C8*('Input_Area and Costs'!C4)</f>
        <v>37742500</v>
      </c>
      <c r="D40" s="157">
        <f>'Input_EDGE energy savings'!D8*('Input_Area and Costs'!D4)</f>
        <v>1500000</v>
      </c>
      <c r="E40" s="157">
        <f>'Input_EDGE energy savings'!E8*('Input_Area and Costs'!E4)</f>
        <v>10540000</v>
      </c>
      <c r="F40" s="157">
        <f>'Input_EDGE energy savings'!F8*('Input_Area and Costs'!F4)</f>
        <v>17850000</v>
      </c>
      <c r="G40" s="157">
        <f>'Input_EDGE energy savings'!G8*('Input_Area and Costs'!G4)</f>
        <v>3155625</v>
      </c>
      <c r="H40" s="157">
        <f>'Input_EDGE energy savings'!H8*('Input_Area and Costs'!H4)</f>
        <v>3740000</v>
      </c>
      <c r="I40" s="157">
        <f>'Input_EDGE energy savings'!I8*('Input_Area and Costs'!I4)</f>
        <v>0</v>
      </c>
      <c r="J40" s="157">
        <f>'Input_EDGE energy savings'!J8*('Input_Area and Costs'!J4)</f>
        <v>0</v>
      </c>
      <c r="K40" s="157">
        <f>'Input_EDGE energy savings'!K8*('Input_Area and Costs'!K4)</f>
        <v>0</v>
      </c>
      <c r="L40" s="157">
        <f>'Input_EDGE energy savings'!L8*('Input_Area and Costs'!L4)</f>
        <v>0</v>
      </c>
      <c r="M40" s="168">
        <f t="shared" ref="M40:M46" si="3">SUM(B40:L40)</f>
        <v>74528125</v>
      </c>
    </row>
    <row r="41" spans="1:14" ht="22.5" customHeight="1" x14ac:dyDescent="0.3">
      <c r="A41" s="21" t="s">
        <v>59</v>
      </c>
      <c r="B41" s="157">
        <f>'Input_EDGE energy savings'!B11*'Input_Area and Costs'!B5</f>
        <v>0</v>
      </c>
      <c r="C41" s="157">
        <f>'Input_EDGE energy savings'!C11*'Input_Area and Costs'!C5</f>
        <v>0</v>
      </c>
      <c r="D41" s="157">
        <f>'Input_EDGE energy savings'!D11*'Input_Area and Costs'!D5</f>
        <v>0</v>
      </c>
      <c r="E41" s="157">
        <f>'Input_EDGE energy savings'!E11*'Input_Area and Costs'!E5</f>
        <v>0</v>
      </c>
      <c r="F41" s="157">
        <f>'Input_EDGE energy savings'!F11*'Input_Area and Costs'!F5</f>
        <v>0</v>
      </c>
      <c r="G41" s="157">
        <f>'Input_EDGE energy savings'!G11*'Input_Area and Costs'!G5</f>
        <v>0</v>
      </c>
      <c r="H41" s="157">
        <f>'Input_EDGE energy savings'!H11*'Input_Area and Costs'!H5</f>
        <v>0</v>
      </c>
      <c r="I41" s="157">
        <f>'Input_EDGE energy savings'!I11*'Input_Area and Costs'!I5</f>
        <v>0</v>
      </c>
      <c r="J41" s="157">
        <f>'Input_EDGE energy savings'!J11*'Input_Area and Costs'!J5</f>
        <v>0</v>
      </c>
      <c r="K41" s="157">
        <f>'Input_EDGE energy savings'!K11*'Input_Area and Costs'!K5</f>
        <v>0</v>
      </c>
      <c r="L41" s="157">
        <f>'Input_EDGE energy savings'!L11*'Input_Area and Costs'!L5</f>
        <v>0</v>
      </c>
      <c r="M41" s="168">
        <f t="shared" si="3"/>
        <v>0</v>
      </c>
    </row>
    <row r="42" spans="1:14" ht="22.5" customHeight="1" x14ac:dyDescent="0.3">
      <c r="A42" s="21" t="s">
        <v>60</v>
      </c>
      <c r="B42" s="157">
        <f>'Input_EDGE energy savings'!B14*'Input_Area and Costs'!B6</f>
        <v>0</v>
      </c>
      <c r="C42" s="157">
        <f>'Input_EDGE energy savings'!C14*'Input_Area and Costs'!C6</f>
        <v>0</v>
      </c>
      <c r="D42" s="157">
        <f>'Input_EDGE energy savings'!D14*'Input_Area and Costs'!D6</f>
        <v>0</v>
      </c>
      <c r="E42" s="157">
        <f>'Input_EDGE energy savings'!E14*'Input_Area and Costs'!E6</f>
        <v>7084237</v>
      </c>
      <c r="F42" s="157">
        <f>'Input_EDGE energy savings'!F14*'Input_Area and Costs'!F6</f>
        <v>0</v>
      </c>
      <c r="G42" s="157">
        <f>'Input_EDGE energy savings'!G14*'Input_Area and Costs'!G6</f>
        <v>0</v>
      </c>
      <c r="H42" s="157">
        <f>'Input_EDGE energy savings'!H14*'Input_Area and Costs'!H6</f>
        <v>0</v>
      </c>
      <c r="I42" s="157">
        <f>'Input_EDGE energy savings'!I14*'Input_Area and Costs'!I6</f>
        <v>0</v>
      </c>
      <c r="J42" s="157">
        <f>'Input_EDGE energy savings'!J14*'Input_Area and Costs'!J6</f>
        <v>40551100</v>
      </c>
      <c r="K42" s="157">
        <f>'Input_EDGE energy savings'!K14*'Input_Area and Costs'!K6</f>
        <v>0</v>
      </c>
      <c r="L42" s="157">
        <f>'Input_EDGE energy savings'!L14*'Input_Area and Costs'!L6</f>
        <v>0</v>
      </c>
      <c r="M42" s="168">
        <f t="shared" si="3"/>
        <v>47635337</v>
      </c>
    </row>
    <row r="43" spans="1:14" ht="22.5" customHeight="1" x14ac:dyDescent="0.3">
      <c r="A43" s="21" t="s">
        <v>61</v>
      </c>
      <c r="B43" s="157">
        <f>'Input_EDGE energy savings'!B17*'Input_Area and Costs'!B7</f>
        <v>0</v>
      </c>
      <c r="C43" s="157">
        <f>'Input_EDGE energy savings'!C17*'Input_Area and Costs'!C7</f>
        <v>33750</v>
      </c>
      <c r="D43" s="157">
        <f>'Input_EDGE energy savings'!D17*'Input_Area and Costs'!D7</f>
        <v>0</v>
      </c>
      <c r="E43" s="157">
        <f>'Input_EDGE energy savings'!E17*'Input_Area and Costs'!E7</f>
        <v>0</v>
      </c>
      <c r="F43" s="157">
        <f>'Input_EDGE energy savings'!F17*'Input_Area and Costs'!F7</f>
        <v>0</v>
      </c>
      <c r="G43" s="157">
        <f>'Input_EDGE energy savings'!G17*'Input_Area and Costs'!G7</f>
        <v>0</v>
      </c>
      <c r="H43" s="157">
        <f>'Input_EDGE energy savings'!H17*'Input_Area and Costs'!H7</f>
        <v>0</v>
      </c>
      <c r="I43" s="157">
        <f>'Input_EDGE energy savings'!I17*'Input_Area and Costs'!I7</f>
        <v>0</v>
      </c>
      <c r="J43" s="157">
        <f>'Input_EDGE energy savings'!J17*'Input_Area and Costs'!J7</f>
        <v>0</v>
      </c>
      <c r="K43" s="157">
        <f>'Input_EDGE energy savings'!K17*'Input_Area and Costs'!K7</f>
        <v>0</v>
      </c>
      <c r="L43" s="157">
        <f>'Input_EDGE energy savings'!L17*'Input_Area and Costs'!L7</f>
        <v>0</v>
      </c>
      <c r="M43" s="168">
        <f t="shared" si="3"/>
        <v>33750</v>
      </c>
    </row>
    <row r="44" spans="1:14" ht="22.5" customHeight="1" x14ac:dyDescent="0.3">
      <c r="A44" s="21" t="s">
        <v>62</v>
      </c>
      <c r="B44" s="157">
        <f>'Input_EDGE energy savings'!B20*'Input_Area and Costs'!B8</f>
        <v>0</v>
      </c>
      <c r="C44" s="157">
        <f>'Input_EDGE energy savings'!C20*'Input_Area and Costs'!C8</f>
        <v>0</v>
      </c>
      <c r="D44" s="157">
        <f>'Input_EDGE energy savings'!D20*'Input_Area and Costs'!D8</f>
        <v>0</v>
      </c>
      <c r="E44" s="157">
        <f>'Input_EDGE energy savings'!E20*'Input_Area and Costs'!E8</f>
        <v>0</v>
      </c>
      <c r="F44" s="157">
        <f>'Input_EDGE energy savings'!F20*'Input_Area and Costs'!F8</f>
        <v>0</v>
      </c>
      <c r="G44" s="157">
        <f>'Input_EDGE energy savings'!G20*'Input_Area and Costs'!G8</f>
        <v>0</v>
      </c>
      <c r="H44" s="157">
        <f>'Input_EDGE energy savings'!H20*'Input_Area and Costs'!H8</f>
        <v>0</v>
      </c>
      <c r="I44" s="157">
        <f>'Input_EDGE energy savings'!I20*'Input_Area and Costs'!I8</f>
        <v>0</v>
      </c>
      <c r="J44" s="157">
        <f>'Input_EDGE energy savings'!J20*'Input_Area and Costs'!J8</f>
        <v>0</v>
      </c>
      <c r="K44" s="157">
        <f>'Input_EDGE energy savings'!K20*'Input_Area and Costs'!K8</f>
        <v>0</v>
      </c>
      <c r="L44" s="157">
        <f>'Input_EDGE energy savings'!L20*'Input_Area and Costs'!L8</f>
        <v>0</v>
      </c>
      <c r="M44" s="168">
        <f t="shared" si="3"/>
        <v>0</v>
      </c>
    </row>
    <row r="45" spans="1:14" ht="22.5" customHeight="1" x14ac:dyDescent="0.3">
      <c r="A45" s="21" t="s">
        <v>63</v>
      </c>
      <c r="B45" s="157">
        <f>'Input_EDGE energy savings'!B23*'Input_Area and Costs'!B9</f>
        <v>0</v>
      </c>
      <c r="C45" s="157">
        <f>'Input_EDGE energy savings'!C23*'Input_Area and Costs'!C9</f>
        <v>0</v>
      </c>
      <c r="D45" s="157">
        <f>'Input_EDGE energy savings'!D23*'Input_Area and Costs'!D9</f>
        <v>0</v>
      </c>
      <c r="E45" s="157">
        <f>'Input_EDGE energy savings'!E23*'Input_Area and Costs'!E9</f>
        <v>0</v>
      </c>
      <c r="F45" s="157">
        <f>'Input_EDGE energy savings'!F23*'Input_Area and Costs'!F9</f>
        <v>0</v>
      </c>
      <c r="G45" s="157">
        <f>'Input_EDGE energy savings'!G23*'Input_Area and Costs'!G9</f>
        <v>0</v>
      </c>
      <c r="H45" s="157">
        <f>'Input_EDGE energy savings'!H23*'Input_Area and Costs'!H9</f>
        <v>0</v>
      </c>
      <c r="I45" s="157">
        <f>'Input_EDGE energy savings'!I23*'Input_Area and Costs'!I9</f>
        <v>0</v>
      </c>
      <c r="J45" s="157">
        <f>'Input_EDGE energy savings'!J23*'Input_Area and Costs'!J9</f>
        <v>0</v>
      </c>
      <c r="K45" s="157">
        <f>'Input_EDGE energy savings'!K23*'Input_Area and Costs'!K9</f>
        <v>0</v>
      </c>
      <c r="L45" s="157">
        <f>'Input_EDGE energy savings'!L23*'Input_Area and Costs'!L9</f>
        <v>0</v>
      </c>
      <c r="M45" s="168">
        <f t="shared" si="3"/>
        <v>0</v>
      </c>
    </row>
    <row r="46" spans="1:14" ht="22.5" customHeight="1" x14ac:dyDescent="0.3">
      <c r="A46" s="21" t="s">
        <v>64</v>
      </c>
      <c r="B46" s="157">
        <f>'Input_EDGE energy savings'!B26*'Input_Area and Costs'!B10</f>
        <v>0</v>
      </c>
      <c r="C46" s="157">
        <f>'Input_EDGE energy savings'!C26*'Input_Area and Costs'!C10</f>
        <v>0</v>
      </c>
      <c r="D46" s="157">
        <f>'Input_EDGE energy savings'!D26*'Input_Area and Costs'!D10</f>
        <v>0</v>
      </c>
      <c r="E46" s="157">
        <f>'Input_EDGE energy savings'!E26*'Input_Area and Costs'!E10</f>
        <v>0</v>
      </c>
      <c r="F46" s="157">
        <f>'Input_EDGE energy savings'!F26*'Input_Area and Costs'!F10</f>
        <v>0</v>
      </c>
      <c r="G46" s="157">
        <f>'Input_EDGE energy savings'!G26*'Input_Area and Costs'!G10</f>
        <v>0</v>
      </c>
      <c r="H46" s="157">
        <f>'Input_EDGE energy savings'!H26*'Input_Area and Costs'!H10</f>
        <v>0</v>
      </c>
      <c r="I46" s="157">
        <f>'Input_EDGE energy savings'!I26*'Input_Area and Costs'!I10</f>
        <v>0</v>
      </c>
      <c r="J46" s="157">
        <f>'Input_EDGE energy savings'!J26*'Input_Area and Costs'!J10</f>
        <v>0</v>
      </c>
      <c r="K46" s="157">
        <f>'Input_EDGE energy savings'!K26*'Input_Area and Costs'!K10</f>
        <v>0</v>
      </c>
      <c r="L46" s="157">
        <f>'Input_EDGE energy savings'!L26*'Input_Area and Costs'!L10</f>
        <v>5511800</v>
      </c>
      <c r="M46" s="168">
        <f t="shared" si="3"/>
        <v>5511800</v>
      </c>
    </row>
    <row r="47" spans="1:14" ht="22.5" customHeight="1" x14ac:dyDescent="0.3">
      <c r="A47" s="42"/>
      <c r="B47" s="26"/>
      <c r="C47" s="26"/>
      <c r="D47" s="26"/>
      <c r="E47" s="26"/>
      <c r="F47" s="26"/>
      <c r="G47" s="26"/>
      <c r="H47" s="26"/>
      <c r="I47" s="26"/>
      <c r="J47" s="26"/>
      <c r="K47" s="26"/>
      <c r="L47" s="26"/>
      <c r="M47" s="22">
        <f>SUM(M40:M46)</f>
        <v>127709012</v>
      </c>
      <c r="N47" s="46" t="s">
        <v>142</v>
      </c>
    </row>
    <row r="48" spans="1:14" ht="22.5" customHeight="1" x14ac:dyDescent="0.35">
      <c r="A48" s="42"/>
      <c r="B48" s="26"/>
      <c r="C48" s="26"/>
      <c r="D48" s="26"/>
      <c r="E48" s="26"/>
      <c r="F48" s="26"/>
      <c r="G48" s="26"/>
      <c r="H48" s="26"/>
      <c r="K48" s="17"/>
      <c r="L48" s="17"/>
      <c r="M48" s="26"/>
    </row>
    <row r="49" spans="1:26" ht="59.25" customHeight="1" x14ac:dyDescent="0.3">
      <c r="A49" s="21" t="s">
        <v>149</v>
      </c>
      <c r="B49" s="38" t="s">
        <v>46</v>
      </c>
      <c r="C49" s="38" t="s">
        <v>48</v>
      </c>
      <c r="D49" s="38" t="s">
        <v>49</v>
      </c>
      <c r="E49" s="38" t="s">
        <v>50</v>
      </c>
      <c r="F49" s="38" t="s">
        <v>51</v>
      </c>
      <c r="G49" s="38" t="s">
        <v>52</v>
      </c>
      <c r="H49" s="38" t="s">
        <v>53</v>
      </c>
      <c r="I49" s="38" t="s">
        <v>54</v>
      </c>
      <c r="J49" s="38" t="s">
        <v>55</v>
      </c>
      <c r="K49" s="38" t="s">
        <v>763</v>
      </c>
      <c r="L49" s="38" t="s">
        <v>648</v>
      </c>
      <c r="M49" s="56" t="s">
        <v>56</v>
      </c>
    </row>
    <row r="50" spans="1:26" ht="33" customHeight="1" x14ac:dyDescent="0.3">
      <c r="A50" s="21" t="s">
        <v>58</v>
      </c>
      <c r="B50" s="157">
        <f>(B30*'Input_Energy Context'!B4)+('Input_Energy Context'!B6*B40)</f>
        <v>0</v>
      </c>
      <c r="C50" s="157">
        <f>(C30*'Input_Energy Context'!C4)+('Input_Energy Context'!C6*C40)</f>
        <v>6343175</v>
      </c>
      <c r="D50" s="157">
        <f>(D30*'Input_Energy Context'!D4)+('Input_Energy Context'!D6*D40)</f>
        <v>225225</v>
      </c>
      <c r="E50" s="157">
        <f>(E30*'Input_Energy Context'!E4)+('Input_Energy Context'!E6*E40)</f>
        <v>2155600</v>
      </c>
      <c r="F50" s="157">
        <f>(F30*'Input_Energy Context'!F4)+('Input_Energy Context'!F6*F40)</f>
        <v>2910600</v>
      </c>
      <c r="G50" s="157">
        <f>(G30*'Input_Energy Context'!G4)+('Input_Energy Context'!G6*G40)</f>
        <v>377527.5</v>
      </c>
      <c r="H50" s="157">
        <f>(H30*'Input_Energy Context'!H4)+('Input_Energy Context'!H6*H40)</f>
        <v>1695466.6666666665</v>
      </c>
      <c r="I50" s="157">
        <f>(I30*'Input_Energy Context'!I4)+('Input_Energy Context'!I6*I40)</f>
        <v>0</v>
      </c>
      <c r="J50" s="157">
        <f>(J30*'Input_Energy Context'!J4)+('Input_Energy Context'!J6*J40)</f>
        <v>0</v>
      </c>
      <c r="K50" s="157">
        <f>(K30*'Input_Energy Context'!K4)+('Input_Energy Context'!K6*K40)</f>
        <v>0</v>
      </c>
      <c r="L50" s="157">
        <f>(L30*'Input_Energy Context'!L4)+('Input_Energy Context'!L6*L40)</f>
        <v>0</v>
      </c>
      <c r="M50" s="157">
        <f t="shared" ref="M50:M56" si="4">SUM(B50:L50)</f>
        <v>13707594.166666666</v>
      </c>
    </row>
    <row r="51" spans="1:26" ht="22.5" customHeight="1" x14ac:dyDescent="0.3">
      <c r="A51" s="21" t="s">
        <v>59</v>
      </c>
      <c r="B51" s="157">
        <f>(B31*'Input_Energy Context'!B5)+('Input_Energy Context'!B7*B41)</f>
        <v>0</v>
      </c>
      <c r="C51" s="157">
        <f>(C31*'Input_Energy Context'!C5)+('Input_Energy Context'!C7*C41)</f>
        <v>0</v>
      </c>
      <c r="D51" s="157">
        <f>(D31*'Input_Energy Context'!D5)+('Input_Energy Context'!D7*D41)</f>
        <v>0</v>
      </c>
      <c r="E51" s="157">
        <f>(E31*'Input_Energy Context'!E5)+('Input_Energy Context'!E7*E41)</f>
        <v>0</v>
      </c>
      <c r="F51" s="157">
        <f>(F31*'Input_Energy Context'!F5)+('Input_Energy Context'!F7*F41)</f>
        <v>0</v>
      </c>
      <c r="G51" s="157">
        <f>(G31*'Input_Energy Context'!G5)+('Input_Energy Context'!G7*G41)</f>
        <v>0</v>
      </c>
      <c r="H51" s="157">
        <f>(H31*'Input_Energy Context'!H5)+('Input_Energy Context'!H7*H41)</f>
        <v>0</v>
      </c>
      <c r="I51" s="157">
        <f>(I31*'Input_Energy Context'!I5)+('Input_Energy Context'!I7*I41)</f>
        <v>0</v>
      </c>
      <c r="J51" s="157">
        <f>(J31*'Input_Energy Context'!J5)+('Input_Energy Context'!J7*J41)</f>
        <v>0</v>
      </c>
      <c r="K51" s="157">
        <f>(K31*'Input_Energy Context'!K5)+('Input_Energy Context'!K7*K41)</f>
        <v>0</v>
      </c>
      <c r="L51" s="157">
        <f>(L31*'Input_Energy Context'!L5)+('Input_Energy Context'!L7*L41)</f>
        <v>0</v>
      </c>
      <c r="M51" s="157">
        <f t="shared" si="4"/>
        <v>0</v>
      </c>
    </row>
    <row r="52" spans="1:26" ht="22.5" customHeight="1" x14ac:dyDescent="0.3">
      <c r="A52" s="21" t="s">
        <v>60</v>
      </c>
      <c r="B52" s="157">
        <f>(B32*'Input_Energy Context'!B5)+('Input_Energy Context'!B7*B42)</f>
        <v>0</v>
      </c>
      <c r="C52" s="157">
        <f>(C32*'Input_Energy Context'!C5)+('Input_Energy Context'!C7*C42)</f>
        <v>0</v>
      </c>
      <c r="D52" s="157">
        <f>(D32*'Input_Energy Context'!D5)+('Input_Energy Context'!D7*D42)</f>
        <v>0</v>
      </c>
      <c r="E52" s="157">
        <f>(E32*'Input_Energy Context'!E5)+('Input_Energy Context'!E7*E42)</f>
        <v>1200881.3400000001</v>
      </c>
      <c r="F52" s="157">
        <f>(F32*'Input_Energy Context'!F5)+('Input_Energy Context'!F7*F42)</f>
        <v>0</v>
      </c>
      <c r="G52" s="157">
        <f>(G32*'Input_Energy Context'!G5)+('Input_Energy Context'!G7*G42)</f>
        <v>0</v>
      </c>
      <c r="H52" s="157">
        <f>(H32*'Input_Energy Context'!H5)+('Input_Energy Context'!H7*H42)</f>
        <v>0</v>
      </c>
      <c r="I52" s="157">
        <f>(I32*'Input_Energy Context'!I5)+('Input_Energy Context'!I7*I42)</f>
        <v>0</v>
      </c>
      <c r="J52" s="157">
        <f>(J32*'Input_Energy Context'!J5)+('Input_Energy Context'!J7*J42)</f>
        <v>4700778</v>
      </c>
      <c r="K52" s="157">
        <f>(K32*'Input_Energy Context'!K5)+('Input_Energy Context'!K7*K42)</f>
        <v>0</v>
      </c>
      <c r="L52" s="157">
        <f>(L32*'Input_Energy Context'!L5)+('Input_Energy Context'!L7*L42)</f>
        <v>0</v>
      </c>
      <c r="M52" s="157">
        <f t="shared" si="4"/>
        <v>5901659.3399999999</v>
      </c>
    </row>
    <row r="53" spans="1:26" ht="22.5" customHeight="1" x14ac:dyDescent="0.3">
      <c r="A53" s="21" t="s">
        <v>61</v>
      </c>
      <c r="B53" s="157">
        <f>(B33*'Input_Energy Context'!B5)+('Input_Energy Context'!B7*B43)</f>
        <v>0</v>
      </c>
      <c r="C53" s="157">
        <f>(C33*'Input_Energy Context'!C5)+('Input_Energy Context'!C7*C43)</f>
        <v>20250</v>
      </c>
      <c r="D53" s="157">
        <f>(D33*'Input_Energy Context'!D5)+('Input_Energy Context'!D7*D43)</f>
        <v>0</v>
      </c>
      <c r="E53" s="157">
        <f>(E33*'Input_Energy Context'!E5)+('Input_Energy Context'!E7*E43)</f>
        <v>0</v>
      </c>
      <c r="F53" s="157">
        <f>(F33*'Input_Energy Context'!F5)+('Input_Energy Context'!F7*F43)</f>
        <v>0</v>
      </c>
      <c r="G53" s="157">
        <f>(G33*'Input_Energy Context'!G5)+('Input_Energy Context'!G7*G43)</f>
        <v>0</v>
      </c>
      <c r="H53" s="157">
        <f>(H33*'Input_Energy Context'!H5)+('Input_Energy Context'!H7*H43)</f>
        <v>0</v>
      </c>
      <c r="I53" s="157">
        <f>(I33*'Input_Energy Context'!I5)+('Input_Energy Context'!I7*I43)</f>
        <v>0</v>
      </c>
      <c r="J53" s="157">
        <f>(J33*'Input_Energy Context'!J5)+('Input_Energy Context'!J7*J43)</f>
        <v>0</v>
      </c>
      <c r="K53" s="157">
        <f>(K33*'Input_Energy Context'!K5)+('Input_Energy Context'!K7*K43)</f>
        <v>141960</v>
      </c>
      <c r="L53" s="157">
        <f>(L33*'Input_Energy Context'!L5)+('Input_Energy Context'!L7*L43)</f>
        <v>0</v>
      </c>
      <c r="M53" s="157">
        <f t="shared" si="4"/>
        <v>162210</v>
      </c>
    </row>
    <row r="54" spans="1:26" ht="22.5" customHeight="1" x14ac:dyDescent="0.3">
      <c r="A54" s="21" t="s">
        <v>62</v>
      </c>
      <c r="B54" s="157">
        <f>(B34*'Input_Energy Context'!B5)+('Input_Energy Context'!B7*B44)</f>
        <v>2036999.9999999998</v>
      </c>
      <c r="C54" s="157">
        <f>(C34*'Input_Energy Context'!C5)+('Input_Energy Context'!C7*C44)</f>
        <v>0</v>
      </c>
      <c r="D54" s="157">
        <f>(D34*'Input_Energy Context'!D5)+('Input_Energy Context'!D7*D44)</f>
        <v>0</v>
      </c>
      <c r="E54" s="157">
        <f>(E34*'Input_Energy Context'!E5)+('Input_Energy Context'!E7*E44)</f>
        <v>0</v>
      </c>
      <c r="F54" s="157">
        <f>(F34*'Input_Energy Context'!F5)+('Input_Energy Context'!F7*F44)</f>
        <v>0</v>
      </c>
      <c r="G54" s="157">
        <f>(G34*'Input_Energy Context'!G5)+('Input_Energy Context'!G7*G44)</f>
        <v>772200</v>
      </c>
      <c r="H54" s="157">
        <f>(H34*'Input_Energy Context'!H5)+('Input_Energy Context'!H7*H44)</f>
        <v>0</v>
      </c>
      <c r="I54" s="157">
        <f>(I34*'Input_Energy Context'!I5)+('Input_Energy Context'!I7*I44)</f>
        <v>212100.00000000003</v>
      </c>
      <c r="J54" s="157">
        <f>(J34*'Input_Energy Context'!J5)+('Input_Energy Context'!J7*J44)</f>
        <v>0</v>
      </c>
      <c r="K54" s="157">
        <f>(K34*'Input_Energy Context'!K5)+('Input_Energy Context'!K7*K44)</f>
        <v>0</v>
      </c>
      <c r="L54" s="157">
        <f>(L34*'Input_Energy Context'!L5)+('Input_Energy Context'!L7*L44)</f>
        <v>0</v>
      </c>
      <c r="M54" s="157">
        <f t="shared" si="4"/>
        <v>3021300</v>
      </c>
    </row>
    <row r="55" spans="1:26" ht="22.5" customHeight="1" x14ac:dyDescent="0.3">
      <c r="A55" s="21" t="s">
        <v>63</v>
      </c>
      <c r="B55" s="157">
        <f>(B35*'Input_Energy Context'!B5)+('Input_Energy Context'!B7*B45)</f>
        <v>0</v>
      </c>
      <c r="C55" s="157">
        <f>(C35*'Input_Energy Context'!C5)+('Input_Energy Context'!C7*C45)</f>
        <v>0</v>
      </c>
      <c r="D55" s="157">
        <f>(D35*'Input_Energy Context'!D5)+('Input_Energy Context'!D7*D45)</f>
        <v>0</v>
      </c>
      <c r="E55" s="157">
        <f>(E35*'Input_Energy Context'!E5)+('Input_Energy Context'!E7*E45)</f>
        <v>0</v>
      </c>
      <c r="F55" s="157">
        <f>(F35*'Input_Energy Context'!F5)+('Input_Energy Context'!F7*F45)</f>
        <v>0</v>
      </c>
      <c r="G55" s="157">
        <f>(G35*'Input_Energy Context'!G5)+('Input_Energy Context'!G7*G45)</f>
        <v>0</v>
      </c>
      <c r="H55" s="157">
        <f>(H35*'Input_Energy Context'!H5)+('Input_Energy Context'!H7*H45)</f>
        <v>0</v>
      </c>
      <c r="I55" s="157">
        <f>(I35*'Input_Energy Context'!I5)+('Input_Energy Context'!I7*I45)</f>
        <v>0</v>
      </c>
      <c r="J55" s="157">
        <f>(J35*'Input_Energy Context'!J5)+('Input_Energy Context'!J7*J45)</f>
        <v>0</v>
      </c>
      <c r="K55" s="157">
        <f>(K35*'Input_Energy Context'!K5)+('Input_Energy Context'!K7*K45)</f>
        <v>0</v>
      </c>
      <c r="L55" s="157">
        <f>(L35*'Input_Energy Context'!L5)+('Input_Energy Context'!L7*L45)</f>
        <v>0</v>
      </c>
      <c r="M55" s="157">
        <f t="shared" si="4"/>
        <v>0</v>
      </c>
    </row>
    <row r="56" spans="1:26" ht="22.5" customHeight="1" x14ac:dyDescent="0.3">
      <c r="A56" s="21" t="s">
        <v>64</v>
      </c>
      <c r="B56" s="157">
        <f>(B36*'Input_Energy Context'!B5)+('Input_Energy Context'!B7*B46)</f>
        <v>0</v>
      </c>
      <c r="C56" s="157">
        <f>(C36*'Input_Energy Context'!C5)+('Input_Energy Context'!C7*C46)</f>
        <v>0</v>
      </c>
      <c r="D56" s="157">
        <f>(D36*'Input_Energy Context'!D5)+('Input_Energy Context'!D7*D46)</f>
        <v>147581.28</v>
      </c>
      <c r="E56" s="157">
        <f>(E36*'Input_Energy Context'!E5)+('Input_Energy Context'!E7*E46)</f>
        <v>0</v>
      </c>
      <c r="F56" s="157">
        <f>(F36*'Input_Energy Context'!F5)+('Input_Energy Context'!F7*F46)</f>
        <v>0</v>
      </c>
      <c r="G56" s="157">
        <f>(G36*'Input_Energy Context'!G5)+('Input_Energy Context'!G7*G46)</f>
        <v>0</v>
      </c>
      <c r="H56" s="157">
        <f>(H36*'Input_Energy Context'!H5)+('Input_Energy Context'!H7*H46)</f>
        <v>0</v>
      </c>
      <c r="I56" s="157">
        <f>(I36*'Input_Energy Context'!I5)+('Input_Energy Context'!I7*I46)</f>
        <v>0</v>
      </c>
      <c r="J56" s="157">
        <f>(J36*'Input_Energy Context'!J5)+('Input_Energy Context'!J7*J46)</f>
        <v>0</v>
      </c>
      <c r="K56" s="157">
        <f>(K36*'Input_Energy Context'!K5)+('Input_Energy Context'!K7*K46)</f>
        <v>0</v>
      </c>
      <c r="L56" s="157">
        <f>(L36*'Input_Energy Context'!L5)+('Input_Energy Context'!L7*L46)</f>
        <v>3393694</v>
      </c>
      <c r="M56" s="157">
        <f t="shared" si="4"/>
        <v>3541275.28</v>
      </c>
    </row>
    <row r="57" spans="1:26" ht="22.5" customHeight="1" x14ac:dyDescent="0.3">
      <c r="A57" s="42"/>
      <c r="B57" s="26"/>
      <c r="C57" s="26"/>
      <c r="D57" s="26"/>
      <c r="E57" s="26"/>
      <c r="F57" s="26"/>
      <c r="G57" s="26"/>
      <c r="H57" s="26"/>
      <c r="I57" s="26"/>
      <c r="J57" s="26"/>
      <c r="K57" s="26"/>
      <c r="L57" s="26"/>
      <c r="M57" s="157">
        <f>SUM(M50:M56)</f>
        <v>26334038.786666669</v>
      </c>
      <c r="N57" s="46" t="s">
        <v>142</v>
      </c>
    </row>
    <row r="58" spans="1:26" ht="22.5" customHeight="1" x14ac:dyDescent="0.35">
      <c r="A58" s="42"/>
      <c r="B58" s="26"/>
      <c r="C58" s="26"/>
      <c r="D58" s="26"/>
      <c r="E58" s="26"/>
      <c r="F58" s="26"/>
      <c r="G58" s="26"/>
      <c r="H58" s="26"/>
      <c r="I58" s="26"/>
      <c r="K58" s="17"/>
      <c r="L58" s="17"/>
      <c r="M58" s="17"/>
      <c r="N58" s="17"/>
    </row>
    <row r="59" spans="1:26" ht="15.75" customHeight="1" x14ac:dyDescent="0.35">
      <c r="K59" s="17"/>
      <c r="L59" s="17"/>
      <c r="M59" s="17"/>
      <c r="N59" s="17"/>
    </row>
    <row r="60" spans="1:26" ht="42" customHeight="1" x14ac:dyDescent="0.3">
      <c r="A60" s="15" t="s">
        <v>150</v>
      </c>
      <c r="B60" s="15"/>
      <c r="C60" s="15"/>
      <c r="D60" s="15"/>
      <c r="E60" s="15"/>
      <c r="F60" s="15"/>
      <c r="G60" s="15"/>
      <c r="H60" s="15"/>
      <c r="I60" s="15"/>
      <c r="J60" s="15"/>
      <c r="K60" s="16"/>
      <c r="L60" s="16"/>
      <c r="M60" s="16"/>
      <c r="N60" s="16"/>
      <c r="O60" s="15"/>
      <c r="P60" s="15"/>
      <c r="Q60" s="15"/>
      <c r="R60" s="15"/>
      <c r="S60" s="15"/>
      <c r="T60" s="15"/>
      <c r="U60" s="15"/>
      <c r="V60" s="15"/>
      <c r="W60" s="15"/>
      <c r="X60" s="15"/>
      <c r="Y60" s="15"/>
      <c r="Z60" s="15"/>
    </row>
    <row r="61" spans="1:26" ht="15.75" customHeight="1" x14ac:dyDescent="0.35">
      <c r="K61" s="17"/>
      <c r="L61" s="17"/>
      <c r="M61" s="17"/>
      <c r="N61" s="17"/>
    </row>
    <row r="62" spans="1:26" ht="54" customHeight="1" x14ac:dyDescent="0.3">
      <c r="A62" s="21" t="s">
        <v>147</v>
      </c>
      <c r="B62" s="38" t="s">
        <v>46</v>
      </c>
      <c r="C62" s="38" t="s">
        <v>48</v>
      </c>
      <c r="D62" s="38" t="s">
        <v>49</v>
      </c>
      <c r="E62" s="38" t="s">
        <v>50</v>
      </c>
      <c r="F62" s="38" t="s">
        <v>51</v>
      </c>
      <c r="G62" s="38" t="s">
        <v>52</v>
      </c>
      <c r="H62" s="38" t="s">
        <v>53</v>
      </c>
      <c r="I62" s="38" t="s">
        <v>54</v>
      </c>
      <c r="J62" s="38" t="s">
        <v>55</v>
      </c>
      <c r="K62" s="38" t="s">
        <v>763</v>
      </c>
      <c r="L62" s="38" t="s">
        <v>648</v>
      </c>
      <c r="M62" s="56" t="s">
        <v>56</v>
      </c>
    </row>
    <row r="63" spans="1:26" ht="27" customHeight="1" x14ac:dyDescent="0.3">
      <c r="A63" s="21" t="s">
        <v>58</v>
      </c>
      <c r="B63" s="157">
        <f>'Input_EDGE energy savings'!B47*('Input_Area and Costs'!B4)</f>
        <v>0</v>
      </c>
      <c r="C63" s="157">
        <f>'Input_EDGE energy savings'!C47*('Input_Area and Costs'!C4)</f>
        <v>25567500</v>
      </c>
      <c r="D63" s="157">
        <f>'Input_EDGE energy savings'!D47*('Input_Area and Costs'!D4)</f>
        <v>1725000</v>
      </c>
      <c r="E63" s="157">
        <f>'Input_EDGE energy savings'!E47*('Input_Area and Costs'!E4)</f>
        <v>7140000</v>
      </c>
      <c r="F63" s="157">
        <f>'Input_EDGE energy savings'!F47*('Input_Area and Costs'!F4)</f>
        <v>11025000</v>
      </c>
      <c r="G63" s="157">
        <f>'Input_EDGE energy savings'!G47*('Input_Area and Costs'!G4)</f>
        <v>4590000</v>
      </c>
      <c r="H63" s="157">
        <f>'Input_EDGE energy savings'!H47*('Input_Area and Costs'!H4)</f>
        <v>4363333.333333333</v>
      </c>
      <c r="I63" s="157">
        <f>'Input_EDGE energy savings'!I47*('Input_Area and Costs'!I4)</f>
        <v>0</v>
      </c>
      <c r="J63" s="157">
        <f>'Input_EDGE energy savings'!J47*('Input_Area and Costs'!J4)</f>
        <v>0</v>
      </c>
      <c r="K63" s="157">
        <f>'Input_EDGE energy savings'!K47*('Input_Area and Costs'!K4)</f>
        <v>0</v>
      </c>
      <c r="L63" s="157">
        <f>'Input_EDGE energy savings'!L47*('Input_Area and Costs'!L4)</f>
        <v>0</v>
      </c>
      <c r="M63" s="168">
        <f t="shared" ref="M63:M69" si="5">SUM(B63:L63)</f>
        <v>54410833.333333336</v>
      </c>
    </row>
    <row r="64" spans="1:26" ht="24" customHeight="1" x14ac:dyDescent="0.3">
      <c r="A64" s="21" t="s">
        <v>59</v>
      </c>
      <c r="B64" s="157">
        <f>'Input_EDGE energy savings'!B50*'Input_Area and Costs'!B5</f>
        <v>0</v>
      </c>
      <c r="C64" s="157">
        <f>'Input_EDGE energy savings'!C50*'Input_Area and Costs'!C5</f>
        <v>0</v>
      </c>
      <c r="D64" s="157">
        <f>'Input_EDGE energy savings'!D50*'Input_Area and Costs'!D5</f>
        <v>0</v>
      </c>
      <c r="E64" s="157">
        <f>'Input_EDGE energy savings'!E50*'Input_Area and Costs'!E5</f>
        <v>0</v>
      </c>
      <c r="F64" s="157">
        <f>'Input_EDGE energy savings'!F50*'Input_Area and Costs'!F5</f>
        <v>0</v>
      </c>
      <c r="G64" s="157">
        <f>'Input_EDGE energy savings'!G50*'Input_Area and Costs'!G5</f>
        <v>0</v>
      </c>
      <c r="H64" s="157">
        <f>'Input_EDGE energy savings'!H50*'Input_Area and Costs'!H5</f>
        <v>0</v>
      </c>
      <c r="I64" s="157">
        <f>'Input_EDGE energy savings'!I50*'Input_Area and Costs'!I5</f>
        <v>0</v>
      </c>
      <c r="J64" s="157">
        <f>'Input_EDGE energy savings'!J50*'Input_Area and Costs'!J5</f>
        <v>0</v>
      </c>
      <c r="K64" s="157">
        <f>'Input_EDGE energy savings'!K50*'Input_Area and Costs'!K5</f>
        <v>0</v>
      </c>
      <c r="L64" s="157">
        <f>'Input_EDGE energy savings'!L50*'Input_Area and Costs'!L5</f>
        <v>0</v>
      </c>
      <c r="M64" s="168">
        <f t="shared" si="5"/>
        <v>0</v>
      </c>
    </row>
    <row r="65" spans="1:14" ht="24" customHeight="1" x14ac:dyDescent="0.3">
      <c r="A65" s="21" t="s">
        <v>60</v>
      </c>
      <c r="B65" s="157">
        <f>'Input_EDGE energy savings'!B53*'Input_Area and Costs'!B6</f>
        <v>0</v>
      </c>
      <c r="C65" s="157">
        <f>'Input_EDGE energy savings'!C53*'Input_Area and Costs'!C6</f>
        <v>0</v>
      </c>
      <c r="D65" s="157">
        <f>'Input_EDGE energy savings'!D53*'Input_Area and Costs'!D6</f>
        <v>0</v>
      </c>
      <c r="E65" s="157">
        <f>'Input_EDGE energy savings'!E53*'Input_Area and Costs'!E6</f>
        <v>137558</v>
      </c>
      <c r="F65" s="157">
        <f>'Input_EDGE energy savings'!F53*'Input_Area and Costs'!F6</f>
        <v>0</v>
      </c>
      <c r="G65" s="157">
        <f>'Input_EDGE energy savings'!G53*'Input_Area and Costs'!G6</f>
        <v>0</v>
      </c>
      <c r="H65" s="157">
        <f>'Input_EDGE energy savings'!H53*'Input_Area and Costs'!H6</f>
        <v>0</v>
      </c>
      <c r="I65" s="157">
        <f>'Input_EDGE energy savings'!I53*'Input_Area and Costs'!I6</f>
        <v>0</v>
      </c>
      <c r="J65" s="157">
        <f>'Input_EDGE energy savings'!J53*'Input_Area and Costs'!J6</f>
        <v>787400</v>
      </c>
      <c r="K65" s="157">
        <f>'Input_EDGE energy savings'!K53*'Input_Area and Costs'!K6</f>
        <v>0</v>
      </c>
      <c r="L65" s="157">
        <f>'Input_EDGE energy savings'!L53*'Input_Area and Costs'!L6</f>
        <v>0</v>
      </c>
      <c r="M65" s="168">
        <f t="shared" si="5"/>
        <v>924958</v>
      </c>
    </row>
    <row r="66" spans="1:14" ht="24" customHeight="1" x14ac:dyDescent="0.3">
      <c r="A66" s="21" t="s">
        <v>61</v>
      </c>
      <c r="B66" s="157">
        <f>'Input_EDGE energy savings'!B56*'Input_Area and Costs'!B7</f>
        <v>0</v>
      </c>
      <c r="C66" s="157">
        <f>'Input_EDGE energy savings'!C56*'Input_Area and Costs'!C7</f>
        <v>90000</v>
      </c>
      <c r="D66" s="157">
        <f>'Input_EDGE energy savings'!D56*'Input_Area and Costs'!D7</f>
        <v>0</v>
      </c>
      <c r="E66" s="157">
        <f>'Input_EDGE energy savings'!E56*'Input_Area and Costs'!E7</f>
        <v>0</v>
      </c>
      <c r="F66" s="157">
        <f>'Input_EDGE energy savings'!F56*'Input_Area and Costs'!F7</f>
        <v>0</v>
      </c>
      <c r="G66" s="157">
        <f>'Input_EDGE energy savings'!G56*'Input_Area and Costs'!G7</f>
        <v>0</v>
      </c>
      <c r="H66" s="157">
        <f>'Input_EDGE energy savings'!H56*'Input_Area and Costs'!H7</f>
        <v>0</v>
      </c>
      <c r="I66" s="157">
        <f>'Input_EDGE energy savings'!I56*'Input_Area and Costs'!I7</f>
        <v>0</v>
      </c>
      <c r="J66" s="157">
        <f>'Input_EDGE energy savings'!J56*'Input_Area and Costs'!J7</f>
        <v>0</v>
      </c>
      <c r="K66" s="157">
        <f>'Input_EDGE energy savings'!K56*'Input_Area and Costs'!K7</f>
        <v>946400</v>
      </c>
      <c r="L66" s="157">
        <f>'Input_EDGE energy savings'!L56*'Input_Area and Costs'!L7</f>
        <v>0</v>
      </c>
      <c r="M66" s="168">
        <f t="shared" si="5"/>
        <v>1036400</v>
      </c>
    </row>
    <row r="67" spans="1:14" ht="24" customHeight="1" x14ac:dyDescent="0.3">
      <c r="A67" s="21" t="s">
        <v>62</v>
      </c>
      <c r="B67" s="157">
        <f>'Input_EDGE energy savings'!B59*'Input_Area and Costs'!B8</f>
        <v>4320000</v>
      </c>
      <c r="C67" s="157">
        <f>'Input_EDGE energy savings'!C59*'Input_Area and Costs'!C8</f>
        <v>0</v>
      </c>
      <c r="D67" s="157">
        <f>'Input_EDGE energy savings'!D59*'Input_Area and Costs'!D8</f>
        <v>0</v>
      </c>
      <c r="E67" s="157">
        <f>'Input_EDGE energy savings'!E59*'Input_Area and Costs'!E8</f>
        <v>0</v>
      </c>
      <c r="F67" s="157">
        <f>'Input_EDGE energy savings'!F59*'Input_Area and Costs'!F8</f>
        <v>0</v>
      </c>
      <c r="G67" s="157">
        <f>'Input_EDGE energy savings'!G59*'Input_Area and Costs'!G8</f>
        <v>4410000</v>
      </c>
      <c r="H67" s="157">
        <f>'Input_EDGE energy savings'!H59*'Input_Area and Costs'!H8</f>
        <v>0</v>
      </c>
      <c r="I67" s="157">
        <f>'Input_EDGE energy savings'!I59*'Input_Area and Costs'!I8</f>
        <v>1125000</v>
      </c>
      <c r="J67" s="157">
        <f>'Input_EDGE energy savings'!J59*'Input_Area and Costs'!J8</f>
        <v>0</v>
      </c>
      <c r="K67" s="157">
        <f>'Input_EDGE energy savings'!K59*'Input_Area and Costs'!K8</f>
        <v>0</v>
      </c>
      <c r="L67" s="157">
        <f>'Input_EDGE energy savings'!L59*'Input_Area and Costs'!L8</f>
        <v>0</v>
      </c>
      <c r="M67" s="168">
        <f t="shared" si="5"/>
        <v>9855000</v>
      </c>
    </row>
    <row r="68" spans="1:14" ht="24" customHeight="1" x14ac:dyDescent="0.3">
      <c r="A68" s="21" t="s">
        <v>63</v>
      </c>
      <c r="B68" s="157">
        <f>'Input_EDGE energy savings'!B62*'Input_Area and Costs'!B9</f>
        <v>0</v>
      </c>
      <c r="C68" s="157">
        <f>'Input_EDGE energy savings'!C62*'Input_Area and Costs'!C9</f>
        <v>0</v>
      </c>
      <c r="D68" s="157">
        <f>'Input_EDGE energy savings'!D62*'Input_Area and Costs'!D9</f>
        <v>0</v>
      </c>
      <c r="E68" s="157">
        <f>'Input_EDGE energy savings'!E62*'Input_Area and Costs'!E9</f>
        <v>0</v>
      </c>
      <c r="F68" s="157">
        <f>'Input_EDGE energy savings'!F62*'Input_Area and Costs'!F9</f>
        <v>0</v>
      </c>
      <c r="G68" s="157">
        <f>'Input_EDGE energy savings'!G62*'Input_Area and Costs'!G9</f>
        <v>0</v>
      </c>
      <c r="H68" s="157">
        <f>'Input_EDGE energy savings'!H62*'Input_Area and Costs'!H9</f>
        <v>0</v>
      </c>
      <c r="I68" s="157">
        <f>'Input_EDGE energy savings'!I62*'Input_Area and Costs'!I9</f>
        <v>0</v>
      </c>
      <c r="J68" s="157">
        <f>'Input_EDGE energy savings'!J62*'Input_Area and Costs'!J9</f>
        <v>0</v>
      </c>
      <c r="K68" s="157">
        <f>'Input_EDGE energy savings'!K62*'Input_Area and Costs'!K9</f>
        <v>0</v>
      </c>
      <c r="L68" s="157">
        <f>'Input_EDGE energy savings'!L62*'Input_Area and Costs'!L9</f>
        <v>0</v>
      </c>
      <c r="M68" s="168">
        <f t="shared" si="5"/>
        <v>0</v>
      </c>
    </row>
    <row r="69" spans="1:14" ht="24" customHeight="1" x14ac:dyDescent="0.3">
      <c r="A69" s="21" t="s">
        <v>64</v>
      </c>
      <c r="B69" s="157">
        <f>'Input_EDGE energy savings'!B65*'Input_Area and Costs'!B10</f>
        <v>0</v>
      </c>
      <c r="C69" s="157">
        <f>'Input_EDGE energy savings'!C65*'Input_Area and Costs'!C10</f>
        <v>0</v>
      </c>
      <c r="D69" s="157">
        <f>'Input_EDGE energy savings'!D65*'Input_Area and Costs'!D10</f>
        <v>1232000</v>
      </c>
      <c r="E69" s="157">
        <f>'Input_EDGE energy savings'!E65*'Input_Area and Costs'!E10</f>
        <v>0</v>
      </c>
      <c r="F69" s="157">
        <f>'Input_EDGE energy savings'!F65*'Input_Area and Costs'!F10</f>
        <v>0</v>
      </c>
      <c r="G69" s="157">
        <f>'Input_EDGE energy savings'!G65*'Input_Area and Costs'!G10</f>
        <v>0</v>
      </c>
      <c r="H69" s="157">
        <f>'Input_EDGE energy savings'!H65*'Input_Area and Costs'!H10</f>
        <v>0</v>
      </c>
      <c r="I69" s="157">
        <f>'Input_EDGE energy savings'!I65*'Input_Area and Costs'!I10</f>
        <v>0</v>
      </c>
      <c r="J69" s="157">
        <f>'Input_EDGE energy savings'!J65*'Input_Area and Costs'!J10</f>
        <v>0</v>
      </c>
      <c r="K69" s="157">
        <f>'Input_EDGE energy savings'!K65*'Input_Area and Costs'!K10</f>
        <v>0</v>
      </c>
      <c r="L69" s="157">
        <f>'Input_EDGE energy savings'!L65*'Input_Area and Costs'!L10</f>
        <v>17322800</v>
      </c>
      <c r="M69" s="168">
        <f t="shared" si="5"/>
        <v>18554800</v>
      </c>
    </row>
    <row r="70" spans="1:14" ht="24" customHeight="1" x14ac:dyDescent="0.3">
      <c r="A70" s="42"/>
      <c r="B70" s="26"/>
      <c r="C70" s="26"/>
      <c r="D70" s="26"/>
      <c r="E70" s="26"/>
      <c r="F70" s="26"/>
      <c r="G70" s="26"/>
      <c r="H70" s="26"/>
      <c r="I70" s="26"/>
      <c r="J70" s="26"/>
      <c r="K70" s="26"/>
      <c r="L70" s="26"/>
      <c r="M70" s="157">
        <f>SUM(M63:M69)</f>
        <v>84781991.333333343</v>
      </c>
      <c r="N70" s="46" t="s">
        <v>142</v>
      </c>
    </row>
    <row r="71" spans="1:14" ht="15.75" customHeight="1" x14ac:dyDescent="0.35">
      <c r="B71" s="26"/>
      <c r="C71" s="26"/>
      <c r="D71" s="26"/>
      <c r="E71" s="26"/>
      <c r="F71" s="26"/>
      <c r="G71" s="26"/>
      <c r="H71" s="26"/>
      <c r="K71" s="17"/>
      <c r="L71" s="17"/>
    </row>
    <row r="72" spans="1:14" ht="60" customHeight="1" x14ac:dyDescent="0.3">
      <c r="A72" s="21" t="s">
        <v>148</v>
      </c>
      <c r="B72" s="38" t="s">
        <v>46</v>
      </c>
      <c r="C72" s="38" t="s">
        <v>48</v>
      </c>
      <c r="D72" s="38" t="s">
        <v>49</v>
      </c>
      <c r="E72" s="38" t="s">
        <v>50</v>
      </c>
      <c r="F72" s="38" t="s">
        <v>51</v>
      </c>
      <c r="G72" s="38" t="s">
        <v>52</v>
      </c>
      <c r="H72" s="38" t="s">
        <v>53</v>
      </c>
      <c r="I72" s="38" t="s">
        <v>54</v>
      </c>
      <c r="J72" s="38" t="s">
        <v>55</v>
      </c>
      <c r="K72" s="38" t="s">
        <v>763</v>
      </c>
      <c r="L72" s="38" t="s">
        <v>648</v>
      </c>
      <c r="M72" s="56" t="s">
        <v>56</v>
      </c>
    </row>
    <row r="73" spans="1:14" ht="25.5" customHeight="1" x14ac:dyDescent="0.3">
      <c r="A73" s="21" t="s">
        <v>58</v>
      </c>
      <c r="B73" s="157">
        <f>'Input_EDGE energy savings'!B48*('Input_Area and Costs'!B4)</f>
        <v>0</v>
      </c>
      <c r="C73" s="157">
        <f>'Input_EDGE energy savings'!C48*('Input_Area and Costs'!C4)</f>
        <v>12175000</v>
      </c>
      <c r="D73" s="157">
        <f>'Input_EDGE energy savings'!D48*('Input_Area and Costs'!D4)</f>
        <v>525000</v>
      </c>
      <c r="E73" s="157">
        <f>'Input_EDGE energy savings'!E48*('Input_Area and Costs'!E4)</f>
        <v>3400000</v>
      </c>
      <c r="F73" s="157">
        <f>'Input_EDGE energy savings'!F48*('Input_Area and Costs'!F4)</f>
        <v>5775000</v>
      </c>
      <c r="G73" s="157">
        <f>'Input_EDGE energy savings'!G48*('Input_Area and Costs'!G4)</f>
        <v>1147500</v>
      </c>
      <c r="H73" s="157">
        <f>'Input_EDGE energy savings'!H48*('Input_Area and Costs'!H4)</f>
        <v>1246666.6666666667</v>
      </c>
      <c r="I73" s="157">
        <f>'Input_EDGE energy savings'!I48*('Input_Area and Costs'!I4)</f>
        <v>0</v>
      </c>
      <c r="J73" s="157">
        <f>'Input_EDGE energy savings'!J48*('Input_Area and Costs'!J4)</f>
        <v>0</v>
      </c>
      <c r="K73" s="157">
        <f>'Input_EDGE energy savings'!K48*('Input_Area and Costs'!K4)</f>
        <v>0</v>
      </c>
      <c r="L73" s="157">
        <f>'Input_EDGE energy savings'!L48*('Input_Area and Costs'!L4)</f>
        <v>0</v>
      </c>
      <c r="M73" s="168">
        <f t="shared" ref="M73:M79" si="6">SUM(B73:L73)</f>
        <v>24269166.666666668</v>
      </c>
    </row>
    <row r="74" spans="1:14" ht="25.5" customHeight="1" x14ac:dyDescent="0.3">
      <c r="A74" s="21" t="s">
        <v>59</v>
      </c>
      <c r="B74" s="157">
        <f>'Input_EDGE energy savings'!B51*'Input_Area and Costs'!B5</f>
        <v>0</v>
      </c>
      <c r="C74" s="157">
        <f>'Input_EDGE energy savings'!C51*'Input_Area and Costs'!C5</f>
        <v>0</v>
      </c>
      <c r="D74" s="157">
        <f>'Input_EDGE energy savings'!D51*'Input_Area and Costs'!D5</f>
        <v>0</v>
      </c>
      <c r="E74" s="157">
        <f>'Input_EDGE energy savings'!E51*'Input_Area and Costs'!E5</f>
        <v>0</v>
      </c>
      <c r="F74" s="157">
        <f>'Input_EDGE energy savings'!F51*'Input_Area and Costs'!F5</f>
        <v>0</v>
      </c>
      <c r="G74" s="157">
        <f>'Input_EDGE energy savings'!G51*'Input_Area and Costs'!G5</f>
        <v>0</v>
      </c>
      <c r="H74" s="157">
        <f>'Input_EDGE energy savings'!H51*'Input_Area and Costs'!H5</f>
        <v>0</v>
      </c>
      <c r="I74" s="157">
        <f>'Input_EDGE energy savings'!I51*'Input_Area and Costs'!I5</f>
        <v>0</v>
      </c>
      <c r="J74" s="157">
        <f>'Input_EDGE energy savings'!J51*'Input_Area and Costs'!J5</f>
        <v>0</v>
      </c>
      <c r="K74" s="157">
        <f>'Input_EDGE energy savings'!K51*'Input_Area and Costs'!K5</f>
        <v>0</v>
      </c>
      <c r="L74" s="157">
        <f>'Input_EDGE energy savings'!L51*'Input_Area and Costs'!L5</f>
        <v>0</v>
      </c>
      <c r="M74" s="168">
        <f t="shared" si="6"/>
        <v>0</v>
      </c>
    </row>
    <row r="75" spans="1:14" ht="25.5" customHeight="1" x14ac:dyDescent="0.3">
      <c r="A75" s="21" t="s">
        <v>60</v>
      </c>
      <c r="B75" s="157">
        <f>'Input_EDGE energy savings'!B54*'Input_Area and Costs'!B6</f>
        <v>0</v>
      </c>
      <c r="C75" s="157">
        <f>'Input_EDGE energy savings'!C54*'Input_Area and Costs'!C6</f>
        <v>0</v>
      </c>
      <c r="D75" s="157">
        <f>'Input_EDGE energy savings'!D54*'Input_Area and Costs'!D6</f>
        <v>0</v>
      </c>
      <c r="E75" s="157">
        <f>'Input_EDGE energy savings'!E54*'Input_Area and Costs'!E6</f>
        <v>6740342</v>
      </c>
      <c r="F75" s="157">
        <f>'Input_EDGE energy savings'!F54*'Input_Area and Costs'!F6</f>
        <v>0</v>
      </c>
      <c r="G75" s="157">
        <f>'Input_EDGE energy savings'!G54*'Input_Area and Costs'!G6</f>
        <v>0</v>
      </c>
      <c r="H75" s="157">
        <f>'Input_EDGE energy savings'!H54*'Input_Area and Costs'!H6</f>
        <v>0</v>
      </c>
      <c r="I75" s="157">
        <f>'Input_EDGE energy savings'!I54*'Input_Area and Costs'!I6</f>
        <v>0</v>
      </c>
      <c r="J75" s="157">
        <f>'Input_EDGE energy savings'!J54*'Input_Area and Costs'!J6</f>
        <v>38582600</v>
      </c>
      <c r="K75" s="157">
        <f>'Input_EDGE energy savings'!K54*'Input_Area and Costs'!K6</f>
        <v>0</v>
      </c>
      <c r="L75" s="157">
        <f>'Input_EDGE energy savings'!L54*'Input_Area and Costs'!L6</f>
        <v>0</v>
      </c>
      <c r="M75" s="168">
        <f t="shared" si="6"/>
        <v>45322942</v>
      </c>
    </row>
    <row r="76" spans="1:14" ht="25.5" customHeight="1" x14ac:dyDescent="0.3">
      <c r="A76" s="21" t="s">
        <v>61</v>
      </c>
      <c r="B76" s="157">
        <f>'Input_EDGE energy savings'!B57*'Input_Area and Costs'!B7</f>
        <v>0</v>
      </c>
      <c r="C76" s="157">
        <f>'Input_EDGE energy savings'!C57*'Input_Area and Costs'!C7</f>
        <v>0</v>
      </c>
      <c r="D76" s="157">
        <f>'Input_EDGE energy savings'!D57*'Input_Area and Costs'!D7</f>
        <v>0</v>
      </c>
      <c r="E76" s="157">
        <f>'Input_EDGE energy savings'!E57*'Input_Area and Costs'!E7</f>
        <v>0</v>
      </c>
      <c r="F76" s="157">
        <f>'Input_EDGE energy savings'!F57*'Input_Area and Costs'!F7</f>
        <v>0</v>
      </c>
      <c r="G76" s="157">
        <f>'Input_EDGE energy savings'!G57*'Input_Area and Costs'!G7</f>
        <v>0</v>
      </c>
      <c r="H76" s="157">
        <f>'Input_EDGE energy savings'!H57*'Input_Area and Costs'!H7</f>
        <v>0</v>
      </c>
      <c r="I76" s="157">
        <f>'Input_EDGE energy savings'!I57*'Input_Area and Costs'!I7</f>
        <v>0</v>
      </c>
      <c r="J76" s="157">
        <f>'Input_EDGE energy savings'!J57*'Input_Area and Costs'!J7</f>
        <v>0</v>
      </c>
      <c r="K76" s="157">
        <f>'Input_EDGE energy savings'!K57*'Input_Area and Costs'!K7</f>
        <v>0</v>
      </c>
      <c r="L76" s="157">
        <f>'Input_EDGE energy savings'!L57*'Input_Area and Costs'!L7</f>
        <v>0</v>
      </c>
      <c r="M76" s="168">
        <f t="shared" si="6"/>
        <v>0</v>
      </c>
    </row>
    <row r="77" spans="1:14" ht="25.5" customHeight="1" x14ac:dyDescent="0.3">
      <c r="A77" s="21" t="s">
        <v>62</v>
      </c>
      <c r="B77" s="157">
        <f>'Input_EDGE energy savings'!B60*'Input_Area and Costs'!B8</f>
        <v>0</v>
      </c>
      <c r="C77" s="157">
        <f>'Input_EDGE energy savings'!C60*'Input_Area and Costs'!C8</f>
        <v>0</v>
      </c>
      <c r="D77" s="157">
        <f>'Input_EDGE energy savings'!D60*'Input_Area and Costs'!D8</f>
        <v>0</v>
      </c>
      <c r="E77" s="157">
        <f>'Input_EDGE energy savings'!E60*'Input_Area and Costs'!E8</f>
        <v>0</v>
      </c>
      <c r="F77" s="157">
        <f>'Input_EDGE energy savings'!F60*'Input_Area and Costs'!F8</f>
        <v>0</v>
      </c>
      <c r="G77" s="157">
        <f>'Input_EDGE energy savings'!G60*'Input_Area and Costs'!G8</f>
        <v>0</v>
      </c>
      <c r="H77" s="157">
        <f>'Input_EDGE energy savings'!H60*'Input_Area and Costs'!H8</f>
        <v>0</v>
      </c>
      <c r="I77" s="157">
        <f>'Input_EDGE energy savings'!I60*'Input_Area and Costs'!I8</f>
        <v>0</v>
      </c>
      <c r="J77" s="157">
        <f>'Input_EDGE energy savings'!J60*'Input_Area and Costs'!J8</f>
        <v>0</v>
      </c>
      <c r="K77" s="157">
        <f>'Input_EDGE energy savings'!K60*'Input_Area and Costs'!K8</f>
        <v>0</v>
      </c>
      <c r="L77" s="157">
        <f>'Input_EDGE energy savings'!L60*'Input_Area and Costs'!L8</f>
        <v>0</v>
      </c>
      <c r="M77" s="168">
        <f t="shared" si="6"/>
        <v>0</v>
      </c>
    </row>
    <row r="78" spans="1:14" ht="25.5" customHeight="1" x14ac:dyDescent="0.3">
      <c r="A78" s="21" t="s">
        <v>63</v>
      </c>
      <c r="B78" s="157">
        <f>'Input_EDGE energy savings'!B63*'Input_Area and Costs'!B9</f>
        <v>0</v>
      </c>
      <c r="C78" s="157">
        <f>'Input_EDGE energy savings'!C63*'Input_Area and Costs'!C9</f>
        <v>0</v>
      </c>
      <c r="D78" s="157">
        <f>'Input_EDGE energy savings'!D63*'Input_Area and Costs'!D9</f>
        <v>0</v>
      </c>
      <c r="E78" s="157">
        <f>'Input_EDGE energy savings'!E63*'Input_Area and Costs'!E9</f>
        <v>0</v>
      </c>
      <c r="F78" s="157">
        <f>'Input_EDGE energy savings'!F63*'Input_Area and Costs'!F9</f>
        <v>0</v>
      </c>
      <c r="G78" s="157">
        <f>'Input_EDGE energy savings'!G63*'Input_Area and Costs'!G9</f>
        <v>0</v>
      </c>
      <c r="H78" s="157">
        <f>'Input_EDGE energy savings'!H63*'Input_Area and Costs'!H9</f>
        <v>0</v>
      </c>
      <c r="I78" s="157">
        <f>'Input_EDGE energy savings'!I63*'Input_Area and Costs'!I9</f>
        <v>0</v>
      </c>
      <c r="J78" s="157">
        <f>'Input_EDGE energy savings'!J63*'Input_Area and Costs'!J9</f>
        <v>0</v>
      </c>
      <c r="K78" s="157">
        <f>'Input_EDGE energy savings'!K63*'Input_Area and Costs'!K9</f>
        <v>0</v>
      </c>
      <c r="L78" s="157">
        <f>'Input_EDGE energy savings'!L63*'Input_Area and Costs'!L9</f>
        <v>0</v>
      </c>
      <c r="M78" s="168">
        <f t="shared" si="6"/>
        <v>0</v>
      </c>
    </row>
    <row r="79" spans="1:14" ht="25.5" customHeight="1" x14ac:dyDescent="0.3">
      <c r="A79" s="21" t="s">
        <v>64</v>
      </c>
      <c r="B79" s="157">
        <f>'Input_EDGE energy savings'!B66*'Input_Area and Costs'!B10</f>
        <v>0</v>
      </c>
      <c r="C79" s="157">
        <f>'Input_EDGE energy savings'!C66*'Input_Area and Costs'!C10</f>
        <v>0</v>
      </c>
      <c r="D79" s="157">
        <f>'Input_EDGE energy savings'!D66*'Input_Area and Costs'!D10</f>
        <v>0</v>
      </c>
      <c r="E79" s="157">
        <f>'Input_EDGE energy savings'!E66*'Input_Area and Costs'!E10</f>
        <v>0</v>
      </c>
      <c r="F79" s="157">
        <f>'Input_EDGE energy savings'!F66*'Input_Area and Costs'!F10</f>
        <v>0</v>
      </c>
      <c r="G79" s="157">
        <f>'Input_EDGE energy savings'!G66*'Input_Area and Costs'!G10</f>
        <v>0</v>
      </c>
      <c r="H79" s="157">
        <f>'Input_EDGE energy savings'!H66*'Input_Area and Costs'!H10</f>
        <v>0</v>
      </c>
      <c r="I79" s="157">
        <f>'Input_EDGE energy savings'!I66*'Input_Area and Costs'!I10</f>
        <v>0</v>
      </c>
      <c r="J79" s="157">
        <f>'Input_EDGE energy savings'!J66*'Input_Area and Costs'!J10</f>
        <v>0</v>
      </c>
      <c r="K79" s="157">
        <f>'Input_EDGE energy savings'!K66*'Input_Area and Costs'!K10</f>
        <v>0</v>
      </c>
      <c r="L79" s="157">
        <f>'Input_EDGE energy savings'!L66*'Input_Area and Costs'!L10</f>
        <v>-787400</v>
      </c>
      <c r="M79" s="168">
        <f t="shared" si="6"/>
        <v>-787400</v>
      </c>
    </row>
    <row r="80" spans="1:14" ht="27" customHeight="1" x14ac:dyDescent="0.3">
      <c r="A80" s="42"/>
      <c r="B80" s="26"/>
      <c r="C80" s="26"/>
      <c r="D80" s="26"/>
      <c r="E80" s="26"/>
      <c r="F80" s="26"/>
      <c r="G80" s="26"/>
      <c r="H80" s="26"/>
      <c r="I80" s="26"/>
      <c r="J80" s="26"/>
      <c r="K80" s="26"/>
      <c r="L80" s="26"/>
      <c r="M80" s="157">
        <f>SUM(M73:M79)</f>
        <v>68804708.666666672</v>
      </c>
      <c r="N80" s="46" t="s">
        <v>142</v>
      </c>
    </row>
    <row r="81" spans="1:14" ht="15.75" customHeight="1" x14ac:dyDescent="0.35">
      <c r="A81" s="42"/>
      <c r="B81" s="26"/>
      <c r="C81" s="26"/>
      <c r="D81" s="26"/>
      <c r="E81" s="26"/>
      <c r="F81" s="26"/>
      <c r="G81" s="26"/>
      <c r="H81" s="26"/>
      <c r="K81" s="17"/>
      <c r="L81" s="17"/>
      <c r="M81" s="26"/>
    </row>
    <row r="82" spans="1:14" ht="54" customHeight="1" x14ac:dyDescent="0.3">
      <c r="A82" s="21" t="s">
        <v>149</v>
      </c>
      <c r="B82" s="38" t="s">
        <v>46</v>
      </c>
      <c r="C82" s="38" t="s">
        <v>48</v>
      </c>
      <c r="D82" s="38" t="s">
        <v>49</v>
      </c>
      <c r="E82" s="38" t="s">
        <v>50</v>
      </c>
      <c r="F82" s="38" t="s">
        <v>51</v>
      </c>
      <c r="G82" s="38" t="s">
        <v>52</v>
      </c>
      <c r="H82" s="38" t="s">
        <v>53</v>
      </c>
      <c r="I82" s="38" t="s">
        <v>54</v>
      </c>
      <c r="J82" s="38" t="s">
        <v>55</v>
      </c>
      <c r="K82" s="38" t="s">
        <v>763</v>
      </c>
      <c r="L82" s="38" t="s">
        <v>648</v>
      </c>
      <c r="M82" s="56" t="s">
        <v>56</v>
      </c>
    </row>
    <row r="83" spans="1:14" ht="28.5" customHeight="1" x14ac:dyDescent="0.3">
      <c r="A83" s="21" t="s">
        <v>58</v>
      </c>
      <c r="B83" s="157">
        <f>(B63*'Input_Energy Context'!B4)+('Input_Energy Context'!B6*B73)</f>
        <v>0</v>
      </c>
      <c r="C83" s="157">
        <f>(C63*'Input_Energy Context'!C4)+('Input_Energy Context'!C6*C73)</f>
        <v>4297775</v>
      </c>
      <c r="D83" s="157">
        <f>(D63*'Input_Energy Context'!D4)+('Input_Energy Context'!D6*D73)</f>
        <v>147225</v>
      </c>
      <c r="E83" s="157">
        <f>(E63*'Input_Energy Context'!E4)+('Input_Energy Context'!E6*E73)</f>
        <v>1227400</v>
      </c>
      <c r="F83" s="157">
        <f>(F63*'Input_Energy Context'!F4)+('Input_Energy Context'!F6*F73)</f>
        <v>1539300</v>
      </c>
      <c r="G83" s="157">
        <f>(G63*'Input_Energy Context'!G4)+('Input_Energy Context'!G6*G73)</f>
        <v>321300</v>
      </c>
      <c r="H83" s="157">
        <f>(H63*'Input_Energy Context'!H4)+('Input_Energy Context'!H6*H73)</f>
        <v>1495999.9999999998</v>
      </c>
      <c r="I83" s="157">
        <f>(I63*'Input_Energy Context'!I4)+('Input_Energy Context'!I6*I73)</f>
        <v>0</v>
      </c>
      <c r="J83" s="157">
        <f>(J63*'Input_Energy Context'!J4)+('Input_Energy Context'!J6*J73)</f>
        <v>0</v>
      </c>
      <c r="K83" s="157">
        <f>(K63*'Input_Energy Context'!K4)+('Input_Energy Context'!K6*K73)</f>
        <v>0</v>
      </c>
      <c r="L83" s="157">
        <f>(L63*'Input_Energy Context'!L4)+('Input_Energy Context'!L6*L73)</f>
        <v>0</v>
      </c>
      <c r="M83" s="157">
        <f t="shared" ref="M83:M89" si="7">SUM(B83:L83)</f>
        <v>9029000</v>
      </c>
    </row>
    <row r="84" spans="1:14" ht="25.5" customHeight="1" x14ac:dyDescent="0.3">
      <c r="A84" s="21" t="s">
        <v>59</v>
      </c>
      <c r="B84" s="157">
        <f>(B64*'Input_Energy Context'!B5)+('Input_Energy Context'!B7*B74)</f>
        <v>0</v>
      </c>
      <c r="C84" s="157">
        <f>(C64*'Input_Energy Context'!C5)+('Input_Energy Context'!C7*C74)</f>
        <v>0</v>
      </c>
      <c r="D84" s="157">
        <f>(D64*'Input_Energy Context'!D5)+('Input_Energy Context'!D7*D74)</f>
        <v>0</v>
      </c>
      <c r="E84" s="157">
        <f>(E64*'Input_Energy Context'!E5)+('Input_Energy Context'!E7*E74)</f>
        <v>0</v>
      </c>
      <c r="F84" s="157">
        <f>(F64*'Input_Energy Context'!F5)+('Input_Energy Context'!F7*F74)</f>
        <v>0</v>
      </c>
      <c r="G84" s="157">
        <f>(G64*'Input_Energy Context'!G5)+('Input_Energy Context'!G7*G74)</f>
        <v>0</v>
      </c>
      <c r="H84" s="157">
        <f>(H64*'Input_Energy Context'!H5)+('Input_Energy Context'!H7*H74)</f>
        <v>0</v>
      </c>
      <c r="I84" s="157">
        <f>(I64*'Input_Energy Context'!I5)+('Input_Energy Context'!I7*I74)</f>
        <v>0</v>
      </c>
      <c r="J84" s="157">
        <f>(J64*'Input_Energy Context'!J5)+('Input_Energy Context'!J7*J74)</f>
        <v>0</v>
      </c>
      <c r="K84" s="157">
        <f>(K64*'Input_Energy Context'!K5)+('Input_Energy Context'!K7*K74)</f>
        <v>0</v>
      </c>
      <c r="L84" s="157">
        <f>(L64*'Input_Energy Context'!L5)+('Input_Energy Context'!L7*L74)</f>
        <v>0</v>
      </c>
      <c r="M84" s="157">
        <f t="shared" si="7"/>
        <v>0</v>
      </c>
    </row>
    <row r="85" spans="1:14" ht="25.5" customHeight="1" x14ac:dyDescent="0.3">
      <c r="A85" s="21" t="s">
        <v>60</v>
      </c>
      <c r="B85" s="157">
        <f>(B65*'Input_Energy Context'!B5)+('Input_Energy Context'!B7*B75)</f>
        <v>0</v>
      </c>
      <c r="C85" s="157">
        <f>(C65*'Input_Energy Context'!C5)+('Input_Energy Context'!C7*C75)</f>
        <v>0</v>
      </c>
      <c r="D85" s="157">
        <f>(D65*'Input_Energy Context'!D5)+('Input_Energy Context'!D7*D75)</f>
        <v>0</v>
      </c>
      <c r="E85" s="157">
        <f>(E65*'Input_Energy Context'!E5)+('Input_Energy Context'!E7*E75)</f>
        <v>891375.84000000008</v>
      </c>
      <c r="F85" s="157">
        <f>(F65*'Input_Energy Context'!F5)+('Input_Energy Context'!F7*F75)</f>
        <v>0</v>
      </c>
      <c r="G85" s="157">
        <f>(G65*'Input_Energy Context'!G5)+('Input_Energy Context'!G7*G75)</f>
        <v>0</v>
      </c>
      <c r="H85" s="157">
        <f>(H65*'Input_Energy Context'!H5)+('Input_Energy Context'!H7*H75)</f>
        <v>0</v>
      </c>
      <c r="I85" s="157">
        <f>(I65*'Input_Energy Context'!I5)+('Input_Energy Context'!I7*I75)</f>
        <v>0</v>
      </c>
      <c r="J85" s="157">
        <f>(J65*'Input_Energy Context'!J5)+('Input_Energy Context'!J7*J75)</f>
        <v>3165348</v>
      </c>
      <c r="K85" s="157">
        <f>(K65*'Input_Energy Context'!K5)+('Input_Energy Context'!K7*K75)</f>
        <v>0</v>
      </c>
      <c r="L85" s="157">
        <f>(L65*'Input_Energy Context'!L5)+('Input_Energy Context'!L7*L75)</f>
        <v>0</v>
      </c>
      <c r="M85" s="157">
        <f t="shared" si="7"/>
        <v>4056723.84</v>
      </c>
    </row>
    <row r="86" spans="1:14" ht="25.5" customHeight="1" x14ac:dyDescent="0.3">
      <c r="A86" s="21" t="s">
        <v>61</v>
      </c>
      <c r="B86" s="157">
        <f>(B66*'Input_Energy Context'!B5)+('Input_Energy Context'!B7*B76)</f>
        <v>0</v>
      </c>
      <c r="C86" s="157">
        <f>(C66*'Input_Energy Context'!C5)+('Input_Energy Context'!C7*C76)</f>
        <v>11700</v>
      </c>
      <c r="D86" s="157">
        <f>(D66*'Input_Energy Context'!D5)+('Input_Energy Context'!D7*D76)</f>
        <v>0</v>
      </c>
      <c r="E86" s="157">
        <f>(E66*'Input_Energy Context'!E5)+('Input_Energy Context'!E7*E76)</f>
        <v>0</v>
      </c>
      <c r="F86" s="157">
        <f>(F66*'Input_Energy Context'!F5)+('Input_Energy Context'!F7*F76)</f>
        <v>0</v>
      </c>
      <c r="G86" s="157">
        <f>(G66*'Input_Energy Context'!G5)+('Input_Energy Context'!G7*G76)</f>
        <v>0</v>
      </c>
      <c r="H86" s="157">
        <f>(H66*'Input_Energy Context'!H5)+('Input_Energy Context'!H7*H76)</f>
        <v>0</v>
      </c>
      <c r="I86" s="157">
        <f>(I66*'Input_Energy Context'!I5)+('Input_Energy Context'!I7*I76)</f>
        <v>0</v>
      </c>
      <c r="J86" s="157">
        <f>(J66*'Input_Energy Context'!J5)+('Input_Energy Context'!J7*J76)</f>
        <v>0</v>
      </c>
      <c r="K86" s="157">
        <f>(K66*'Input_Energy Context'!K5)+('Input_Energy Context'!K7*K76)</f>
        <v>123032</v>
      </c>
      <c r="L86" s="157">
        <f>(L66*'Input_Energy Context'!L5)+('Input_Energy Context'!L7*L76)</f>
        <v>0</v>
      </c>
      <c r="M86" s="157">
        <f t="shared" si="7"/>
        <v>134732</v>
      </c>
    </row>
    <row r="87" spans="1:14" ht="25.5" customHeight="1" x14ac:dyDescent="0.3">
      <c r="A87" s="21" t="s">
        <v>62</v>
      </c>
      <c r="B87" s="157">
        <f>(B67*'Input_Energy Context'!B5)+('Input_Energy Context'!B7*B77)</f>
        <v>1512000</v>
      </c>
      <c r="C87" s="157">
        <f>(C67*'Input_Energy Context'!C5)+('Input_Energy Context'!C7*C77)</f>
        <v>0</v>
      </c>
      <c r="D87" s="157">
        <f>(D67*'Input_Energy Context'!D5)+('Input_Energy Context'!D7*D77)</f>
        <v>0</v>
      </c>
      <c r="E87" s="157">
        <f>(E67*'Input_Energy Context'!E5)+('Input_Energy Context'!E7*E77)</f>
        <v>0</v>
      </c>
      <c r="F87" s="157">
        <f>(F67*'Input_Energy Context'!F5)+('Input_Energy Context'!F7*F77)</f>
        <v>0</v>
      </c>
      <c r="G87" s="157">
        <f>(G67*'Input_Energy Context'!G5)+('Input_Energy Context'!G7*G77)</f>
        <v>573300</v>
      </c>
      <c r="H87" s="157">
        <f>(H67*'Input_Energy Context'!H5)+('Input_Energy Context'!H7*H77)</f>
        <v>0</v>
      </c>
      <c r="I87" s="157">
        <f>(I67*'Input_Energy Context'!I5)+('Input_Energy Context'!I7*I77)</f>
        <v>157500.00000000003</v>
      </c>
      <c r="J87" s="157">
        <f>(J67*'Input_Energy Context'!J5)+('Input_Energy Context'!J7*J77)</f>
        <v>0</v>
      </c>
      <c r="K87" s="157">
        <f>(K67*'Input_Energy Context'!K5)+('Input_Energy Context'!K7*K77)</f>
        <v>0</v>
      </c>
      <c r="L87" s="157">
        <f>(L67*'Input_Energy Context'!L5)+('Input_Energy Context'!L7*L77)</f>
        <v>0</v>
      </c>
      <c r="M87" s="157">
        <f t="shared" si="7"/>
        <v>2242800</v>
      </c>
    </row>
    <row r="88" spans="1:14" ht="25.5" customHeight="1" x14ac:dyDescent="0.3">
      <c r="A88" s="21" t="s">
        <v>63</v>
      </c>
      <c r="B88" s="157">
        <f>(B68*'Input_Energy Context'!B5)+('Input_Energy Context'!B7*B78)</f>
        <v>0</v>
      </c>
      <c r="C88" s="157">
        <f>(C68*'Input_Energy Context'!C5)+('Input_Energy Context'!C7*C78)</f>
        <v>0</v>
      </c>
      <c r="D88" s="157">
        <f>(D68*'Input_Energy Context'!D5)+('Input_Energy Context'!D7*D78)</f>
        <v>0</v>
      </c>
      <c r="E88" s="157">
        <f>(E68*'Input_Energy Context'!E5)+('Input_Energy Context'!E7*E78)</f>
        <v>0</v>
      </c>
      <c r="F88" s="157">
        <f>(F68*'Input_Energy Context'!F5)+('Input_Energy Context'!F7*F78)</f>
        <v>0</v>
      </c>
      <c r="G88" s="157">
        <f>(G68*'Input_Energy Context'!G5)+('Input_Energy Context'!G7*G78)</f>
        <v>0</v>
      </c>
      <c r="H88" s="157">
        <f>(H68*'Input_Energy Context'!H5)+('Input_Energy Context'!H7*H78)</f>
        <v>0</v>
      </c>
      <c r="I88" s="157">
        <f>(I68*'Input_Energy Context'!I5)+('Input_Energy Context'!I7*I78)</f>
        <v>0</v>
      </c>
      <c r="J88" s="157">
        <f>(J68*'Input_Energy Context'!J5)+('Input_Energy Context'!J7*J78)</f>
        <v>0</v>
      </c>
      <c r="K88" s="157">
        <f>(K68*'Input_Energy Context'!K5)+('Input_Energy Context'!K7*K78)</f>
        <v>0</v>
      </c>
      <c r="L88" s="157">
        <f>(L68*'Input_Energy Context'!L5)+('Input_Energy Context'!L7*L78)</f>
        <v>0</v>
      </c>
      <c r="M88" s="157">
        <f t="shared" si="7"/>
        <v>0</v>
      </c>
    </row>
    <row r="89" spans="1:14" ht="25.5" customHeight="1" x14ac:dyDescent="0.3">
      <c r="A89" s="21" t="s">
        <v>64</v>
      </c>
      <c r="B89" s="157">
        <f>(B69*'Input_Energy Context'!B5)+('Input_Energy Context'!B7*B79)</f>
        <v>0</v>
      </c>
      <c r="C89" s="157">
        <f>(C69*'Input_Energy Context'!C5)+('Input_Energy Context'!C7*C79)</f>
        <v>0</v>
      </c>
      <c r="D89" s="157">
        <f>(D69*'Input_Energy Context'!D5)+('Input_Energy Context'!D7*D79)</f>
        <v>147581.28</v>
      </c>
      <c r="E89" s="157">
        <f>(E69*'Input_Energy Context'!E5)+('Input_Energy Context'!E7*E79)</f>
        <v>0</v>
      </c>
      <c r="F89" s="157">
        <f>(F69*'Input_Energy Context'!F5)+('Input_Energy Context'!F7*F79)</f>
        <v>0</v>
      </c>
      <c r="G89" s="157">
        <f>(G69*'Input_Energy Context'!G5)+('Input_Energy Context'!G7*G79)</f>
        <v>0</v>
      </c>
      <c r="H89" s="157">
        <f>(H69*'Input_Energy Context'!H5)+('Input_Energy Context'!H7*H79)</f>
        <v>0</v>
      </c>
      <c r="I89" s="157">
        <f>(I69*'Input_Energy Context'!I5)+('Input_Energy Context'!I7*I79)</f>
        <v>0</v>
      </c>
      <c r="J89" s="157">
        <f>(J69*'Input_Energy Context'!J5)+('Input_Energy Context'!J7*J79)</f>
        <v>0</v>
      </c>
      <c r="K89" s="157">
        <f>(K69*'Input_Energy Context'!K5)+('Input_Energy Context'!K7*K79)</f>
        <v>0</v>
      </c>
      <c r="L89" s="157">
        <f>(L69*'Input_Energy Context'!L5)+('Input_Energy Context'!L7*L79)</f>
        <v>1669288</v>
      </c>
      <c r="M89" s="157">
        <f t="shared" si="7"/>
        <v>1816869.28</v>
      </c>
    </row>
    <row r="90" spans="1:14" ht="25.5" customHeight="1" x14ac:dyDescent="0.3">
      <c r="A90" s="42"/>
      <c r="B90" s="26"/>
      <c r="C90" s="26"/>
      <c r="D90" s="26"/>
      <c r="E90" s="26"/>
      <c r="F90" s="26"/>
      <c r="G90" s="26"/>
      <c r="H90" s="26"/>
      <c r="I90" s="26"/>
      <c r="J90" s="26"/>
      <c r="K90" s="26"/>
      <c r="L90" s="26"/>
      <c r="M90" s="157">
        <f>SUM(M83:M89)</f>
        <v>17280125.120000001</v>
      </c>
      <c r="N90" s="46" t="s">
        <v>142</v>
      </c>
    </row>
    <row r="91" spans="1:14" ht="15.75" customHeight="1" x14ac:dyDescent="0.35">
      <c r="A91" s="42"/>
      <c r="B91" s="26"/>
      <c r="C91" s="26"/>
      <c r="D91" s="26"/>
      <c r="E91" s="26"/>
      <c r="F91" s="26"/>
      <c r="G91" s="26"/>
      <c r="H91" s="26"/>
      <c r="I91" s="26"/>
      <c r="K91" s="17"/>
      <c r="L91" s="17"/>
      <c r="M91" s="17"/>
      <c r="N91" s="17"/>
    </row>
    <row r="92" spans="1:14" ht="15.75" customHeight="1" x14ac:dyDescent="0.3"/>
    <row r="93" spans="1:14" ht="15.75" customHeight="1" x14ac:dyDescent="0.3"/>
    <row r="94" spans="1:14" ht="15.75" customHeight="1" x14ac:dyDescent="0.3"/>
    <row r="95" spans="1:14" ht="15.75" customHeight="1" x14ac:dyDescent="0.3"/>
    <row r="96" spans="1:14"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orientation="landscape"/>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000"/>
  <sheetViews>
    <sheetView workbookViewId="0">
      <selection activeCell="B5" sqref="B5"/>
    </sheetView>
  </sheetViews>
  <sheetFormatPr baseColWidth="10" defaultColWidth="12.58203125" defaultRowHeight="15" customHeight="1" x14ac:dyDescent="0.3"/>
  <cols>
    <col min="1" max="1" width="26.58203125" customWidth="1"/>
    <col min="2" max="11" width="9.33203125" customWidth="1"/>
    <col min="12" max="12" width="10.08203125" customWidth="1"/>
    <col min="13" max="16" width="9.33203125" customWidth="1"/>
    <col min="17" max="17" width="12.58203125" customWidth="1"/>
    <col min="18" max="18" width="14.08203125" customWidth="1"/>
    <col min="19" max="31" width="9.33203125" customWidth="1"/>
  </cols>
  <sheetData>
    <row r="1" spans="1:31" ht="42" customHeight="1" x14ac:dyDescent="0.3">
      <c r="A1" s="15" t="s">
        <v>77</v>
      </c>
      <c r="B1" s="15"/>
      <c r="C1" s="15"/>
      <c r="D1" s="15"/>
      <c r="E1" s="15"/>
      <c r="F1" s="15"/>
      <c r="G1" s="15"/>
      <c r="H1" s="15"/>
      <c r="I1" s="15"/>
      <c r="J1" s="15"/>
      <c r="K1" s="15"/>
      <c r="L1" s="15"/>
      <c r="M1" s="15"/>
      <c r="N1" s="15"/>
      <c r="O1" s="15"/>
      <c r="P1" s="16"/>
      <c r="Q1" s="16"/>
      <c r="R1" s="16"/>
      <c r="S1" s="16"/>
      <c r="T1" s="15"/>
      <c r="U1" s="15"/>
      <c r="V1" s="15"/>
      <c r="W1" s="15"/>
      <c r="X1" s="15"/>
      <c r="Y1" s="15"/>
      <c r="Z1" s="15"/>
      <c r="AA1" s="15"/>
      <c r="AB1" s="15"/>
      <c r="AC1" s="15"/>
      <c r="AD1" s="15"/>
      <c r="AE1" s="15"/>
    </row>
    <row r="2" spans="1:31" ht="14.5" x14ac:dyDescent="0.35">
      <c r="B2" s="17"/>
      <c r="C2" s="17"/>
      <c r="D2" s="17"/>
      <c r="E2" s="17"/>
      <c r="F2" s="17"/>
      <c r="G2" s="17"/>
      <c r="H2" s="17"/>
      <c r="I2" s="17"/>
      <c r="J2" s="17"/>
      <c r="K2" s="17"/>
      <c r="L2" s="17"/>
      <c r="M2" s="17"/>
      <c r="N2" s="17"/>
      <c r="O2" s="17"/>
      <c r="P2" s="17"/>
      <c r="Q2" s="17"/>
      <c r="R2" s="17"/>
      <c r="S2" s="17"/>
    </row>
    <row r="3" spans="1:31" ht="51" customHeight="1" x14ac:dyDescent="0.3">
      <c r="A3" s="18" t="s">
        <v>78</v>
      </c>
      <c r="B3" s="19" t="s">
        <v>46</v>
      </c>
      <c r="C3" s="19" t="s">
        <v>48</v>
      </c>
      <c r="D3" s="19" t="s">
        <v>49</v>
      </c>
      <c r="E3" s="19" t="s">
        <v>50</v>
      </c>
      <c r="F3" s="19" t="s">
        <v>51</v>
      </c>
      <c r="G3" s="19" t="s">
        <v>52</v>
      </c>
      <c r="H3" s="19" t="s">
        <v>53</v>
      </c>
      <c r="I3" s="19" t="s">
        <v>54</v>
      </c>
      <c r="J3" s="19" t="s">
        <v>55</v>
      </c>
      <c r="K3" s="19" t="s">
        <v>763</v>
      </c>
      <c r="L3" s="19" t="s">
        <v>648</v>
      </c>
      <c r="M3" s="20" t="s">
        <v>79</v>
      </c>
    </row>
    <row r="4" spans="1:31" ht="63" customHeight="1" x14ac:dyDescent="0.3">
      <c r="A4" s="18" t="s">
        <v>80</v>
      </c>
      <c r="B4" s="158">
        <v>0.35</v>
      </c>
      <c r="C4" s="158">
        <v>0.13</v>
      </c>
      <c r="D4" s="158">
        <v>6.0999999999999999E-2</v>
      </c>
      <c r="E4" s="158">
        <v>0.11</v>
      </c>
      <c r="F4" s="158">
        <v>8.2000000000000003E-2</v>
      </c>
      <c r="G4" s="158">
        <v>6.3E-2</v>
      </c>
      <c r="H4" s="158">
        <v>0.32</v>
      </c>
      <c r="I4" s="158">
        <v>0.14000000000000001</v>
      </c>
      <c r="J4" s="158">
        <v>0.16</v>
      </c>
      <c r="K4" s="158">
        <v>0.13</v>
      </c>
      <c r="L4" s="158">
        <v>0.1</v>
      </c>
      <c r="M4" s="159">
        <f>AVERAGE(B4:L4)</f>
        <v>0.14963636363636362</v>
      </c>
      <c r="N4" s="42"/>
      <c r="O4" s="42"/>
      <c r="P4" s="42"/>
      <c r="Q4" s="42"/>
      <c r="R4" s="42"/>
      <c r="S4" s="42"/>
      <c r="T4" s="42"/>
      <c r="U4" s="42"/>
      <c r="V4" s="42"/>
      <c r="W4" s="42"/>
      <c r="X4" s="42"/>
      <c r="Y4" s="42"/>
      <c r="Z4" s="42"/>
    </row>
    <row r="5" spans="1:31" ht="72" customHeight="1" x14ac:dyDescent="0.3">
      <c r="A5" s="18" t="s">
        <v>81</v>
      </c>
      <c r="B5" s="158">
        <v>0.35</v>
      </c>
      <c r="C5" s="158">
        <v>0.13</v>
      </c>
      <c r="D5" s="158">
        <v>0.11978999999999999</v>
      </c>
      <c r="E5" s="158">
        <v>0.11</v>
      </c>
      <c r="F5" s="158">
        <v>5.5E-2</v>
      </c>
      <c r="G5" s="158">
        <v>0.13</v>
      </c>
      <c r="H5" s="158">
        <v>0.32</v>
      </c>
      <c r="I5" s="158">
        <v>0.14000000000000001</v>
      </c>
      <c r="J5" s="158">
        <v>0.1</v>
      </c>
      <c r="K5" s="158">
        <v>0.13</v>
      </c>
      <c r="L5" s="158">
        <v>0.1</v>
      </c>
      <c r="M5" s="159">
        <f>AVERAGE(B5:L5)</f>
        <v>0.15316272727272728</v>
      </c>
      <c r="N5" s="42"/>
      <c r="O5" s="42"/>
      <c r="P5" s="42"/>
      <c r="Q5" s="42"/>
      <c r="R5" s="42"/>
      <c r="S5" s="42"/>
      <c r="T5" s="42"/>
      <c r="U5" s="42"/>
      <c r="V5" s="42"/>
      <c r="W5" s="42"/>
      <c r="X5" s="42"/>
      <c r="Y5" s="42"/>
      <c r="Z5" s="42"/>
    </row>
    <row r="6" spans="1:31" ht="74.25" customHeight="1" x14ac:dyDescent="0.3">
      <c r="A6" s="18" t="s">
        <v>82</v>
      </c>
      <c r="B6" s="160">
        <v>0.08</v>
      </c>
      <c r="C6" s="160">
        <v>0.08</v>
      </c>
      <c r="D6" s="160">
        <v>0.08</v>
      </c>
      <c r="E6" s="158">
        <v>0.13</v>
      </c>
      <c r="F6" s="158">
        <v>0.11</v>
      </c>
      <c r="G6" s="158">
        <v>2.8000000000000001E-2</v>
      </c>
      <c r="H6" s="160">
        <v>0.08</v>
      </c>
      <c r="I6" s="158">
        <v>0.10299999999999999</v>
      </c>
      <c r="J6" s="160">
        <v>0.08</v>
      </c>
      <c r="K6" s="160">
        <v>0.08</v>
      </c>
      <c r="L6" s="160">
        <v>0.08</v>
      </c>
      <c r="M6" s="159">
        <f>AVERAGE(B6:L6)</f>
        <v>8.4636363636363621E-2</v>
      </c>
      <c r="N6" s="42"/>
      <c r="O6" s="42"/>
      <c r="P6" s="42"/>
      <c r="Q6" s="42"/>
      <c r="R6" s="42"/>
      <c r="S6" s="42"/>
      <c r="T6" s="42"/>
      <c r="U6" s="42"/>
      <c r="V6" s="42"/>
      <c r="W6" s="42"/>
      <c r="X6" s="42"/>
      <c r="Y6" s="42"/>
      <c r="Z6" s="42"/>
    </row>
    <row r="7" spans="1:31" ht="72" customHeight="1" x14ac:dyDescent="0.3">
      <c r="A7" s="18" t="s">
        <v>83</v>
      </c>
      <c r="B7" s="160">
        <v>0.08</v>
      </c>
      <c r="C7" s="160">
        <v>0.08</v>
      </c>
      <c r="D7" s="160">
        <v>0.08</v>
      </c>
      <c r="E7" s="158">
        <v>0.13</v>
      </c>
      <c r="F7" s="158">
        <v>0.11</v>
      </c>
      <c r="G7" s="158">
        <v>1.7999999999999999E-2</v>
      </c>
      <c r="H7" s="160">
        <v>0.08</v>
      </c>
      <c r="I7" s="158">
        <v>0.10299999999999999</v>
      </c>
      <c r="J7" s="160">
        <v>0.08</v>
      </c>
      <c r="K7" s="160">
        <v>0.08</v>
      </c>
      <c r="L7" s="160">
        <v>0.08</v>
      </c>
      <c r="M7" s="159">
        <f>AVERAGE(B7:L7)</f>
        <v>8.3727272727272706E-2</v>
      </c>
      <c r="N7" s="42"/>
      <c r="O7" s="42"/>
      <c r="P7" s="42"/>
      <c r="Q7" s="42"/>
      <c r="R7" s="42"/>
      <c r="S7" s="42"/>
      <c r="T7" s="42"/>
      <c r="U7" s="42"/>
      <c r="V7" s="42"/>
      <c r="W7" s="42"/>
      <c r="X7" s="42"/>
      <c r="Y7" s="42"/>
      <c r="Z7" s="42"/>
    </row>
    <row r="9" spans="1:31" ht="42" customHeight="1" x14ac:dyDescent="0.3">
      <c r="A9" s="15" t="s">
        <v>84</v>
      </c>
      <c r="B9" s="15"/>
      <c r="C9" s="15"/>
      <c r="D9" s="15"/>
      <c r="E9" s="15"/>
      <c r="F9" s="15"/>
      <c r="G9" s="15"/>
      <c r="H9" s="15"/>
      <c r="I9" s="15"/>
      <c r="J9" s="15"/>
      <c r="K9" s="16"/>
      <c r="L9" s="16"/>
      <c r="M9" s="16"/>
      <c r="N9" s="16"/>
      <c r="O9" s="15"/>
      <c r="P9" s="15"/>
      <c r="Q9" s="15"/>
      <c r="R9" s="15"/>
      <c r="S9" s="15"/>
      <c r="T9" s="15"/>
      <c r="U9" s="15"/>
      <c r="V9" s="15"/>
      <c r="W9" s="15"/>
      <c r="X9" s="15"/>
      <c r="Y9" s="15"/>
      <c r="Z9" s="15"/>
    </row>
    <row r="11" spans="1:31" ht="33" customHeight="1" x14ac:dyDescent="0.35">
      <c r="A11" s="18" t="s">
        <v>85</v>
      </c>
      <c r="B11" s="19" t="s">
        <v>46</v>
      </c>
      <c r="C11" s="19" t="s">
        <v>48</v>
      </c>
      <c r="D11" s="19" t="s">
        <v>49</v>
      </c>
      <c r="E11" s="19" t="s">
        <v>50</v>
      </c>
      <c r="F11" s="19" t="s">
        <v>51</v>
      </c>
      <c r="G11" s="19" t="s">
        <v>52</v>
      </c>
      <c r="H11" s="19" t="s">
        <v>53</v>
      </c>
      <c r="I11" s="19" t="s">
        <v>54</v>
      </c>
      <c r="J11" s="19" t="s">
        <v>55</v>
      </c>
      <c r="K11" s="19" t="s">
        <v>763</v>
      </c>
      <c r="L11" s="19" t="s">
        <v>648</v>
      </c>
      <c r="M11" s="19" t="s">
        <v>86</v>
      </c>
      <c r="N11" s="44"/>
      <c r="O11" s="44"/>
      <c r="P11" s="44"/>
      <c r="Q11" s="44"/>
      <c r="R11" s="44"/>
      <c r="S11" s="44"/>
      <c r="T11" s="44"/>
      <c r="U11" s="44"/>
      <c r="V11" s="44"/>
    </row>
    <row r="12" spans="1:31" ht="48.75" customHeight="1" x14ac:dyDescent="0.35">
      <c r="A12" s="18" t="s">
        <v>703</v>
      </c>
      <c r="B12" s="161">
        <v>0.6388533474370115</v>
      </c>
      <c r="C12" s="161">
        <v>0.55057909980594144</v>
      </c>
      <c r="D12" s="161">
        <v>0.39531206159723237</v>
      </c>
      <c r="E12" s="161">
        <v>0.40406164852080534</v>
      </c>
      <c r="F12" s="161">
        <v>0.35019264315809107</v>
      </c>
      <c r="G12" s="161">
        <v>0.31962067261904487</v>
      </c>
      <c r="H12" s="161">
        <v>0.6373106018054876</v>
      </c>
      <c r="I12" s="161">
        <v>0.46810625912218568</v>
      </c>
      <c r="J12" s="161">
        <v>4.2965859968044848E-2</v>
      </c>
      <c r="K12" s="161">
        <v>0.14515986502334785</v>
      </c>
      <c r="L12" s="161">
        <v>0.69079323816859484</v>
      </c>
      <c r="M12" s="162">
        <f>AVERAGE(B12:L12)</f>
        <v>0.42208684520234424</v>
      </c>
      <c r="N12" s="44"/>
      <c r="O12" s="44"/>
      <c r="P12" s="44"/>
      <c r="Q12" s="44"/>
      <c r="R12" s="44"/>
      <c r="S12" s="44"/>
      <c r="T12" s="44"/>
      <c r="U12" s="44"/>
      <c r="V12" s="44"/>
    </row>
    <row r="13" spans="1:31" ht="48.75" customHeight="1" x14ac:dyDescent="0.35">
      <c r="A13" s="18" t="s">
        <v>87</v>
      </c>
      <c r="B13" s="161">
        <v>0.23100000000000001</v>
      </c>
      <c r="C13" s="164"/>
      <c r="D13" s="163"/>
      <c r="E13" s="163"/>
      <c r="F13" s="163"/>
      <c r="G13" s="163"/>
      <c r="H13" s="163"/>
      <c r="I13" s="164"/>
      <c r="J13" s="163"/>
      <c r="K13" s="163"/>
      <c r="L13" s="164"/>
      <c r="M13" s="164"/>
      <c r="N13" s="163"/>
      <c r="O13" s="163"/>
      <c r="P13" s="163"/>
      <c r="Q13" s="163"/>
      <c r="R13" s="163"/>
      <c r="S13" s="44"/>
      <c r="T13" s="44"/>
      <c r="U13" s="44"/>
      <c r="V13" s="44"/>
      <c r="W13" s="44"/>
      <c r="X13" s="44"/>
      <c r="Y13" s="44"/>
      <c r="Z13" s="44"/>
      <c r="AA13" s="44"/>
    </row>
    <row r="15" spans="1:31" ht="42" customHeight="1" x14ac:dyDescent="0.3">
      <c r="A15" s="15" t="s">
        <v>88</v>
      </c>
      <c r="B15" s="15"/>
      <c r="C15" s="15"/>
      <c r="D15" s="15"/>
      <c r="E15" s="15"/>
      <c r="F15" s="15"/>
      <c r="G15" s="15"/>
      <c r="H15" s="15"/>
      <c r="I15" s="15"/>
      <c r="J15" s="15"/>
      <c r="K15" s="15"/>
      <c r="L15" s="15"/>
      <c r="M15" s="15"/>
      <c r="N15" s="15"/>
      <c r="O15" s="15"/>
      <c r="P15" s="16"/>
      <c r="Q15" s="16"/>
      <c r="R15" s="16"/>
      <c r="S15" s="16"/>
      <c r="T15" s="15"/>
      <c r="U15" s="15"/>
      <c r="V15" s="15"/>
      <c r="W15" s="15"/>
      <c r="X15" s="15"/>
      <c r="Y15" s="15"/>
      <c r="Z15" s="15"/>
      <c r="AA15" s="15"/>
      <c r="AB15" s="15"/>
      <c r="AC15" s="15"/>
      <c r="AD15" s="15"/>
      <c r="AE15" s="15"/>
    </row>
    <row r="17" spans="1:26" ht="33" customHeight="1" x14ac:dyDescent="0.35">
      <c r="A17" s="18" t="s">
        <v>85</v>
      </c>
      <c r="B17" s="38" t="s">
        <v>46</v>
      </c>
      <c r="C17" s="38" t="s">
        <v>48</v>
      </c>
      <c r="D17" s="38" t="s">
        <v>49</v>
      </c>
      <c r="E17" s="38" t="s">
        <v>50</v>
      </c>
      <c r="F17" s="38" t="s">
        <v>51</v>
      </c>
      <c r="G17" s="38" t="s">
        <v>52</v>
      </c>
      <c r="H17" s="38" t="s">
        <v>53</v>
      </c>
      <c r="I17" s="38" t="s">
        <v>54</v>
      </c>
      <c r="J17" s="38" t="s">
        <v>55</v>
      </c>
      <c r="K17" s="38" t="s">
        <v>763</v>
      </c>
      <c r="L17" s="38" t="s">
        <v>648</v>
      </c>
      <c r="M17" s="44"/>
      <c r="N17" s="44"/>
      <c r="O17" s="44"/>
      <c r="P17" s="44"/>
      <c r="Q17" s="44"/>
      <c r="R17" s="44"/>
      <c r="S17" s="44"/>
      <c r="T17" s="44"/>
      <c r="U17" s="44"/>
      <c r="V17" s="44"/>
    </row>
    <row r="18" spans="1:26" ht="60" customHeight="1" x14ac:dyDescent="0.3">
      <c r="A18" s="45" t="s">
        <v>89</v>
      </c>
      <c r="B18" s="12"/>
      <c r="C18" s="12" t="s">
        <v>90</v>
      </c>
      <c r="D18" s="12" t="s">
        <v>90</v>
      </c>
      <c r="E18" s="12" t="s">
        <v>90</v>
      </c>
      <c r="F18" s="12" t="s">
        <v>90</v>
      </c>
      <c r="G18" s="12" t="s">
        <v>90</v>
      </c>
      <c r="H18" s="12" t="s">
        <v>90</v>
      </c>
      <c r="I18" s="12" t="s">
        <v>90</v>
      </c>
      <c r="J18" s="12" t="s">
        <v>90</v>
      </c>
      <c r="K18" s="12"/>
      <c r="L18" s="12" t="s">
        <v>90</v>
      </c>
      <c r="M18" s="46"/>
      <c r="N18" s="46"/>
      <c r="O18" s="46"/>
      <c r="P18" s="46"/>
      <c r="Q18" s="46"/>
      <c r="R18" s="46"/>
      <c r="S18" s="46"/>
      <c r="T18" s="46"/>
      <c r="U18" s="46"/>
      <c r="V18" s="46"/>
      <c r="W18" s="46"/>
      <c r="X18" s="46"/>
      <c r="Y18" s="46"/>
      <c r="Z18" s="46"/>
    </row>
    <row r="21" spans="1:26" ht="15.75" customHeight="1" x14ac:dyDescent="0.3"/>
    <row r="22" spans="1:26" ht="15.75" customHeight="1" x14ac:dyDescent="0.3"/>
    <row r="23" spans="1:26" ht="15.75" customHeight="1" x14ac:dyDescent="0.3"/>
    <row r="24" spans="1:26" ht="15.75" customHeight="1" x14ac:dyDescent="0.3"/>
    <row r="25" spans="1:26" ht="15.75" customHeight="1" x14ac:dyDescent="0.3"/>
    <row r="26" spans="1:26" ht="15.75" customHeight="1" x14ac:dyDescent="0.3"/>
    <row r="27" spans="1:26" ht="15.75" customHeight="1" x14ac:dyDescent="0.3"/>
    <row r="28" spans="1:26" ht="15.75" customHeight="1" x14ac:dyDescent="0.3"/>
    <row r="29" spans="1:26" ht="15.75" customHeight="1" x14ac:dyDescent="0.3"/>
    <row r="30" spans="1:26" ht="15.75" customHeight="1" x14ac:dyDescent="0.3"/>
    <row r="31" spans="1:26" ht="15.75" customHeight="1" x14ac:dyDescent="0.3"/>
    <row r="32" spans="1:26"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orientation="landscape"/>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998"/>
  <sheetViews>
    <sheetView workbookViewId="0">
      <pane ySplit="3" topLeftCell="A4" activePane="bottomLeft" state="frozen"/>
      <selection pane="bottomLeft" activeCell="F9" sqref="F9"/>
    </sheetView>
  </sheetViews>
  <sheetFormatPr baseColWidth="10" defaultColWidth="12.58203125" defaultRowHeight="15" customHeight="1" outlineLevelRow="1" outlineLevelCol="1" x14ac:dyDescent="0.3"/>
  <cols>
    <col min="1" max="1" width="33.08203125" customWidth="1"/>
    <col min="2" max="2" width="15.5" customWidth="1" outlineLevel="1"/>
    <col min="3" max="3" width="14.08203125" customWidth="1" outlineLevel="1"/>
    <col min="4" max="4" width="12.33203125" customWidth="1" outlineLevel="1"/>
    <col min="5" max="6" width="17.33203125" customWidth="1" outlineLevel="1"/>
    <col min="7" max="7" width="16.33203125" customWidth="1" outlineLevel="1"/>
    <col min="8" max="8" width="15.83203125" customWidth="1" outlineLevel="1"/>
    <col min="9" max="12" width="16.08203125" customWidth="1" outlineLevel="1"/>
    <col min="13" max="13" width="32.58203125" customWidth="1"/>
    <col min="14" max="22" width="10" customWidth="1"/>
    <col min="23" max="37" width="9.33203125" customWidth="1"/>
  </cols>
  <sheetData>
    <row r="1" spans="1:37" ht="42" customHeight="1" x14ac:dyDescent="0.3">
      <c r="A1" s="15" t="s">
        <v>91</v>
      </c>
      <c r="B1" s="15"/>
      <c r="C1" s="15"/>
      <c r="D1" s="15"/>
      <c r="E1" s="15"/>
      <c r="F1" s="15"/>
      <c r="G1" s="15"/>
      <c r="H1" s="15"/>
      <c r="I1" s="15"/>
      <c r="J1" s="15"/>
      <c r="K1" s="16"/>
      <c r="L1" s="16"/>
      <c r="M1" s="16"/>
      <c r="N1" s="16"/>
      <c r="O1" s="15"/>
      <c r="P1" s="15"/>
      <c r="Q1" s="15"/>
      <c r="R1" s="15"/>
      <c r="S1" s="15"/>
      <c r="T1" s="15"/>
      <c r="U1" s="15"/>
      <c r="V1" s="15"/>
      <c r="W1" s="15"/>
      <c r="X1" s="15"/>
      <c r="Y1" s="15"/>
      <c r="Z1" s="15"/>
      <c r="AA1" s="15"/>
      <c r="AB1" s="15"/>
      <c r="AC1" s="15"/>
      <c r="AD1" s="15"/>
      <c r="AE1" s="15"/>
      <c r="AF1" s="15"/>
      <c r="AG1" s="15"/>
      <c r="AH1" s="15"/>
      <c r="AI1" s="15"/>
      <c r="AJ1" s="15"/>
      <c r="AK1" s="15"/>
    </row>
    <row r="2" spans="1:37" ht="33" customHeight="1" x14ac:dyDescent="0.35">
      <c r="A2" s="31" t="s">
        <v>92</v>
      </c>
      <c r="B2" s="47"/>
      <c r="C2" s="47"/>
      <c r="D2" s="47"/>
      <c r="E2" s="47"/>
      <c r="F2" s="47"/>
      <c r="G2" s="47"/>
      <c r="H2" s="47"/>
      <c r="I2" s="47"/>
      <c r="J2" s="47"/>
      <c r="K2" s="47"/>
      <c r="L2" s="47"/>
      <c r="M2" s="47"/>
      <c r="N2" s="47"/>
      <c r="O2" s="47"/>
      <c r="P2" s="47"/>
      <c r="Q2" s="44"/>
      <c r="R2" s="44"/>
      <c r="S2" s="44"/>
      <c r="T2" s="44"/>
      <c r="U2" s="44"/>
      <c r="V2" s="44"/>
    </row>
    <row r="3" spans="1:37" ht="33" customHeight="1" x14ac:dyDescent="0.35">
      <c r="A3" s="19" t="s">
        <v>85</v>
      </c>
      <c r="B3" s="19" t="s">
        <v>46</v>
      </c>
      <c r="C3" s="19" t="s">
        <v>48</v>
      </c>
      <c r="D3" s="19" t="s">
        <v>49</v>
      </c>
      <c r="E3" s="19" t="s">
        <v>50</v>
      </c>
      <c r="F3" s="19" t="s">
        <v>51</v>
      </c>
      <c r="G3" s="19" t="s">
        <v>52</v>
      </c>
      <c r="H3" s="19" t="s">
        <v>53</v>
      </c>
      <c r="I3" s="19" t="s">
        <v>54</v>
      </c>
      <c r="J3" s="19" t="s">
        <v>55</v>
      </c>
      <c r="K3" s="19" t="s">
        <v>763</v>
      </c>
      <c r="L3" s="19" t="s">
        <v>648</v>
      </c>
      <c r="M3" s="38" t="s">
        <v>93</v>
      </c>
      <c r="N3" s="44"/>
      <c r="O3" s="44"/>
      <c r="P3" s="44"/>
      <c r="Q3" s="44"/>
      <c r="R3" s="44"/>
      <c r="S3" s="44"/>
      <c r="T3" s="44"/>
      <c r="U3" s="44"/>
      <c r="V3" s="44"/>
    </row>
    <row r="4" spans="1:37" ht="70.5" customHeight="1" x14ac:dyDescent="0.35">
      <c r="A4" s="19" t="s">
        <v>94</v>
      </c>
      <c r="B4" s="48" t="s">
        <v>750</v>
      </c>
      <c r="C4" s="48" t="s">
        <v>749</v>
      </c>
      <c r="D4" s="48" t="s">
        <v>101</v>
      </c>
      <c r="E4" s="48" t="s">
        <v>749</v>
      </c>
      <c r="F4" s="48" t="s">
        <v>751</v>
      </c>
      <c r="G4" s="48" t="s">
        <v>752</v>
      </c>
      <c r="H4" s="49" t="s">
        <v>100</v>
      </c>
      <c r="I4" s="49" t="s">
        <v>101</v>
      </c>
      <c r="J4" s="48" t="s">
        <v>749</v>
      </c>
      <c r="K4" s="49" t="s">
        <v>101</v>
      </c>
      <c r="L4" s="49" t="s">
        <v>103</v>
      </c>
      <c r="M4" s="44"/>
      <c r="N4" s="44"/>
      <c r="O4" s="44"/>
      <c r="P4" s="44"/>
      <c r="Q4" s="44"/>
      <c r="R4" s="44"/>
      <c r="S4" s="44"/>
      <c r="T4" s="44"/>
      <c r="U4" s="44"/>
      <c r="V4" s="44"/>
    </row>
    <row r="5" spans="1:37" ht="29" x14ac:dyDescent="0.3">
      <c r="A5" s="50"/>
      <c r="B5" s="51" t="s">
        <v>90</v>
      </c>
      <c r="C5" s="51"/>
      <c r="D5" s="51"/>
      <c r="E5" s="51" t="s">
        <v>90</v>
      </c>
      <c r="F5" s="51" t="s">
        <v>90</v>
      </c>
      <c r="G5" s="51" t="s">
        <v>104</v>
      </c>
      <c r="H5" s="51"/>
      <c r="I5" s="51"/>
      <c r="J5" s="51"/>
      <c r="K5" s="51"/>
      <c r="L5" s="51"/>
      <c r="M5" s="52" t="s">
        <v>93</v>
      </c>
      <c r="N5" s="26"/>
      <c r="O5" s="26"/>
      <c r="P5" s="26"/>
      <c r="Q5" s="26"/>
      <c r="R5" s="26"/>
      <c r="S5" s="26"/>
      <c r="T5" s="26"/>
      <c r="U5" s="26"/>
      <c r="V5" s="26"/>
      <c r="W5" s="26"/>
      <c r="X5" s="26"/>
      <c r="Y5" s="26"/>
      <c r="Z5" s="26"/>
      <c r="AA5" s="26"/>
      <c r="AB5" s="26"/>
      <c r="AC5" s="26"/>
      <c r="AD5" s="26"/>
      <c r="AE5" s="26"/>
      <c r="AF5" s="26"/>
      <c r="AG5" s="26"/>
      <c r="AH5" s="26"/>
      <c r="AI5" s="26"/>
      <c r="AJ5" s="26"/>
      <c r="AK5" s="26"/>
    </row>
    <row r="6" spans="1:37" ht="40.5" customHeight="1" x14ac:dyDescent="0.3">
      <c r="A6" s="19" t="s">
        <v>58</v>
      </c>
      <c r="B6" s="165">
        <v>38</v>
      </c>
      <c r="C6" s="165">
        <v>52</v>
      </c>
      <c r="D6" s="165">
        <v>43</v>
      </c>
      <c r="E6" s="165">
        <v>52</v>
      </c>
      <c r="F6" s="165">
        <v>56</v>
      </c>
      <c r="G6" s="165">
        <v>40.5</v>
      </c>
      <c r="H6" s="165">
        <v>39</v>
      </c>
      <c r="I6" s="165">
        <v>43</v>
      </c>
      <c r="J6" s="165">
        <v>52</v>
      </c>
      <c r="K6" s="165">
        <v>43</v>
      </c>
      <c r="L6" s="165">
        <v>69</v>
      </c>
      <c r="M6" s="166">
        <f t="shared" ref="M6:M26" si="0">AVERAGE(B6:L6)</f>
        <v>47.954545454545453</v>
      </c>
      <c r="N6" s="26"/>
      <c r="O6" s="26"/>
      <c r="P6" s="26"/>
      <c r="Q6" s="26"/>
      <c r="R6" s="26"/>
      <c r="S6" s="26"/>
      <c r="T6" s="26"/>
      <c r="U6" s="26"/>
      <c r="V6" s="26"/>
      <c r="W6" s="26"/>
      <c r="X6" s="26"/>
      <c r="Y6" s="26"/>
      <c r="Z6" s="26"/>
      <c r="AA6" s="26"/>
      <c r="AB6" s="26"/>
      <c r="AC6" s="26"/>
      <c r="AD6" s="26"/>
      <c r="AE6" s="26"/>
      <c r="AF6" s="26"/>
      <c r="AG6" s="26"/>
      <c r="AH6" s="26"/>
      <c r="AI6" s="26"/>
      <c r="AJ6" s="26"/>
      <c r="AK6" s="26"/>
    </row>
    <row r="7" spans="1:37" ht="42.75" customHeight="1" outlineLevel="1" x14ac:dyDescent="0.3">
      <c r="A7" s="19" t="s">
        <v>748</v>
      </c>
      <c r="B7" s="165">
        <v>25</v>
      </c>
      <c r="C7" s="165">
        <v>21</v>
      </c>
      <c r="D7" s="165">
        <v>23</v>
      </c>
      <c r="E7" s="165">
        <v>21</v>
      </c>
      <c r="F7" s="165">
        <v>22</v>
      </c>
      <c r="G7" s="165">
        <v>24</v>
      </c>
      <c r="H7" s="165">
        <v>21</v>
      </c>
      <c r="I7" s="165">
        <v>23</v>
      </c>
      <c r="J7" s="165">
        <v>21</v>
      </c>
      <c r="K7" s="165">
        <v>23</v>
      </c>
      <c r="L7" s="165">
        <v>26</v>
      </c>
      <c r="M7" s="166">
        <f t="shared" si="0"/>
        <v>22.727272727272727</v>
      </c>
      <c r="N7" s="26"/>
      <c r="O7" s="26"/>
      <c r="P7" s="26"/>
      <c r="Q7" s="26"/>
      <c r="R7" s="26"/>
      <c r="S7" s="26"/>
      <c r="T7" s="26"/>
      <c r="U7" s="26"/>
      <c r="V7" s="26"/>
      <c r="W7" s="26"/>
      <c r="X7" s="26"/>
      <c r="Y7" s="26"/>
      <c r="Z7" s="26"/>
      <c r="AA7" s="26"/>
      <c r="AB7" s="26"/>
      <c r="AC7" s="26"/>
      <c r="AD7" s="26"/>
      <c r="AE7" s="26"/>
      <c r="AF7" s="26"/>
      <c r="AG7" s="26"/>
      <c r="AH7" s="26"/>
      <c r="AI7" s="26"/>
      <c r="AJ7" s="26"/>
      <c r="AK7" s="26"/>
    </row>
    <row r="8" spans="1:37" ht="38.25" customHeight="1" outlineLevel="1" x14ac:dyDescent="0.3">
      <c r="A8" s="19" t="s">
        <v>747</v>
      </c>
      <c r="B8" s="165">
        <v>13</v>
      </c>
      <c r="C8" s="165">
        <v>31</v>
      </c>
      <c r="D8" s="165">
        <v>20</v>
      </c>
      <c r="E8" s="165">
        <v>31</v>
      </c>
      <c r="F8" s="165">
        <v>34</v>
      </c>
      <c r="G8" s="165">
        <v>16.5</v>
      </c>
      <c r="H8" s="165">
        <v>18</v>
      </c>
      <c r="I8" s="165">
        <v>20</v>
      </c>
      <c r="J8" s="165">
        <v>31</v>
      </c>
      <c r="K8" s="165">
        <v>20</v>
      </c>
      <c r="L8" s="165">
        <v>43</v>
      </c>
      <c r="M8" s="166">
        <f t="shared" si="0"/>
        <v>25.227272727272727</v>
      </c>
      <c r="N8" s="26"/>
      <c r="O8" s="26"/>
      <c r="P8" s="26"/>
      <c r="Q8" s="26"/>
      <c r="R8" s="26"/>
      <c r="S8" s="26"/>
      <c r="T8" s="26"/>
      <c r="U8" s="26"/>
      <c r="V8" s="26"/>
      <c r="W8" s="26"/>
      <c r="X8" s="26"/>
      <c r="Y8" s="26"/>
      <c r="Z8" s="26"/>
      <c r="AA8" s="26"/>
      <c r="AB8" s="26"/>
      <c r="AC8" s="26"/>
      <c r="AD8" s="26"/>
      <c r="AE8" s="26"/>
      <c r="AF8" s="26"/>
      <c r="AG8" s="26"/>
      <c r="AH8" s="26"/>
      <c r="AI8" s="26"/>
      <c r="AJ8" s="26"/>
      <c r="AK8" s="26"/>
    </row>
    <row r="9" spans="1:37" ht="34.5" customHeight="1" x14ac:dyDescent="0.3">
      <c r="A9" s="19" t="s">
        <v>59</v>
      </c>
      <c r="B9" s="165">
        <v>64</v>
      </c>
      <c r="C9" s="165">
        <v>54</v>
      </c>
      <c r="D9" s="165">
        <v>63</v>
      </c>
      <c r="E9" s="165">
        <v>54</v>
      </c>
      <c r="F9" s="165">
        <v>52</v>
      </c>
      <c r="G9" s="165">
        <v>63.5</v>
      </c>
      <c r="H9" s="165">
        <v>58</v>
      </c>
      <c r="I9" s="165">
        <v>63</v>
      </c>
      <c r="J9" s="165">
        <v>54</v>
      </c>
      <c r="K9" s="165">
        <v>63</v>
      </c>
      <c r="L9" s="165">
        <v>52</v>
      </c>
      <c r="M9" s="166">
        <f t="shared" si="0"/>
        <v>58.227272727272727</v>
      </c>
      <c r="N9" s="26"/>
      <c r="O9" s="26"/>
      <c r="P9" s="26"/>
      <c r="Q9" s="26"/>
      <c r="R9" s="26"/>
      <c r="S9" s="26"/>
      <c r="T9" s="26"/>
      <c r="U9" s="26"/>
      <c r="V9" s="26"/>
      <c r="W9" s="26"/>
      <c r="X9" s="26"/>
      <c r="Y9" s="26"/>
      <c r="Z9" s="26"/>
      <c r="AA9" s="26"/>
      <c r="AB9" s="26"/>
      <c r="AC9" s="26"/>
      <c r="AD9" s="26"/>
      <c r="AE9" s="26"/>
      <c r="AF9" s="26"/>
      <c r="AG9" s="26"/>
      <c r="AH9" s="26"/>
      <c r="AI9" s="26"/>
      <c r="AJ9" s="26"/>
      <c r="AK9" s="26"/>
    </row>
    <row r="10" spans="1:37" ht="38.25" customHeight="1" outlineLevel="1" x14ac:dyDescent="0.3">
      <c r="A10" s="19" t="s">
        <v>748</v>
      </c>
      <c r="B10" s="165">
        <v>59</v>
      </c>
      <c r="C10" s="165">
        <v>36</v>
      </c>
      <c r="D10" s="165">
        <v>56</v>
      </c>
      <c r="E10" s="165">
        <v>36</v>
      </c>
      <c r="F10" s="165">
        <v>33.5</v>
      </c>
      <c r="G10" s="165">
        <v>57.5</v>
      </c>
      <c r="H10" s="165">
        <v>50</v>
      </c>
      <c r="I10" s="165">
        <v>56</v>
      </c>
      <c r="J10" s="165">
        <v>36</v>
      </c>
      <c r="K10" s="165">
        <v>56</v>
      </c>
      <c r="L10" s="165">
        <v>30</v>
      </c>
      <c r="M10" s="166">
        <f t="shared" si="0"/>
        <v>46</v>
      </c>
      <c r="N10" s="26"/>
      <c r="O10" s="26"/>
      <c r="P10" s="26"/>
      <c r="Q10" s="26"/>
      <c r="R10" s="26"/>
      <c r="S10" s="26"/>
      <c r="T10" s="26"/>
      <c r="U10" s="26"/>
      <c r="V10" s="26"/>
      <c r="W10" s="26"/>
      <c r="X10" s="26"/>
      <c r="Y10" s="26"/>
      <c r="Z10" s="26"/>
      <c r="AA10" s="26"/>
      <c r="AB10" s="26"/>
      <c r="AC10" s="26"/>
      <c r="AD10" s="26"/>
      <c r="AE10" s="26"/>
      <c r="AF10" s="26"/>
      <c r="AG10" s="26"/>
      <c r="AH10" s="26"/>
      <c r="AI10" s="26"/>
      <c r="AJ10" s="26"/>
      <c r="AK10" s="26"/>
    </row>
    <row r="11" spans="1:37" ht="38.25" customHeight="1" outlineLevel="1" x14ac:dyDescent="0.3">
      <c r="A11" s="19" t="s">
        <v>747</v>
      </c>
      <c r="B11" s="165">
        <v>5</v>
      </c>
      <c r="C11" s="165">
        <v>18</v>
      </c>
      <c r="D11" s="165">
        <v>7</v>
      </c>
      <c r="E11" s="165">
        <v>18</v>
      </c>
      <c r="F11" s="165">
        <v>18.5</v>
      </c>
      <c r="G11" s="165">
        <v>6</v>
      </c>
      <c r="H11" s="165">
        <v>8</v>
      </c>
      <c r="I11" s="165">
        <v>7</v>
      </c>
      <c r="J11" s="165">
        <v>18</v>
      </c>
      <c r="K11" s="165">
        <v>7</v>
      </c>
      <c r="L11" s="165">
        <v>22</v>
      </c>
      <c r="M11" s="166">
        <f t="shared" si="0"/>
        <v>12.227272727272727</v>
      </c>
      <c r="N11" s="26"/>
      <c r="O11" s="26"/>
      <c r="P11" s="26"/>
      <c r="Q11" s="26"/>
      <c r="R11" s="26"/>
      <c r="S11" s="26"/>
      <c r="T11" s="26"/>
      <c r="U11" s="26"/>
      <c r="V11" s="26"/>
      <c r="W11" s="26"/>
      <c r="X11" s="26"/>
      <c r="Y11" s="26"/>
      <c r="Z11" s="26"/>
      <c r="AA11" s="26"/>
      <c r="AB11" s="26"/>
      <c r="AC11" s="26"/>
      <c r="AD11" s="26"/>
      <c r="AE11" s="26"/>
      <c r="AF11" s="26"/>
      <c r="AG11" s="26"/>
      <c r="AH11" s="26"/>
      <c r="AI11" s="26"/>
      <c r="AJ11" s="26"/>
      <c r="AK11" s="26"/>
    </row>
    <row r="12" spans="1:37" ht="38.25" customHeight="1" x14ac:dyDescent="0.3">
      <c r="A12" s="19" t="s">
        <v>60</v>
      </c>
      <c r="B12" s="165">
        <v>136</v>
      </c>
      <c r="C12" s="165">
        <v>140</v>
      </c>
      <c r="D12" s="165">
        <v>140</v>
      </c>
      <c r="E12" s="165">
        <v>140</v>
      </c>
      <c r="F12" s="165">
        <v>139</v>
      </c>
      <c r="G12" s="165">
        <v>138</v>
      </c>
      <c r="H12" s="165">
        <v>108</v>
      </c>
      <c r="I12" s="165">
        <v>140</v>
      </c>
      <c r="J12" s="165">
        <v>140</v>
      </c>
      <c r="K12" s="165">
        <v>140</v>
      </c>
      <c r="L12" s="165">
        <v>235</v>
      </c>
      <c r="M12" s="166">
        <f t="shared" si="0"/>
        <v>145.09090909090909</v>
      </c>
      <c r="N12" s="55"/>
      <c r="O12" s="55"/>
      <c r="P12" s="55"/>
      <c r="Q12" s="55"/>
      <c r="R12" s="55"/>
      <c r="S12" s="55"/>
      <c r="T12" s="55"/>
      <c r="U12" s="55"/>
      <c r="V12" s="55"/>
      <c r="W12" s="55"/>
      <c r="X12" s="55"/>
      <c r="Y12" s="55"/>
      <c r="Z12" s="55"/>
      <c r="AA12" s="55"/>
      <c r="AB12" s="55"/>
      <c r="AC12" s="55"/>
      <c r="AD12" s="55"/>
      <c r="AE12" s="55"/>
      <c r="AF12" s="55"/>
      <c r="AG12" s="55"/>
      <c r="AH12" s="55"/>
      <c r="AI12" s="55"/>
      <c r="AJ12" s="55"/>
      <c r="AK12" s="55"/>
    </row>
    <row r="13" spans="1:37" ht="38.25" customHeight="1" outlineLevel="1" x14ac:dyDescent="0.3">
      <c r="A13" s="19" t="s">
        <v>748</v>
      </c>
      <c r="B13" s="165">
        <v>116</v>
      </c>
      <c r="C13" s="165">
        <v>37</v>
      </c>
      <c r="D13" s="165">
        <v>116</v>
      </c>
      <c r="E13" s="165">
        <v>37</v>
      </c>
      <c r="F13" s="165">
        <v>35</v>
      </c>
      <c r="G13" s="165">
        <v>116</v>
      </c>
      <c r="H13" s="165">
        <v>81</v>
      </c>
      <c r="I13" s="165">
        <v>116</v>
      </c>
      <c r="J13" s="165">
        <v>37</v>
      </c>
      <c r="K13" s="165">
        <v>116</v>
      </c>
      <c r="L13" s="165">
        <v>41</v>
      </c>
      <c r="M13" s="166">
        <f t="shared" si="0"/>
        <v>77.090909090909093</v>
      </c>
      <c r="N13" s="26"/>
      <c r="O13" s="26"/>
      <c r="P13" s="26"/>
      <c r="Q13" s="26"/>
      <c r="R13" s="26"/>
      <c r="S13" s="26"/>
      <c r="T13" s="26"/>
      <c r="U13" s="26"/>
      <c r="V13" s="26"/>
      <c r="W13" s="26"/>
      <c r="X13" s="26"/>
      <c r="Y13" s="26"/>
      <c r="Z13" s="26"/>
      <c r="AA13" s="26"/>
      <c r="AB13" s="26"/>
      <c r="AC13" s="26"/>
      <c r="AD13" s="26"/>
      <c r="AE13" s="26"/>
      <c r="AF13" s="26"/>
      <c r="AG13" s="26"/>
      <c r="AH13" s="26"/>
      <c r="AI13" s="26"/>
      <c r="AJ13" s="26"/>
      <c r="AK13" s="26"/>
    </row>
    <row r="14" spans="1:37" ht="38.25" customHeight="1" outlineLevel="1" x14ac:dyDescent="0.3">
      <c r="A14" s="19" t="s">
        <v>747</v>
      </c>
      <c r="B14" s="165">
        <v>20</v>
      </c>
      <c r="C14" s="165">
        <v>103</v>
      </c>
      <c r="D14" s="165">
        <v>24</v>
      </c>
      <c r="E14" s="165">
        <v>103</v>
      </c>
      <c r="F14" s="165">
        <v>104</v>
      </c>
      <c r="G14" s="165">
        <v>22</v>
      </c>
      <c r="H14" s="165">
        <v>27</v>
      </c>
      <c r="I14" s="165">
        <v>24</v>
      </c>
      <c r="J14" s="165">
        <v>103</v>
      </c>
      <c r="K14" s="165">
        <v>24</v>
      </c>
      <c r="L14" s="165">
        <v>194</v>
      </c>
      <c r="M14" s="166">
        <f t="shared" si="0"/>
        <v>68</v>
      </c>
      <c r="N14" s="26"/>
      <c r="O14" s="26"/>
      <c r="P14" s="26"/>
      <c r="Q14" s="26"/>
      <c r="R14" s="26"/>
      <c r="S14" s="26"/>
      <c r="T14" s="26"/>
      <c r="U14" s="26"/>
      <c r="V14" s="26"/>
      <c r="W14" s="26"/>
      <c r="X14" s="26"/>
      <c r="Y14" s="26"/>
      <c r="Z14" s="26"/>
      <c r="AA14" s="26"/>
      <c r="AB14" s="26"/>
      <c r="AC14" s="26"/>
      <c r="AD14" s="26"/>
      <c r="AE14" s="26"/>
      <c r="AF14" s="26"/>
      <c r="AG14" s="26"/>
      <c r="AH14" s="26"/>
      <c r="AI14" s="26"/>
      <c r="AJ14" s="26"/>
      <c r="AK14" s="26"/>
    </row>
    <row r="15" spans="1:37" ht="33" customHeight="1" x14ac:dyDescent="0.3">
      <c r="A15" s="19" t="s">
        <v>61</v>
      </c>
      <c r="B15" s="165">
        <v>20</v>
      </c>
      <c r="C15" s="165">
        <v>15</v>
      </c>
      <c r="D15" s="165">
        <v>15</v>
      </c>
      <c r="E15" s="165">
        <v>15</v>
      </c>
      <c r="F15" s="165">
        <v>13</v>
      </c>
      <c r="G15" s="165">
        <v>17.5</v>
      </c>
      <c r="H15" s="165">
        <v>13</v>
      </c>
      <c r="I15" s="165">
        <v>15</v>
      </c>
      <c r="J15" s="165">
        <v>15</v>
      </c>
      <c r="K15" s="165">
        <v>15</v>
      </c>
      <c r="L15" s="165">
        <v>5</v>
      </c>
      <c r="M15" s="166">
        <f t="shared" si="0"/>
        <v>14.409090909090908</v>
      </c>
      <c r="N15" s="26"/>
      <c r="O15" s="26"/>
      <c r="P15" s="26"/>
      <c r="Q15" s="26"/>
      <c r="R15" s="26"/>
      <c r="S15" s="26"/>
      <c r="T15" s="26"/>
      <c r="U15" s="26"/>
      <c r="V15" s="26"/>
      <c r="W15" s="26"/>
      <c r="X15" s="26"/>
      <c r="Y15" s="26"/>
      <c r="Z15" s="26"/>
      <c r="AA15" s="26"/>
      <c r="AB15" s="26"/>
      <c r="AC15" s="26"/>
      <c r="AD15" s="26"/>
      <c r="AE15" s="26"/>
      <c r="AF15" s="26"/>
      <c r="AG15" s="26"/>
      <c r="AH15" s="26"/>
      <c r="AI15" s="26"/>
      <c r="AJ15" s="26"/>
      <c r="AK15" s="26"/>
    </row>
    <row r="16" spans="1:37" ht="38.25" customHeight="1" outlineLevel="1" x14ac:dyDescent="0.3">
      <c r="A16" s="19" t="s">
        <v>748</v>
      </c>
      <c r="B16" s="165">
        <v>20</v>
      </c>
      <c r="C16" s="165">
        <v>12</v>
      </c>
      <c r="D16" s="165">
        <v>15</v>
      </c>
      <c r="E16" s="165">
        <v>12</v>
      </c>
      <c r="F16" s="165">
        <v>11</v>
      </c>
      <c r="G16" s="165">
        <v>17.5</v>
      </c>
      <c r="H16" s="165">
        <v>12</v>
      </c>
      <c r="I16" s="165">
        <v>15</v>
      </c>
      <c r="J16" s="165">
        <v>12</v>
      </c>
      <c r="K16" s="165">
        <v>15</v>
      </c>
      <c r="L16" s="165">
        <v>3</v>
      </c>
      <c r="M16" s="166">
        <f t="shared" si="0"/>
        <v>13.136363636363637</v>
      </c>
      <c r="N16" s="26"/>
      <c r="O16" s="26"/>
      <c r="P16" s="26"/>
      <c r="Q16" s="26"/>
      <c r="R16" s="26"/>
      <c r="S16" s="26"/>
      <c r="T16" s="26"/>
      <c r="U16" s="26"/>
      <c r="V16" s="26"/>
      <c r="W16" s="26"/>
      <c r="X16" s="26"/>
      <c r="Y16" s="26"/>
      <c r="Z16" s="26"/>
      <c r="AA16" s="26"/>
      <c r="AB16" s="26"/>
      <c r="AC16" s="26"/>
      <c r="AD16" s="26"/>
      <c r="AE16" s="26"/>
      <c r="AF16" s="26"/>
      <c r="AG16" s="26"/>
      <c r="AH16" s="26"/>
      <c r="AI16" s="26"/>
      <c r="AJ16" s="26"/>
      <c r="AK16" s="26"/>
    </row>
    <row r="17" spans="1:37" ht="38.25" customHeight="1" outlineLevel="1" x14ac:dyDescent="0.3">
      <c r="A17" s="19" t="s">
        <v>747</v>
      </c>
      <c r="B17" s="165">
        <v>0</v>
      </c>
      <c r="C17" s="165">
        <v>3</v>
      </c>
      <c r="D17" s="165">
        <v>0</v>
      </c>
      <c r="E17" s="165">
        <v>3</v>
      </c>
      <c r="F17" s="165">
        <v>2</v>
      </c>
      <c r="G17" s="165">
        <v>0</v>
      </c>
      <c r="H17" s="165">
        <v>1</v>
      </c>
      <c r="I17" s="165">
        <v>0</v>
      </c>
      <c r="J17" s="165">
        <v>3</v>
      </c>
      <c r="K17" s="165">
        <v>0</v>
      </c>
      <c r="L17" s="165">
        <v>2</v>
      </c>
      <c r="M17" s="166">
        <f t="shared" si="0"/>
        <v>1.2727272727272727</v>
      </c>
      <c r="N17" s="26"/>
      <c r="O17" s="26"/>
      <c r="P17" s="26"/>
      <c r="Q17" s="26"/>
      <c r="R17" s="26"/>
      <c r="S17" s="26"/>
      <c r="T17" s="26"/>
      <c r="U17" s="26"/>
      <c r="V17" s="26"/>
      <c r="W17" s="26"/>
      <c r="X17" s="26"/>
      <c r="Y17" s="26"/>
      <c r="Z17" s="26"/>
      <c r="AA17" s="26"/>
      <c r="AB17" s="26"/>
      <c r="AC17" s="26"/>
      <c r="AD17" s="26"/>
      <c r="AE17" s="26"/>
      <c r="AF17" s="26"/>
      <c r="AG17" s="26"/>
      <c r="AH17" s="26"/>
      <c r="AI17" s="26"/>
      <c r="AJ17" s="26"/>
      <c r="AK17" s="26"/>
    </row>
    <row r="18" spans="1:37" ht="33" customHeight="1" x14ac:dyDescent="0.3">
      <c r="A18" s="19" t="s">
        <v>714</v>
      </c>
      <c r="B18" s="165">
        <v>97</v>
      </c>
      <c r="C18" s="165"/>
      <c r="D18" s="165">
        <v>101</v>
      </c>
      <c r="E18" s="165"/>
      <c r="F18" s="165">
        <v>52</v>
      </c>
      <c r="G18" s="165">
        <v>99</v>
      </c>
      <c r="H18" s="165">
        <v>81</v>
      </c>
      <c r="I18" s="165">
        <v>101</v>
      </c>
      <c r="J18" s="165"/>
      <c r="K18" s="165">
        <v>101</v>
      </c>
      <c r="L18" s="165">
        <v>43</v>
      </c>
      <c r="M18" s="166">
        <f t="shared" si="0"/>
        <v>84.375</v>
      </c>
      <c r="N18" s="26"/>
      <c r="O18" s="26"/>
      <c r="P18" s="26"/>
      <c r="Q18" s="26"/>
      <c r="R18" s="26"/>
      <c r="S18" s="26"/>
      <c r="T18" s="26"/>
      <c r="U18" s="26"/>
      <c r="V18" s="26"/>
      <c r="W18" s="26"/>
      <c r="X18" s="26"/>
      <c r="Y18" s="26"/>
      <c r="Z18" s="26"/>
      <c r="AA18" s="26"/>
      <c r="AB18" s="26"/>
      <c r="AC18" s="26"/>
      <c r="AD18" s="26"/>
      <c r="AE18" s="26"/>
      <c r="AF18" s="26"/>
      <c r="AG18" s="26"/>
      <c r="AH18" s="26"/>
      <c r="AI18" s="26"/>
      <c r="AJ18" s="26"/>
      <c r="AK18" s="26"/>
    </row>
    <row r="19" spans="1:37" ht="36" customHeight="1" outlineLevel="1" x14ac:dyDescent="0.3">
      <c r="A19" s="19" t="s">
        <v>748</v>
      </c>
      <c r="B19" s="165">
        <v>97</v>
      </c>
      <c r="C19" s="165"/>
      <c r="D19" s="165">
        <v>101</v>
      </c>
      <c r="E19" s="165"/>
      <c r="F19" s="165">
        <v>50</v>
      </c>
      <c r="G19" s="165">
        <v>99</v>
      </c>
      <c r="H19" s="165">
        <v>81</v>
      </c>
      <c r="I19" s="165">
        <v>101</v>
      </c>
      <c r="J19" s="165"/>
      <c r="K19" s="165">
        <v>101</v>
      </c>
      <c r="L19" s="165">
        <v>43</v>
      </c>
      <c r="M19" s="166">
        <f t="shared" si="0"/>
        <v>84.125</v>
      </c>
      <c r="N19" s="26"/>
      <c r="O19" s="26"/>
      <c r="P19" s="26"/>
      <c r="Q19" s="26"/>
      <c r="R19" s="26"/>
      <c r="S19" s="26"/>
      <c r="T19" s="26"/>
      <c r="U19" s="26"/>
      <c r="V19" s="26"/>
      <c r="W19" s="26"/>
      <c r="X19" s="26"/>
      <c r="Y19" s="26"/>
      <c r="Z19" s="26"/>
      <c r="AA19" s="26"/>
      <c r="AB19" s="26"/>
      <c r="AC19" s="26"/>
      <c r="AD19" s="26"/>
      <c r="AE19" s="26"/>
      <c r="AF19" s="26"/>
      <c r="AG19" s="26"/>
      <c r="AH19" s="26"/>
      <c r="AI19" s="26"/>
      <c r="AJ19" s="26"/>
      <c r="AK19" s="26"/>
    </row>
    <row r="20" spans="1:37" ht="36" customHeight="1" outlineLevel="1" x14ac:dyDescent="0.3">
      <c r="A20" s="19" t="s">
        <v>747</v>
      </c>
      <c r="B20" s="165">
        <v>0</v>
      </c>
      <c r="C20" s="165"/>
      <c r="D20" s="165">
        <v>0</v>
      </c>
      <c r="E20" s="165"/>
      <c r="F20" s="165">
        <v>2</v>
      </c>
      <c r="G20" s="165">
        <v>0</v>
      </c>
      <c r="H20" s="165">
        <v>0</v>
      </c>
      <c r="I20" s="165">
        <v>0</v>
      </c>
      <c r="J20" s="165"/>
      <c r="K20" s="165">
        <v>0</v>
      </c>
      <c r="L20" s="165">
        <v>0</v>
      </c>
      <c r="M20" s="166">
        <f t="shared" si="0"/>
        <v>0.25</v>
      </c>
      <c r="N20" s="26"/>
      <c r="O20" s="26"/>
      <c r="P20" s="26"/>
      <c r="Q20" s="26"/>
      <c r="R20" s="26"/>
      <c r="S20" s="26"/>
      <c r="T20" s="26"/>
      <c r="U20" s="26"/>
      <c r="V20" s="26"/>
      <c r="W20" s="26"/>
      <c r="X20" s="26"/>
      <c r="Y20" s="26"/>
      <c r="Z20" s="26"/>
      <c r="AA20" s="26"/>
      <c r="AB20" s="26"/>
      <c r="AC20" s="26"/>
      <c r="AD20" s="26"/>
      <c r="AE20" s="26"/>
      <c r="AF20" s="26"/>
      <c r="AG20" s="26"/>
      <c r="AH20" s="26"/>
      <c r="AI20" s="26"/>
      <c r="AJ20" s="26"/>
      <c r="AK20" s="26"/>
    </row>
    <row r="21" spans="1:37" ht="30.75" customHeight="1" x14ac:dyDescent="0.3">
      <c r="A21" s="19" t="s">
        <v>63</v>
      </c>
      <c r="B21" s="165"/>
      <c r="C21" s="165"/>
      <c r="D21" s="165"/>
      <c r="E21" s="165"/>
      <c r="F21" s="165">
        <f>F22+F23</f>
        <v>73</v>
      </c>
      <c r="G21" s="165"/>
      <c r="H21" s="165">
        <f t="shared" ref="H21" si="1">H22+H23</f>
        <v>74</v>
      </c>
      <c r="I21" s="165"/>
      <c r="J21" s="165"/>
      <c r="K21" s="165"/>
      <c r="L21" s="165">
        <f>L22+L23</f>
        <v>84</v>
      </c>
      <c r="M21" s="166">
        <f t="shared" si="0"/>
        <v>77</v>
      </c>
      <c r="N21" s="26"/>
      <c r="O21" s="26"/>
      <c r="P21" s="26"/>
      <c r="Q21" s="26"/>
      <c r="R21" s="26"/>
      <c r="S21" s="26"/>
      <c r="T21" s="26"/>
      <c r="U21" s="26"/>
      <c r="V21" s="26"/>
      <c r="W21" s="26"/>
      <c r="X21" s="26"/>
      <c r="Y21" s="26"/>
      <c r="Z21" s="26"/>
      <c r="AA21" s="26"/>
      <c r="AB21" s="26"/>
      <c r="AC21" s="26"/>
      <c r="AD21" s="26"/>
      <c r="AE21" s="26"/>
      <c r="AF21" s="26"/>
      <c r="AG21" s="26"/>
      <c r="AH21" s="26"/>
      <c r="AI21" s="26"/>
      <c r="AJ21" s="26"/>
      <c r="AK21" s="26"/>
    </row>
    <row r="22" spans="1:37" ht="38.25" customHeight="1" outlineLevel="1" x14ac:dyDescent="0.3">
      <c r="A22" s="19" t="s">
        <v>748</v>
      </c>
      <c r="B22" s="165"/>
      <c r="C22" s="165"/>
      <c r="D22" s="165"/>
      <c r="E22" s="165"/>
      <c r="F22" s="165">
        <f>249-176-F23</f>
        <v>42</v>
      </c>
      <c r="G22" s="165"/>
      <c r="H22" s="165">
        <f>253-179-H23</f>
        <v>55</v>
      </c>
      <c r="I22" s="165"/>
      <c r="J22" s="165"/>
      <c r="K22" s="165"/>
      <c r="L22" s="165">
        <f>266-182-L23</f>
        <v>43</v>
      </c>
      <c r="M22" s="166">
        <f t="shared" si="0"/>
        <v>46.666666666666664</v>
      </c>
      <c r="N22" s="26"/>
      <c r="O22" s="26"/>
      <c r="P22" s="26"/>
      <c r="Q22" s="26"/>
      <c r="R22" s="26"/>
      <c r="S22" s="26"/>
      <c r="T22" s="26"/>
      <c r="U22" s="26"/>
      <c r="V22" s="26"/>
      <c r="W22" s="26"/>
      <c r="X22" s="26"/>
      <c r="Y22" s="26"/>
      <c r="Z22" s="26"/>
      <c r="AA22" s="26"/>
      <c r="AB22" s="26"/>
      <c r="AC22" s="26"/>
      <c r="AD22" s="26"/>
      <c r="AE22" s="26"/>
      <c r="AF22" s="26"/>
      <c r="AG22" s="26"/>
      <c r="AH22" s="26"/>
      <c r="AI22" s="26"/>
      <c r="AJ22" s="26"/>
      <c r="AK22" s="26"/>
    </row>
    <row r="23" spans="1:37" ht="38.25" customHeight="1" outlineLevel="1" x14ac:dyDescent="0.3">
      <c r="A23" s="19" t="s">
        <v>747</v>
      </c>
      <c r="B23" s="165"/>
      <c r="C23" s="165"/>
      <c r="D23" s="165"/>
      <c r="E23" s="165"/>
      <c r="F23" s="165">
        <f>45-16+2-0</f>
        <v>31</v>
      </c>
      <c r="G23" s="165"/>
      <c r="H23" s="165">
        <f>26-7</f>
        <v>19</v>
      </c>
      <c r="I23" s="165"/>
      <c r="J23" s="165"/>
      <c r="K23" s="165"/>
      <c r="L23" s="165">
        <f>55-20+10-4</f>
        <v>41</v>
      </c>
      <c r="M23" s="166">
        <f t="shared" si="0"/>
        <v>30.333333333333332</v>
      </c>
      <c r="N23" s="26"/>
      <c r="O23" s="26"/>
      <c r="P23" s="26"/>
      <c r="Q23" s="26"/>
      <c r="R23" s="26"/>
      <c r="S23" s="26"/>
      <c r="T23" s="26"/>
      <c r="U23" s="26"/>
      <c r="V23" s="26"/>
      <c r="W23" s="26"/>
      <c r="X23" s="26"/>
      <c r="Y23" s="26"/>
      <c r="Z23" s="26"/>
      <c r="AA23" s="26"/>
      <c r="AB23" s="26"/>
      <c r="AC23" s="26"/>
      <c r="AD23" s="26"/>
      <c r="AE23" s="26"/>
      <c r="AF23" s="26"/>
      <c r="AG23" s="26"/>
      <c r="AH23" s="26"/>
      <c r="AI23" s="26"/>
      <c r="AJ23" s="26"/>
      <c r="AK23" s="26"/>
    </row>
    <row r="24" spans="1:37" ht="29.25" customHeight="1" x14ac:dyDescent="0.3">
      <c r="A24" s="19" t="s">
        <v>64</v>
      </c>
      <c r="B24" s="165"/>
      <c r="C24" s="165"/>
      <c r="D24" s="165">
        <f>D25+D26</f>
        <v>88</v>
      </c>
      <c r="E24" s="165"/>
      <c r="F24" s="165">
        <f>F25+F26</f>
        <v>104</v>
      </c>
      <c r="G24" s="165"/>
      <c r="H24" s="165">
        <f t="shared" ref="H24" si="2">H25+H26</f>
        <v>88</v>
      </c>
      <c r="I24" s="165"/>
      <c r="J24" s="165"/>
      <c r="K24" s="165"/>
      <c r="L24" s="165">
        <f>L25+L26</f>
        <v>89</v>
      </c>
      <c r="M24" s="166">
        <f t="shared" si="0"/>
        <v>92.25</v>
      </c>
      <c r="N24" s="26"/>
      <c r="O24" s="26"/>
      <c r="P24" s="26"/>
      <c r="Q24" s="26"/>
      <c r="R24" s="26"/>
      <c r="S24" s="26"/>
      <c r="T24" s="26"/>
      <c r="U24" s="26"/>
      <c r="V24" s="26"/>
      <c r="W24" s="26"/>
      <c r="X24" s="26"/>
      <c r="Y24" s="26"/>
      <c r="Z24" s="26"/>
      <c r="AA24" s="26"/>
      <c r="AB24" s="26"/>
      <c r="AC24" s="26"/>
      <c r="AD24" s="26"/>
      <c r="AE24" s="26"/>
      <c r="AF24" s="26"/>
      <c r="AG24" s="26"/>
      <c r="AH24" s="26"/>
      <c r="AI24" s="26"/>
      <c r="AJ24" s="26"/>
      <c r="AK24" s="26"/>
    </row>
    <row r="25" spans="1:37" ht="38.25" hidden="1" customHeight="1" outlineLevel="1" x14ac:dyDescent="0.3">
      <c r="A25" s="19" t="s">
        <v>105</v>
      </c>
      <c r="B25" s="53"/>
      <c r="C25" s="53"/>
      <c r="D25" s="53">
        <f>'NGA-Retail'!D19-'NGA-Retail'!D59</f>
        <v>88</v>
      </c>
      <c r="E25" s="53"/>
      <c r="F25" s="53">
        <f>241-137-F26</f>
        <v>75</v>
      </c>
      <c r="G25" s="53"/>
      <c r="H25" s="53">
        <f>217-129-H26</f>
        <v>82</v>
      </c>
      <c r="I25" s="53"/>
      <c r="J25" s="53"/>
      <c r="K25" s="53"/>
      <c r="L25" s="53">
        <f>228-139-L26</f>
        <v>75</v>
      </c>
      <c r="M25" s="54">
        <f t="shared" si="0"/>
        <v>80</v>
      </c>
      <c r="N25" s="26"/>
      <c r="O25" s="26"/>
      <c r="P25" s="26"/>
      <c r="Q25" s="26"/>
      <c r="R25" s="26"/>
      <c r="S25" s="26"/>
      <c r="T25" s="26"/>
      <c r="U25" s="26"/>
      <c r="V25" s="26"/>
      <c r="W25" s="26"/>
      <c r="X25" s="26"/>
      <c r="Y25" s="26"/>
      <c r="Z25" s="26"/>
      <c r="AA25" s="26"/>
      <c r="AB25" s="26"/>
      <c r="AC25" s="26"/>
      <c r="AD25" s="26"/>
      <c r="AE25" s="26"/>
      <c r="AF25" s="26"/>
      <c r="AG25" s="26"/>
      <c r="AH25" s="26"/>
      <c r="AI25" s="26"/>
      <c r="AJ25" s="26"/>
      <c r="AK25" s="26"/>
    </row>
    <row r="26" spans="1:37" ht="38.25" hidden="1" customHeight="1" outlineLevel="1" x14ac:dyDescent="0.3">
      <c r="A26" s="19" t="s">
        <v>106</v>
      </c>
      <c r="B26" s="53"/>
      <c r="C26" s="53"/>
      <c r="D26" s="53">
        <f>'NGA-Retail'!D20-'NGA-Retail'!D60</f>
        <v>0</v>
      </c>
      <c r="E26" s="53"/>
      <c r="F26" s="53">
        <f>29-16+26-10</f>
        <v>29</v>
      </c>
      <c r="G26" s="53"/>
      <c r="H26" s="53">
        <f>14-8</f>
        <v>6</v>
      </c>
      <c r="I26" s="53"/>
      <c r="J26" s="53"/>
      <c r="K26" s="53"/>
      <c r="L26" s="53">
        <f>37-21+2-4</f>
        <v>14</v>
      </c>
      <c r="M26" s="54">
        <f t="shared" si="0"/>
        <v>12.25</v>
      </c>
      <c r="N26" s="26"/>
      <c r="O26" s="26"/>
      <c r="P26" s="26"/>
      <c r="Q26" s="26"/>
      <c r="R26" s="26"/>
      <c r="S26" s="26"/>
      <c r="T26" s="26"/>
      <c r="U26" s="26"/>
      <c r="V26" s="26"/>
      <c r="W26" s="26"/>
      <c r="X26" s="26"/>
      <c r="Y26" s="26"/>
      <c r="Z26" s="26"/>
      <c r="AA26" s="26"/>
      <c r="AB26" s="26"/>
      <c r="AC26" s="26"/>
      <c r="AD26" s="26"/>
      <c r="AE26" s="26"/>
      <c r="AF26" s="26"/>
      <c r="AG26" s="26"/>
      <c r="AH26" s="26"/>
      <c r="AI26" s="26"/>
      <c r="AJ26" s="26"/>
      <c r="AK26" s="26"/>
    </row>
    <row r="27" spans="1:37" ht="82.5" customHeight="1" collapsed="1" x14ac:dyDescent="0.3">
      <c r="A27" s="50"/>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row>
    <row r="28" spans="1:37" ht="79.5" customHeight="1" x14ac:dyDescent="0.35">
      <c r="A28" s="19" t="s">
        <v>107</v>
      </c>
      <c r="I28" s="44"/>
      <c r="J28" s="44"/>
      <c r="K28" s="44"/>
      <c r="L28" s="44"/>
      <c r="M28" s="44"/>
      <c r="N28" s="44"/>
      <c r="O28" s="44"/>
      <c r="P28" s="44"/>
      <c r="Q28" s="44"/>
      <c r="R28" s="44"/>
      <c r="S28" s="44"/>
      <c r="T28" s="44"/>
      <c r="U28" s="44"/>
      <c r="V28" s="44"/>
    </row>
    <row r="29" spans="1:37" ht="57" hidden="1" customHeight="1" outlineLevel="1" x14ac:dyDescent="0.35">
      <c r="A29" s="47"/>
      <c r="B29" s="56" t="s">
        <v>750</v>
      </c>
      <c r="C29" s="56" t="s">
        <v>749</v>
      </c>
      <c r="D29" s="56" t="s">
        <v>101</v>
      </c>
      <c r="E29" s="56" t="s">
        <v>749</v>
      </c>
      <c r="F29" s="56" t="s">
        <v>751</v>
      </c>
      <c r="G29" s="56" t="s">
        <v>752</v>
      </c>
      <c r="H29" s="38" t="s">
        <v>100</v>
      </c>
      <c r="I29" s="38" t="s">
        <v>101</v>
      </c>
      <c r="J29" s="38" t="s">
        <v>749</v>
      </c>
      <c r="K29" s="38" t="s">
        <v>101</v>
      </c>
      <c r="L29" s="38" t="s">
        <v>103</v>
      </c>
      <c r="M29" s="44"/>
      <c r="N29" s="44"/>
      <c r="O29" s="44"/>
      <c r="P29" s="44"/>
      <c r="Q29" s="44"/>
      <c r="R29" s="44"/>
      <c r="S29" s="44"/>
      <c r="T29" s="44"/>
      <c r="U29" s="44"/>
      <c r="V29" s="44"/>
    </row>
    <row r="30" spans="1:37" ht="36" hidden="1" customHeight="1" outlineLevel="1" x14ac:dyDescent="0.35">
      <c r="A30" s="47"/>
      <c r="B30" s="57">
        <f t="shared" ref="B30:L30" si="3">AVERAGE(B6,B9,B12,B15,B18,B21,B24)</f>
        <v>71</v>
      </c>
      <c r="C30" s="57">
        <f t="shared" si="3"/>
        <v>65.25</v>
      </c>
      <c r="D30" s="57">
        <f t="shared" si="3"/>
        <v>75</v>
      </c>
      <c r="E30" s="57">
        <f t="shared" si="3"/>
        <v>65.25</v>
      </c>
      <c r="F30" s="57">
        <f t="shared" si="3"/>
        <v>69.857142857142861</v>
      </c>
      <c r="G30" s="57">
        <f t="shared" si="3"/>
        <v>71.7</v>
      </c>
      <c r="H30" s="57">
        <f t="shared" si="3"/>
        <v>65.857142857142861</v>
      </c>
      <c r="I30" s="57">
        <f t="shared" si="3"/>
        <v>72.400000000000006</v>
      </c>
      <c r="J30" s="57">
        <f t="shared" si="3"/>
        <v>65.25</v>
      </c>
      <c r="K30" s="57">
        <f t="shared" si="3"/>
        <v>72.400000000000006</v>
      </c>
      <c r="L30" s="57">
        <f t="shared" si="3"/>
        <v>82.428571428571431</v>
      </c>
      <c r="M30" s="44"/>
      <c r="N30" s="44"/>
      <c r="O30" s="44"/>
      <c r="P30" s="44"/>
      <c r="Q30" s="44"/>
      <c r="R30" s="44"/>
      <c r="S30" s="44"/>
      <c r="T30" s="44"/>
      <c r="U30" s="44"/>
      <c r="V30" s="44"/>
    </row>
    <row r="31" spans="1:37" ht="15.75" hidden="1" customHeight="1" outlineLevel="1" x14ac:dyDescent="0.35">
      <c r="A31" s="47"/>
      <c r="I31" s="44"/>
      <c r="J31" s="44"/>
      <c r="K31" s="44"/>
      <c r="L31" s="44"/>
      <c r="M31" s="44"/>
      <c r="N31" s="44"/>
      <c r="O31" s="44"/>
      <c r="P31" s="44"/>
      <c r="Q31" s="44"/>
      <c r="R31" s="44"/>
      <c r="S31" s="44"/>
      <c r="T31" s="44"/>
      <c r="U31" s="44"/>
      <c r="V31" s="44"/>
    </row>
    <row r="32" spans="1:37" ht="15.75" customHeight="1" collapsed="1" x14ac:dyDescent="0.35">
      <c r="A32" s="18" t="s">
        <v>101</v>
      </c>
      <c r="B32" s="58">
        <f>AVERAGE(D30:D30,G30,I30)</f>
        <v>73.033333333333331</v>
      </c>
      <c r="I32" s="44"/>
      <c r="J32" s="44"/>
      <c r="K32" s="44"/>
      <c r="L32" s="44"/>
      <c r="M32" s="44"/>
      <c r="N32" s="44"/>
      <c r="O32" s="44"/>
      <c r="P32" s="44"/>
      <c r="Q32" s="44"/>
      <c r="R32" s="44"/>
      <c r="S32" s="44"/>
      <c r="T32" s="44"/>
      <c r="U32" s="44"/>
      <c r="V32" s="44"/>
    </row>
    <row r="33" spans="1:37" ht="15.75" customHeight="1" x14ac:dyDescent="0.35">
      <c r="A33" s="18" t="s">
        <v>100</v>
      </c>
      <c r="B33" s="58">
        <f>AVERAGE(H30)</f>
        <v>65.857142857142861</v>
      </c>
      <c r="I33" s="44"/>
      <c r="J33" s="44"/>
      <c r="K33" s="44"/>
      <c r="L33" s="44"/>
      <c r="M33" s="44"/>
      <c r="N33" s="44"/>
      <c r="O33" s="44"/>
      <c r="P33" s="44"/>
      <c r="Q33" s="44"/>
      <c r="R33" s="44"/>
      <c r="S33" s="44"/>
      <c r="T33" s="44"/>
      <c r="U33" s="44"/>
      <c r="V33" s="44"/>
    </row>
    <row r="34" spans="1:37" ht="15.75" customHeight="1" x14ac:dyDescent="0.35">
      <c r="A34" s="18" t="s">
        <v>108</v>
      </c>
      <c r="B34" s="58">
        <f>AVERAGE(B30,G30)</f>
        <v>71.349999999999994</v>
      </c>
      <c r="I34" s="44"/>
      <c r="J34" s="44"/>
      <c r="K34" s="44"/>
      <c r="L34" s="44"/>
      <c r="M34" s="44"/>
      <c r="N34" s="44"/>
      <c r="O34" s="44"/>
      <c r="P34" s="44"/>
      <c r="Q34" s="44"/>
      <c r="R34" s="44"/>
      <c r="S34" s="44"/>
      <c r="T34" s="44"/>
      <c r="U34" s="44"/>
      <c r="V34" s="44"/>
    </row>
    <row r="35" spans="1:37" ht="15.75" customHeight="1" x14ac:dyDescent="0.35">
      <c r="A35" s="18" t="s">
        <v>109</v>
      </c>
      <c r="B35" s="58">
        <f>AVERAGE(F30)</f>
        <v>69.857142857142861</v>
      </c>
      <c r="I35" s="44"/>
      <c r="J35" s="44"/>
      <c r="K35" s="44"/>
      <c r="L35" s="44"/>
      <c r="M35" s="44"/>
      <c r="N35" s="44"/>
      <c r="O35" s="44"/>
      <c r="P35" s="44"/>
      <c r="Q35" s="44"/>
      <c r="R35" s="44"/>
      <c r="S35" s="44"/>
      <c r="T35" s="44"/>
      <c r="U35" s="44"/>
      <c r="V35" s="44"/>
    </row>
    <row r="36" spans="1:37" ht="15.75" customHeight="1" x14ac:dyDescent="0.35">
      <c r="A36" s="18" t="s">
        <v>110</v>
      </c>
      <c r="B36" s="58">
        <f>AVERAGE(C30,E30,J30)</f>
        <v>65.25</v>
      </c>
      <c r="I36" s="44"/>
      <c r="J36" s="44"/>
      <c r="K36" s="44"/>
      <c r="L36" s="44"/>
      <c r="M36" s="44"/>
      <c r="N36" s="44"/>
      <c r="O36" s="44"/>
      <c r="P36" s="44"/>
      <c r="Q36" s="44"/>
      <c r="R36" s="44"/>
      <c r="S36" s="44"/>
      <c r="T36" s="44"/>
      <c r="U36" s="44"/>
      <c r="V36" s="44"/>
    </row>
    <row r="37" spans="1:37" ht="15.75" customHeight="1" x14ac:dyDescent="0.35">
      <c r="A37" s="18" t="s">
        <v>103</v>
      </c>
      <c r="B37" s="58">
        <f>AVERAGE(L30)</f>
        <v>82.428571428571431</v>
      </c>
      <c r="I37" s="44"/>
      <c r="J37" s="44"/>
      <c r="K37" s="44"/>
      <c r="L37" s="44"/>
      <c r="M37" s="44"/>
      <c r="N37" s="44"/>
      <c r="O37" s="44"/>
      <c r="P37" s="44"/>
      <c r="Q37" s="44"/>
      <c r="R37" s="44"/>
      <c r="S37" s="44"/>
      <c r="T37" s="44"/>
      <c r="U37" s="44"/>
      <c r="V37" s="44"/>
    </row>
    <row r="38" spans="1:37" ht="15.75" customHeight="1" x14ac:dyDescent="0.35">
      <c r="A38" s="47"/>
      <c r="I38" s="44"/>
      <c r="J38" s="44"/>
      <c r="K38" s="44"/>
      <c r="L38" s="44"/>
      <c r="M38" s="44"/>
      <c r="N38" s="44"/>
      <c r="O38" s="44"/>
      <c r="P38" s="44"/>
      <c r="Q38" s="44"/>
      <c r="R38" s="44"/>
      <c r="S38" s="44"/>
      <c r="T38" s="44"/>
      <c r="U38" s="44"/>
      <c r="V38" s="44"/>
    </row>
    <row r="39" spans="1:37" ht="15.75" customHeight="1" x14ac:dyDescent="0.35">
      <c r="A39" s="47"/>
      <c r="I39" s="44"/>
      <c r="J39" s="44"/>
      <c r="K39" s="44"/>
      <c r="L39" s="44"/>
      <c r="M39" s="44"/>
      <c r="N39" s="44"/>
      <c r="O39" s="44"/>
      <c r="P39" s="44"/>
      <c r="Q39" s="44"/>
      <c r="R39" s="44"/>
      <c r="S39" s="44"/>
      <c r="T39" s="44"/>
      <c r="U39" s="44"/>
      <c r="V39" s="44"/>
    </row>
    <row r="40" spans="1:37" ht="15.75" customHeight="1" x14ac:dyDescent="0.35">
      <c r="A40" s="47"/>
      <c r="I40" s="44"/>
      <c r="J40" s="44"/>
      <c r="K40" s="44"/>
      <c r="L40" s="44"/>
      <c r="M40" s="44"/>
      <c r="N40" s="44"/>
      <c r="O40" s="44"/>
      <c r="P40" s="44"/>
      <c r="Q40" s="44"/>
      <c r="R40" s="44"/>
      <c r="S40" s="44"/>
      <c r="T40" s="44"/>
      <c r="U40" s="44"/>
      <c r="V40" s="44"/>
    </row>
    <row r="41" spans="1:37" ht="42" customHeight="1" x14ac:dyDescent="0.3">
      <c r="A41" s="15" t="s">
        <v>112</v>
      </c>
      <c r="B41" s="15"/>
      <c r="C41" s="15"/>
      <c r="D41" s="15"/>
      <c r="E41" s="15"/>
      <c r="F41" s="15"/>
      <c r="G41" s="15"/>
      <c r="H41" s="15"/>
      <c r="I41" s="15"/>
      <c r="J41" s="15"/>
      <c r="K41" s="16"/>
      <c r="L41" s="16"/>
      <c r="M41" s="16"/>
      <c r="N41" s="16"/>
      <c r="O41" s="15"/>
      <c r="P41" s="15"/>
      <c r="Q41" s="15"/>
      <c r="R41" s="15"/>
      <c r="S41" s="15"/>
      <c r="T41" s="15"/>
      <c r="U41" s="15"/>
      <c r="V41" s="15"/>
      <c r="W41" s="15"/>
      <c r="X41" s="15"/>
      <c r="Y41" s="15"/>
      <c r="Z41" s="15"/>
      <c r="AA41" s="15"/>
      <c r="AB41" s="15"/>
      <c r="AC41" s="15"/>
      <c r="AD41" s="15"/>
      <c r="AE41" s="15"/>
      <c r="AF41" s="15"/>
      <c r="AG41" s="15"/>
      <c r="AH41" s="15"/>
      <c r="AI41" s="15"/>
      <c r="AJ41" s="15"/>
      <c r="AK41" s="15"/>
    </row>
    <row r="42" spans="1:37" ht="42" customHeight="1" x14ac:dyDescent="0.3">
      <c r="A42" s="31" t="s">
        <v>92</v>
      </c>
      <c r="B42" s="36"/>
      <c r="C42" s="36"/>
      <c r="D42" s="36"/>
      <c r="E42" s="36"/>
      <c r="F42" s="36"/>
      <c r="G42" s="36"/>
      <c r="H42" s="36"/>
      <c r="I42" s="36"/>
      <c r="J42" s="36"/>
      <c r="K42" s="37"/>
      <c r="L42" s="37"/>
      <c r="M42" s="37"/>
      <c r="N42" s="37"/>
      <c r="O42" s="36"/>
      <c r="P42" s="36"/>
      <c r="Q42" s="36"/>
      <c r="R42" s="36"/>
      <c r="S42" s="36"/>
      <c r="T42" s="36"/>
      <c r="U42" s="36"/>
      <c r="V42" s="36"/>
      <c r="W42" s="36"/>
      <c r="X42" s="36"/>
      <c r="Y42" s="36"/>
      <c r="Z42" s="36"/>
      <c r="AA42" s="36"/>
      <c r="AB42" s="36"/>
      <c r="AC42" s="36"/>
      <c r="AD42" s="36"/>
      <c r="AE42" s="36"/>
      <c r="AF42" s="36"/>
      <c r="AG42" s="36"/>
      <c r="AH42" s="36"/>
      <c r="AI42" s="36"/>
      <c r="AJ42" s="36"/>
      <c r="AK42" s="36"/>
    </row>
    <row r="43" spans="1:37" ht="33" customHeight="1" x14ac:dyDescent="0.35">
      <c r="A43" s="19" t="s">
        <v>85</v>
      </c>
      <c r="B43" s="19" t="s">
        <v>46</v>
      </c>
      <c r="C43" s="19" t="s">
        <v>48</v>
      </c>
      <c r="D43" s="19" t="s">
        <v>49</v>
      </c>
      <c r="E43" s="19" t="s">
        <v>50</v>
      </c>
      <c r="F43" s="19" t="s">
        <v>51</v>
      </c>
      <c r="G43" s="19" t="s">
        <v>52</v>
      </c>
      <c r="H43" s="19" t="s">
        <v>53</v>
      </c>
      <c r="I43" s="19" t="s">
        <v>54</v>
      </c>
      <c r="J43" s="19" t="s">
        <v>55</v>
      </c>
      <c r="K43" s="19" t="s">
        <v>763</v>
      </c>
      <c r="L43" s="19" t="s">
        <v>648</v>
      </c>
      <c r="M43" s="38" t="s">
        <v>113</v>
      </c>
      <c r="N43" s="44"/>
      <c r="O43" s="44"/>
      <c r="P43" s="44"/>
      <c r="Q43" s="44"/>
      <c r="R43" s="44"/>
      <c r="S43" s="44"/>
      <c r="T43" s="44"/>
      <c r="U43" s="44"/>
      <c r="V43" s="44"/>
    </row>
    <row r="44" spans="1:37" ht="15.75" hidden="1" customHeight="1" x14ac:dyDescent="0.35">
      <c r="A44" s="19" t="s">
        <v>94</v>
      </c>
      <c r="B44" s="48" t="s">
        <v>95</v>
      </c>
      <c r="C44" s="48" t="s">
        <v>96</v>
      </c>
      <c r="D44" s="48" t="s">
        <v>97</v>
      </c>
      <c r="E44" s="48" t="s">
        <v>96</v>
      </c>
      <c r="F44" s="48" t="s">
        <v>98</v>
      </c>
      <c r="G44" s="48" t="s">
        <v>99</v>
      </c>
      <c r="H44" s="49" t="s">
        <v>100</v>
      </c>
      <c r="I44" s="49" t="s">
        <v>101</v>
      </c>
      <c r="J44" s="49" t="s">
        <v>102</v>
      </c>
      <c r="K44" s="49" t="s">
        <v>101</v>
      </c>
      <c r="L44" s="49" t="s">
        <v>103</v>
      </c>
      <c r="M44" s="44"/>
      <c r="N44" s="44"/>
      <c r="O44" s="44"/>
      <c r="P44" s="44"/>
      <c r="Q44" s="44"/>
      <c r="R44" s="44"/>
      <c r="S44" s="44"/>
      <c r="T44" s="44"/>
      <c r="U44" s="44"/>
      <c r="V44" s="44"/>
    </row>
    <row r="45" spans="1:37" ht="66" hidden="1" customHeight="1" x14ac:dyDescent="0.3">
      <c r="A45" s="50"/>
      <c r="B45" s="51" t="s">
        <v>90</v>
      </c>
      <c r="C45" s="51"/>
      <c r="D45" s="51"/>
      <c r="E45" s="51" t="s">
        <v>90</v>
      </c>
      <c r="F45" s="51" t="s">
        <v>90</v>
      </c>
      <c r="G45" s="51" t="s">
        <v>104</v>
      </c>
      <c r="H45" s="51"/>
      <c r="I45" s="51"/>
      <c r="J45" s="51"/>
      <c r="K45" s="51"/>
      <c r="L45" s="51"/>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row>
    <row r="46" spans="1:37" ht="40.5" customHeight="1" x14ac:dyDescent="0.3">
      <c r="A46" s="19" t="s">
        <v>58</v>
      </c>
      <c r="B46" s="53">
        <v>30</v>
      </c>
      <c r="C46" s="53">
        <v>31</v>
      </c>
      <c r="D46" s="53">
        <v>30</v>
      </c>
      <c r="E46" s="53">
        <v>31</v>
      </c>
      <c r="F46" s="53">
        <v>32</v>
      </c>
      <c r="G46" s="53">
        <v>30</v>
      </c>
      <c r="H46" s="53">
        <v>27</v>
      </c>
      <c r="I46" s="53">
        <v>30</v>
      </c>
      <c r="J46" s="53">
        <v>31</v>
      </c>
      <c r="K46" s="53">
        <v>30</v>
      </c>
      <c r="L46" s="53">
        <v>39</v>
      </c>
      <c r="M46" s="14">
        <f t="shared" ref="M46:M66" si="4">AVERAGE(B46:L46)</f>
        <v>31</v>
      </c>
      <c r="N46" s="26"/>
      <c r="O46" s="26"/>
      <c r="P46" s="26"/>
      <c r="Q46" s="26"/>
      <c r="R46" s="26"/>
      <c r="S46" s="26"/>
      <c r="T46" s="26"/>
      <c r="U46" s="26"/>
      <c r="V46" s="26"/>
      <c r="W46" s="26"/>
      <c r="X46" s="26"/>
      <c r="Y46" s="26"/>
      <c r="Z46" s="26"/>
      <c r="AA46" s="26"/>
      <c r="AB46" s="26"/>
      <c r="AC46" s="26"/>
      <c r="AD46" s="26"/>
      <c r="AE46" s="26"/>
      <c r="AF46" s="26"/>
      <c r="AG46" s="26"/>
      <c r="AH46" s="26"/>
      <c r="AI46" s="26"/>
      <c r="AJ46" s="26"/>
      <c r="AK46" s="26"/>
    </row>
    <row r="47" spans="1:37" ht="38.25" hidden="1" customHeight="1" outlineLevel="1" x14ac:dyDescent="0.3">
      <c r="A47" s="19" t="s">
        <v>105</v>
      </c>
      <c r="B47" s="53">
        <v>25</v>
      </c>
      <c r="C47" s="53">
        <v>21</v>
      </c>
      <c r="D47" s="53">
        <v>23</v>
      </c>
      <c r="E47" s="53">
        <v>21</v>
      </c>
      <c r="F47" s="53">
        <v>21</v>
      </c>
      <c r="G47" s="53">
        <v>24</v>
      </c>
      <c r="H47" s="53">
        <v>21</v>
      </c>
      <c r="I47" s="53">
        <v>23</v>
      </c>
      <c r="J47" s="53">
        <v>21</v>
      </c>
      <c r="K47" s="53">
        <v>23</v>
      </c>
      <c r="L47" s="53">
        <v>25</v>
      </c>
      <c r="M47" s="14">
        <f t="shared" si="4"/>
        <v>22.545454545454547</v>
      </c>
      <c r="N47" s="26"/>
      <c r="O47" s="26"/>
      <c r="P47" s="26"/>
      <c r="Q47" s="26"/>
      <c r="R47" s="26"/>
      <c r="S47" s="26"/>
      <c r="T47" s="26"/>
      <c r="U47" s="26"/>
      <c r="V47" s="26"/>
      <c r="W47" s="26"/>
      <c r="X47" s="26"/>
      <c r="Y47" s="26"/>
      <c r="Z47" s="26"/>
      <c r="AA47" s="26"/>
      <c r="AB47" s="26"/>
      <c r="AC47" s="26"/>
      <c r="AD47" s="26"/>
      <c r="AE47" s="26"/>
      <c r="AF47" s="26"/>
      <c r="AG47" s="26"/>
      <c r="AH47" s="26"/>
      <c r="AI47" s="26"/>
      <c r="AJ47" s="26"/>
      <c r="AK47" s="26"/>
    </row>
    <row r="48" spans="1:37" ht="38.25" hidden="1" customHeight="1" outlineLevel="1" x14ac:dyDescent="0.3">
      <c r="A48" s="19" t="s">
        <v>106</v>
      </c>
      <c r="B48" s="53">
        <v>5</v>
      </c>
      <c r="C48" s="53">
        <v>10</v>
      </c>
      <c r="D48" s="53">
        <v>7</v>
      </c>
      <c r="E48" s="53">
        <v>10</v>
      </c>
      <c r="F48" s="53">
        <v>11</v>
      </c>
      <c r="G48" s="53">
        <v>6</v>
      </c>
      <c r="H48" s="53">
        <v>6</v>
      </c>
      <c r="I48" s="53">
        <v>7</v>
      </c>
      <c r="J48" s="53">
        <v>10</v>
      </c>
      <c r="K48" s="53">
        <v>7</v>
      </c>
      <c r="L48" s="53">
        <v>14</v>
      </c>
      <c r="M48" s="14">
        <f t="shared" si="4"/>
        <v>8.454545454545455</v>
      </c>
      <c r="N48" s="26"/>
      <c r="O48" s="26"/>
      <c r="P48" s="26"/>
      <c r="Q48" s="26"/>
      <c r="R48" s="26"/>
      <c r="S48" s="26"/>
      <c r="T48" s="26"/>
      <c r="U48" s="26"/>
      <c r="V48" s="26"/>
      <c r="W48" s="26"/>
      <c r="X48" s="26"/>
      <c r="Y48" s="26"/>
      <c r="Z48" s="26"/>
      <c r="AA48" s="26"/>
      <c r="AB48" s="26"/>
      <c r="AC48" s="26"/>
      <c r="AD48" s="26"/>
      <c r="AE48" s="26"/>
      <c r="AF48" s="26"/>
      <c r="AG48" s="26"/>
      <c r="AH48" s="26"/>
      <c r="AI48" s="26"/>
      <c r="AJ48" s="26"/>
      <c r="AK48" s="26"/>
    </row>
    <row r="49" spans="1:37" ht="34.5" customHeight="1" collapsed="1" x14ac:dyDescent="0.3">
      <c r="A49" s="19" t="s">
        <v>59</v>
      </c>
      <c r="B49" s="53">
        <v>30</v>
      </c>
      <c r="C49" s="53">
        <v>18</v>
      </c>
      <c r="D49" s="53">
        <v>29</v>
      </c>
      <c r="E49" s="53">
        <v>18</v>
      </c>
      <c r="F49" s="53">
        <v>17</v>
      </c>
      <c r="G49" s="53">
        <v>29.5</v>
      </c>
      <c r="H49" s="53">
        <v>23</v>
      </c>
      <c r="I49" s="53">
        <v>29</v>
      </c>
      <c r="J49" s="53">
        <v>18</v>
      </c>
      <c r="K49" s="53">
        <v>29</v>
      </c>
      <c r="L49" s="53">
        <v>10</v>
      </c>
      <c r="M49" s="14">
        <f t="shared" si="4"/>
        <v>22.772727272727273</v>
      </c>
      <c r="N49" s="26"/>
      <c r="O49" s="26"/>
      <c r="P49" s="26"/>
      <c r="Q49" s="26"/>
      <c r="R49" s="26"/>
      <c r="S49" s="26"/>
      <c r="T49" s="26"/>
      <c r="U49" s="26"/>
      <c r="V49" s="26"/>
      <c r="W49" s="26"/>
      <c r="X49" s="26"/>
      <c r="Y49" s="26"/>
      <c r="Z49" s="26"/>
      <c r="AA49" s="26"/>
      <c r="AB49" s="26"/>
      <c r="AC49" s="26"/>
      <c r="AD49" s="26"/>
      <c r="AE49" s="26"/>
      <c r="AF49" s="26"/>
      <c r="AG49" s="26"/>
      <c r="AH49" s="26"/>
      <c r="AI49" s="26"/>
      <c r="AJ49" s="26"/>
      <c r="AK49" s="26"/>
    </row>
    <row r="50" spans="1:37" ht="38.25" hidden="1" customHeight="1" outlineLevel="1" x14ac:dyDescent="0.3">
      <c r="A50" s="19" t="s">
        <v>105</v>
      </c>
      <c r="B50" s="53">
        <v>27</v>
      </c>
      <c r="C50" s="53">
        <v>9</v>
      </c>
      <c r="D50" s="53">
        <v>25</v>
      </c>
      <c r="E50" s="53">
        <v>9</v>
      </c>
      <c r="F50" s="53">
        <v>7.5</v>
      </c>
      <c r="G50" s="53">
        <v>26</v>
      </c>
      <c r="H50" s="53">
        <v>20</v>
      </c>
      <c r="I50" s="53">
        <v>25</v>
      </c>
      <c r="J50" s="53">
        <v>9</v>
      </c>
      <c r="K50" s="53">
        <v>25</v>
      </c>
      <c r="L50" s="53">
        <v>3</v>
      </c>
      <c r="M50" s="14">
        <f t="shared" si="4"/>
        <v>16.863636363636363</v>
      </c>
      <c r="N50" s="26"/>
      <c r="O50" s="26"/>
      <c r="P50" s="26"/>
      <c r="Q50" s="26"/>
      <c r="R50" s="26"/>
      <c r="S50" s="26"/>
      <c r="T50" s="26"/>
      <c r="U50" s="26"/>
      <c r="V50" s="26"/>
      <c r="W50" s="26"/>
      <c r="X50" s="26"/>
      <c r="Y50" s="26"/>
      <c r="Z50" s="26"/>
      <c r="AA50" s="26"/>
      <c r="AB50" s="26"/>
      <c r="AC50" s="26"/>
      <c r="AD50" s="26"/>
      <c r="AE50" s="26"/>
      <c r="AF50" s="26"/>
      <c r="AG50" s="26"/>
      <c r="AH50" s="26"/>
      <c r="AI50" s="26"/>
      <c r="AJ50" s="26"/>
      <c r="AK50" s="26"/>
    </row>
    <row r="51" spans="1:37" ht="38.25" hidden="1" customHeight="1" outlineLevel="1" x14ac:dyDescent="0.3">
      <c r="A51" s="19" t="s">
        <v>106</v>
      </c>
      <c r="B51" s="53">
        <v>3</v>
      </c>
      <c r="C51" s="53">
        <v>9</v>
      </c>
      <c r="D51" s="53">
        <v>4</v>
      </c>
      <c r="E51" s="53">
        <v>9</v>
      </c>
      <c r="F51" s="53">
        <v>9.5</v>
      </c>
      <c r="G51" s="53">
        <v>3.5</v>
      </c>
      <c r="H51" s="53">
        <v>3</v>
      </c>
      <c r="I51" s="53">
        <v>4</v>
      </c>
      <c r="J51" s="53">
        <v>9</v>
      </c>
      <c r="K51" s="53">
        <v>4</v>
      </c>
      <c r="L51" s="53">
        <v>7</v>
      </c>
      <c r="M51" s="14">
        <f t="shared" si="4"/>
        <v>5.9090909090909092</v>
      </c>
      <c r="N51" s="26"/>
      <c r="O51" s="26"/>
      <c r="P51" s="26"/>
      <c r="Q51" s="26"/>
      <c r="R51" s="26"/>
      <c r="S51" s="26"/>
      <c r="T51" s="26"/>
      <c r="U51" s="26"/>
      <c r="V51" s="26"/>
      <c r="W51" s="26"/>
      <c r="X51" s="26"/>
      <c r="Y51" s="26"/>
      <c r="Z51" s="26"/>
      <c r="AA51" s="26"/>
      <c r="AB51" s="26"/>
      <c r="AC51" s="26"/>
      <c r="AD51" s="26"/>
      <c r="AE51" s="26"/>
      <c r="AF51" s="26"/>
      <c r="AG51" s="26"/>
      <c r="AH51" s="26"/>
      <c r="AI51" s="26"/>
      <c r="AJ51" s="26"/>
      <c r="AK51" s="26"/>
    </row>
    <row r="52" spans="1:37" ht="38.25" customHeight="1" collapsed="1" x14ac:dyDescent="0.3">
      <c r="A52" s="19" t="s">
        <v>60</v>
      </c>
      <c r="B52" s="53">
        <v>74</v>
      </c>
      <c r="C52" s="53">
        <v>100</v>
      </c>
      <c r="D52" s="53">
        <v>74</v>
      </c>
      <c r="E52" s="53">
        <v>100</v>
      </c>
      <c r="F52" s="53">
        <v>102</v>
      </c>
      <c r="G52" s="53">
        <v>74</v>
      </c>
      <c r="H52" s="53">
        <v>52</v>
      </c>
      <c r="I52" s="53">
        <v>74</v>
      </c>
      <c r="J52" s="53">
        <v>100</v>
      </c>
      <c r="K52" s="53">
        <v>74</v>
      </c>
      <c r="L52" s="53">
        <v>191</v>
      </c>
      <c r="M52" s="14">
        <f t="shared" si="4"/>
        <v>92.272727272727266</v>
      </c>
      <c r="N52" s="55"/>
      <c r="O52" s="55"/>
      <c r="P52" s="55"/>
      <c r="Q52" s="55"/>
      <c r="R52" s="55"/>
      <c r="S52" s="55"/>
      <c r="T52" s="55"/>
      <c r="U52" s="55"/>
      <c r="V52" s="55"/>
      <c r="W52" s="55"/>
      <c r="X52" s="55"/>
      <c r="Y52" s="55"/>
      <c r="Z52" s="55"/>
      <c r="AA52" s="55"/>
      <c r="AB52" s="55"/>
      <c r="AC52" s="55"/>
      <c r="AD52" s="55"/>
      <c r="AE52" s="55"/>
      <c r="AF52" s="55"/>
      <c r="AG52" s="55"/>
      <c r="AH52" s="55"/>
      <c r="AI52" s="55"/>
      <c r="AJ52" s="55"/>
      <c r="AK52" s="55"/>
    </row>
    <row r="53" spans="1:37" ht="38.25" hidden="1" customHeight="1" outlineLevel="1" x14ac:dyDescent="0.3">
      <c r="A53" s="19" t="s">
        <v>105</v>
      </c>
      <c r="B53" s="53">
        <v>55</v>
      </c>
      <c r="C53" s="53">
        <v>2</v>
      </c>
      <c r="D53" s="53">
        <v>52</v>
      </c>
      <c r="E53" s="53">
        <v>2</v>
      </c>
      <c r="F53" s="53">
        <v>5</v>
      </c>
      <c r="G53" s="53">
        <v>53.5</v>
      </c>
      <c r="H53" s="53">
        <v>27</v>
      </c>
      <c r="I53" s="53">
        <v>52</v>
      </c>
      <c r="J53" s="53">
        <v>2</v>
      </c>
      <c r="K53" s="53">
        <v>52</v>
      </c>
      <c r="L53" s="53">
        <v>8</v>
      </c>
      <c r="M53" s="14">
        <f t="shared" si="4"/>
        <v>28.227272727272727</v>
      </c>
      <c r="N53" s="26"/>
      <c r="O53" s="26"/>
      <c r="P53" s="26"/>
      <c r="Q53" s="26"/>
      <c r="R53" s="26"/>
      <c r="S53" s="26"/>
      <c r="T53" s="26"/>
      <c r="U53" s="26"/>
      <c r="V53" s="26"/>
      <c r="W53" s="26"/>
      <c r="X53" s="26"/>
      <c r="Y53" s="26"/>
      <c r="Z53" s="26"/>
      <c r="AA53" s="26"/>
      <c r="AB53" s="26"/>
      <c r="AC53" s="26"/>
      <c r="AD53" s="26"/>
      <c r="AE53" s="26"/>
      <c r="AF53" s="26"/>
      <c r="AG53" s="26"/>
      <c r="AH53" s="26"/>
      <c r="AI53" s="26"/>
      <c r="AJ53" s="26"/>
      <c r="AK53" s="26"/>
    </row>
    <row r="54" spans="1:37" ht="38.25" hidden="1" customHeight="1" outlineLevel="1" x14ac:dyDescent="0.3">
      <c r="A54" s="19" t="s">
        <v>106</v>
      </c>
      <c r="B54" s="53">
        <v>19</v>
      </c>
      <c r="C54" s="53">
        <v>98</v>
      </c>
      <c r="D54" s="53">
        <v>22</v>
      </c>
      <c r="E54" s="53">
        <v>98</v>
      </c>
      <c r="F54" s="53">
        <v>97</v>
      </c>
      <c r="G54" s="53">
        <v>20.5</v>
      </c>
      <c r="H54" s="53">
        <v>25</v>
      </c>
      <c r="I54" s="53">
        <v>22</v>
      </c>
      <c r="J54" s="53">
        <v>98</v>
      </c>
      <c r="K54" s="53">
        <v>22</v>
      </c>
      <c r="L54" s="53">
        <v>183</v>
      </c>
      <c r="M54" s="14">
        <f t="shared" si="4"/>
        <v>64.045454545454547</v>
      </c>
      <c r="N54" s="26"/>
      <c r="O54" s="26"/>
      <c r="P54" s="26"/>
      <c r="Q54" s="26"/>
      <c r="R54" s="26"/>
      <c r="S54" s="26"/>
      <c r="T54" s="26"/>
      <c r="U54" s="26"/>
      <c r="V54" s="26"/>
      <c r="W54" s="26"/>
      <c r="X54" s="26"/>
      <c r="Y54" s="26"/>
      <c r="Z54" s="26"/>
      <c r="AA54" s="26"/>
      <c r="AB54" s="26"/>
      <c r="AC54" s="26"/>
      <c r="AD54" s="26"/>
      <c r="AE54" s="26"/>
      <c r="AF54" s="26"/>
      <c r="AG54" s="26"/>
      <c r="AH54" s="26"/>
      <c r="AI54" s="26"/>
      <c r="AJ54" s="26"/>
      <c r="AK54" s="26"/>
    </row>
    <row r="55" spans="1:37" ht="33" customHeight="1" collapsed="1" x14ac:dyDescent="0.3">
      <c r="A55" s="19" t="s">
        <v>61</v>
      </c>
      <c r="B55" s="53">
        <v>16</v>
      </c>
      <c r="C55" s="53">
        <v>8</v>
      </c>
      <c r="D55" s="53">
        <v>13</v>
      </c>
      <c r="E55" s="53">
        <v>8</v>
      </c>
      <c r="F55" s="53">
        <v>6</v>
      </c>
      <c r="G55" s="53">
        <v>14.5</v>
      </c>
      <c r="H55" s="53">
        <v>10</v>
      </c>
      <c r="I55" s="53">
        <v>13</v>
      </c>
      <c r="J55" s="53">
        <v>8</v>
      </c>
      <c r="K55" s="53">
        <v>13</v>
      </c>
      <c r="L55" s="53">
        <v>3</v>
      </c>
      <c r="M55" s="14">
        <f t="shared" si="4"/>
        <v>10.227272727272727</v>
      </c>
      <c r="N55" s="26"/>
      <c r="O55" s="26"/>
      <c r="P55" s="26"/>
      <c r="Q55" s="26"/>
      <c r="R55" s="26"/>
      <c r="S55" s="26"/>
      <c r="T55" s="26"/>
      <c r="U55" s="26"/>
      <c r="V55" s="26"/>
      <c r="W55" s="26"/>
      <c r="X55" s="26"/>
      <c r="Y55" s="26"/>
      <c r="Z55" s="26"/>
      <c r="AA55" s="26"/>
      <c r="AB55" s="26"/>
      <c r="AC55" s="26"/>
      <c r="AD55" s="26"/>
      <c r="AE55" s="26"/>
      <c r="AF55" s="26"/>
      <c r="AG55" s="26"/>
      <c r="AH55" s="26"/>
      <c r="AI55" s="26"/>
      <c r="AJ55" s="26"/>
      <c r="AK55" s="26"/>
    </row>
    <row r="56" spans="1:37" ht="38.25" hidden="1" customHeight="1" outlineLevel="1" x14ac:dyDescent="0.3">
      <c r="A56" s="19" t="s">
        <v>105</v>
      </c>
      <c r="B56" s="53">
        <v>16</v>
      </c>
      <c r="C56" s="53">
        <v>8</v>
      </c>
      <c r="D56" s="53">
        <v>13</v>
      </c>
      <c r="E56" s="53">
        <v>8</v>
      </c>
      <c r="F56" s="53">
        <v>6</v>
      </c>
      <c r="G56" s="53">
        <v>14.5</v>
      </c>
      <c r="H56" s="53">
        <v>10</v>
      </c>
      <c r="I56" s="53">
        <v>13</v>
      </c>
      <c r="J56" s="53">
        <v>8</v>
      </c>
      <c r="K56" s="53">
        <v>13</v>
      </c>
      <c r="L56" s="53">
        <v>1</v>
      </c>
      <c r="M56" s="14">
        <f t="shared" si="4"/>
        <v>10.045454545454545</v>
      </c>
      <c r="N56" s="26"/>
      <c r="O56" s="26"/>
      <c r="P56" s="26"/>
      <c r="Q56" s="26"/>
      <c r="R56" s="26"/>
      <c r="S56" s="26"/>
      <c r="T56" s="26"/>
      <c r="U56" s="26"/>
      <c r="V56" s="26"/>
      <c r="W56" s="26"/>
      <c r="X56" s="26"/>
      <c r="Y56" s="26"/>
      <c r="Z56" s="26"/>
      <c r="AA56" s="26"/>
      <c r="AB56" s="26"/>
      <c r="AC56" s="26"/>
      <c r="AD56" s="26"/>
      <c r="AE56" s="26"/>
      <c r="AF56" s="26"/>
      <c r="AG56" s="26"/>
      <c r="AH56" s="26"/>
      <c r="AI56" s="26"/>
      <c r="AJ56" s="26"/>
      <c r="AK56" s="26"/>
    </row>
    <row r="57" spans="1:37" ht="38.25" hidden="1" customHeight="1" outlineLevel="1" x14ac:dyDescent="0.3">
      <c r="A57" s="19" t="s">
        <v>106</v>
      </c>
      <c r="B57" s="53">
        <v>0</v>
      </c>
      <c r="C57" s="53">
        <v>0</v>
      </c>
      <c r="D57" s="53">
        <v>0</v>
      </c>
      <c r="E57" s="53">
        <v>0</v>
      </c>
      <c r="F57" s="53">
        <v>0</v>
      </c>
      <c r="G57" s="53">
        <v>0</v>
      </c>
      <c r="H57" s="53">
        <v>0</v>
      </c>
      <c r="I57" s="53">
        <v>0</v>
      </c>
      <c r="J57" s="53">
        <v>0</v>
      </c>
      <c r="K57" s="53">
        <v>0</v>
      </c>
      <c r="L57" s="53">
        <v>2</v>
      </c>
      <c r="M57" s="14">
        <f t="shared" si="4"/>
        <v>0.18181818181818182</v>
      </c>
      <c r="N57" s="26"/>
      <c r="O57" s="26"/>
      <c r="P57" s="26"/>
      <c r="Q57" s="26"/>
      <c r="R57" s="26"/>
      <c r="S57" s="26"/>
      <c r="T57" s="26"/>
      <c r="U57" s="26"/>
      <c r="V57" s="26"/>
      <c r="W57" s="26"/>
      <c r="X57" s="26"/>
      <c r="Y57" s="26"/>
      <c r="Z57" s="26"/>
      <c r="AA57" s="26"/>
      <c r="AB57" s="26"/>
      <c r="AC57" s="26"/>
      <c r="AD57" s="26"/>
      <c r="AE57" s="26"/>
      <c r="AF57" s="26"/>
      <c r="AG57" s="26"/>
      <c r="AH57" s="26"/>
      <c r="AI57" s="26"/>
      <c r="AJ57" s="26"/>
      <c r="AK57" s="26"/>
    </row>
    <row r="58" spans="1:37" ht="33" customHeight="1" collapsed="1" x14ac:dyDescent="0.3">
      <c r="A58" s="19" t="s">
        <v>62</v>
      </c>
      <c r="B58" s="53">
        <v>72</v>
      </c>
      <c r="C58" s="53"/>
      <c r="D58" s="53">
        <v>75</v>
      </c>
      <c r="E58" s="53"/>
      <c r="F58" s="53">
        <v>34</v>
      </c>
      <c r="G58" s="53">
        <v>73.5</v>
      </c>
      <c r="H58" s="53">
        <v>58</v>
      </c>
      <c r="I58" s="53">
        <v>75</v>
      </c>
      <c r="J58" s="53"/>
      <c r="K58" s="53">
        <v>75</v>
      </c>
      <c r="L58" s="53">
        <v>23</v>
      </c>
      <c r="M58" s="14">
        <f t="shared" si="4"/>
        <v>60.6875</v>
      </c>
      <c r="N58" s="26"/>
      <c r="O58" s="26"/>
      <c r="P58" s="26"/>
      <c r="Q58" s="26"/>
      <c r="R58" s="26"/>
      <c r="S58" s="26"/>
      <c r="T58" s="26"/>
      <c r="U58" s="26"/>
      <c r="V58" s="26"/>
      <c r="W58" s="26"/>
      <c r="X58" s="26"/>
      <c r="Y58" s="26"/>
      <c r="Z58" s="26"/>
      <c r="AA58" s="26"/>
      <c r="AB58" s="26"/>
      <c r="AC58" s="26"/>
      <c r="AD58" s="26"/>
      <c r="AE58" s="26"/>
      <c r="AF58" s="26"/>
      <c r="AG58" s="26"/>
      <c r="AH58" s="26"/>
      <c r="AI58" s="26"/>
      <c r="AJ58" s="26"/>
      <c r="AK58" s="26"/>
    </row>
    <row r="59" spans="1:37" ht="38.25" hidden="1" customHeight="1" outlineLevel="1" x14ac:dyDescent="0.3">
      <c r="A59" s="19" t="s">
        <v>105</v>
      </c>
      <c r="B59" s="53">
        <v>72</v>
      </c>
      <c r="C59" s="53"/>
      <c r="D59" s="53">
        <v>75</v>
      </c>
      <c r="E59" s="53"/>
      <c r="F59" s="53">
        <v>33</v>
      </c>
      <c r="G59" s="53">
        <v>73.5</v>
      </c>
      <c r="H59" s="53">
        <v>58</v>
      </c>
      <c r="I59" s="53">
        <v>75</v>
      </c>
      <c r="J59" s="53"/>
      <c r="K59" s="53">
        <v>75</v>
      </c>
      <c r="L59" s="53">
        <v>23</v>
      </c>
      <c r="M59" s="14">
        <f t="shared" si="4"/>
        <v>60.5625</v>
      </c>
      <c r="N59" s="26"/>
      <c r="O59" s="26"/>
      <c r="P59" s="26"/>
      <c r="Q59" s="26"/>
      <c r="R59" s="26"/>
      <c r="S59" s="26"/>
      <c r="T59" s="26"/>
      <c r="U59" s="26"/>
      <c r="V59" s="26"/>
      <c r="W59" s="26"/>
      <c r="X59" s="26"/>
      <c r="Y59" s="26"/>
      <c r="Z59" s="26"/>
      <c r="AA59" s="26"/>
      <c r="AB59" s="26"/>
      <c r="AC59" s="26"/>
      <c r="AD59" s="26"/>
      <c r="AE59" s="26"/>
      <c r="AF59" s="26"/>
      <c r="AG59" s="26"/>
      <c r="AH59" s="26"/>
      <c r="AI59" s="26"/>
      <c r="AJ59" s="26"/>
      <c r="AK59" s="26"/>
    </row>
    <row r="60" spans="1:37" ht="38.25" hidden="1" customHeight="1" outlineLevel="1" x14ac:dyDescent="0.3">
      <c r="A60" s="19" t="s">
        <v>106</v>
      </c>
      <c r="B60" s="53">
        <v>0</v>
      </c>
      <c r="C60" s="53"/>
      <c r="D60" s="53">
        <v>0</v>
      </c>
      <c r="E60" s="53"/>
      <c r="F60" s="53">
        <v>1</v>
      </c>
      <c r="G60" s="53">
        <v>0</v>
      </c>
      <c r="H60" s="53">
        <v>0</v>
      </c>
      <c r="I60" s="53">
        <v>0</v>
      </c>
      <c r="J60" s="53"/>
      <c r="K60" s="53">
        <v>0</v>
      </c>
      <c r="L60" s="53">
        <v>0</v>
      </c>
      <c r="M60" s="14">
        <f t="shared" si="4"/>
        <v>0.125</v>
      </c>
      <c r="N60" s="26"/>
      <c r="O60" s="26"/>
      <c r="P60" s="26"/>
      <c r="Q60" s="26"/>
      <c r="R60" s="26"/>
      <c r="S60" s="26"/>
      <c r="T60" s="26"/>
      <c r="U60" s="26"/>
      <c r="V60" s="26"/>
      <c r="W60" s="26"/>
      <c r="X60" s="26"/>
      <c r="Y60" s="26"/>
      <c r="Z60" s="26"/>
      <c r="AA60" s="26"/>
      <c r="AB60" s="26"/>
      <c r="AC60" s="26"/>
      <c r="AD60" s="26"/>
      <c r="AE60" s="26"/>
      <c r="AF60" s="26"/>
      <c r="AG60" s="26"/>
      <c r="AH60" s="26"/>
      <c r="AI60" s="26"/>
      <c r="AJ60" s="26"/>
      <c r="AK60" s="26"/>
    </row>
    <row r="61" spans="1:37" ht="30.75" customHeight="1" collapsed="1" x14ac:dyDescent="0.3">
      <c r="A61" s="19" t="s">
        <v>63</v>
      </c>
      <c r="B61" s="53"/>
      <c r="C61" s="53"/>
      <c r="D61" s="53">
        <v>0</v>
      </c>
      <c r="E61" s="53"/>
      <c r="F61" s="53">
        <v>30</v>
      </c>
      <c r="G61" s="53"/>
      <c r="H61" s="53">
        <v>41</v>
      </c>
      <c r="I61" s="53"/>
      <c r="J61" s="53"/>
      <c r="K61" s="53"/>
      <c r="L61" s="53">
        <v>34</v>
      </c>
      <c r="M61" s="14">
        <f t="shared" si="4"/>
        <v>26.25</v>
      </c>
      <c r="N61" s="26"/>
      <c r="O61" s="26"/>
      <c r="P61" s="26"/>
      <c r="Q61" s="26"/>
      <c r="R61" s="26"/>
      <c r="S61" s="26"/>
      <c r="T61" s="26"/>
      <c r="U61" s="26"/>
      <c r="V61" s="26"/>
      <c r="W61" s="26"/>
      <c r="X61" s="26"/>
      <c r="Y61" s="26"/>
      <c r="Z61" s="26"/>
      <c r="AA61" s="26"/>
      <c r="AB61" s="26"/>
      <c r="AC61" s="26"/>
      <c r="AD61" s="26"/>
      <c r="AE61" s="26"/>
      <c r="AF61" s="26"/>
      <c r="AG61" s="26"/>
      <c r="AH61" s="26"/>
      <c r="AI61" s="26"/>
      <c r="AJ61" s="26"/>
      <c r="AK61" s="26"/>
    </row>
    <row r="62" spans="1:37" ht="38.25" hidden="1" customHeight="1" outlineLevel="1" x14ac:dyDescent="0.3">
      <c r="A62" s="19" t="s">
        <v>105</v>
      </c>
      <c r="B62" s="53"/>
      <c r="C62" s="53"/>
      <c r="D62" s="53"/>
      <c r="E62" s="53"/>
      <c r="F62" s="53">
        <v>17</v>
      </c>
      <c r="G62" s="53"/>
      <c r="H62" s="53">
        <v>33</v>
      </c>
      <c r="I62" s="53"/>
      <c r="J62" s="53"/>
      <c r="K62" s="53"/>
      <c r="L62" s="53">
        <v>17</v>
      </c>
      <c r="M62" s="14">
        <f t="shared" si="4"/>
        <v>22.333333333333332</v>
      </c>
      <c r="N62" s="26"/>
      <c r="O62" s="26"/>
      <c r="P62" s="26"/>
      <c r="Q62" s="26"/>
      <c r="R62" s="26"/>
      <c r="S62" s="26"/>
      <c r="T62" s="26"/>
      <c r="U62" s="26"/>
      <c r="V62" s="26"/>
      <c r="W62" s="26"/>
      <c r="X62" s="26"/>
      <c r="Y62" s="26"/>
      <c r="Z62" s="26"/>
      <c r="AA62" s="26"/>
      <c r="AB62" s="26"/>
      <c r="AC62" s="26"/>
      <c r="AD62" s="26"/>
      <c r="AE62" s="26"/>
      <c r="AF62" s="26"/>
      <c r="AG62" s="26"/>
      <c r="AH62" s="26"/>
      <c r="AI62" s="26"/>
      <c r="AJ62" s="26"/>
      <c r="AK62" s="26"/>
    </row>
    <row r="63" spans="1:37" ht="38.25" hidden="1" customHeight="1" outlineLevel="1" x14ac:dyDescent="0.3">
      <c r="A63" s="19" t="s">
        <v>106</v>
      </c>
      <c r="B63" s="53"/>
      <c r="C63" s="53"/>
      <c r="D63" s="53"/>
      <c r="E63" s="53"/>
      <c r="F63" s="53">
        <v>13</v>
      </c>
      <c r="G63" s="53"/>
      <c r="H63" s="53">
        <v>8</v>
      </c>
      <c r="I63" s="53"/>
      <c r="J63" s="53"/>
      <c r="K63" s="53"/>
      <c r="L63" s="53">
        <v>17</v>
      </c>
      <c r="M63" s="14">
        <f t="shared" si="4"/>
        <v>12.666666666666666</v>
      </c>
      <c r="N63" s="26"/>
      <c r="O63" s="26"/>
      <c r="P63" s="26"/>
      <c r="Q63" s="26"/>
      <c r="R63" s="26"/>
      <c r="S63" s="26"/>
      <c r="T63" s="26"/>
      <c r="U63" s="26"/>
      <c r="V63" s="26"/>
      <c r="W63" s="26"/>
      <c r="X63" s="26"/>
      <c r="Y63" s="26"/>
      <c r="Z63" s="26"/>
      <c r="AA63" s="26"/>
      <c r="AB63" s="26"/>
      <c r="AC63" s="26"/>
      <c r="AD63" s="26"/>
      <c r="AE63" s="26"/>
      <c r="AF63" s="26"/>
      <c r="AG63" s="26"/>
      <c r="AH63" s="26"/>
      <c r="AI63" s="26"/>
      <c r="AJ63" s="26"/>
      <c r="AK63" s="26"/>
    </row>
    <row r="64" spans="1:37" ht="29.25" customHeight="1" collapsed="1" x14ac:dyDescent="0.3">
      <c r="A64" s="19" t="s">
        <v>64</v>
      </c>
      <c r="B64" s="53"/>
      <c r="C64" s="53"/>
      <c r="D64" s="53">
        <v>88</v>
      </c>
      <c r="E64" s="53"/>
      <c r="F64" s="53">
        <v>60</v>
      </c>
      <c r="G64" s="53"/>
      <c r="H64" s="53">
        <v>49</v>
      </c>
      <c r="I64" s="53"/>
      <c r="J64" s="53"/>
      <c r="K64" s="53"/>
      <c r="L64" s="53">
        <v>42</v>
      </c>
      <c r="M64" s="14">
        <f t="shared" si="4"/>
        <v>59.75</v>
      </c>
      <c r="N64" s="26"/>
      <c r="O64" s="26"/>
      <c r="P64" s="26"/>
      <c r="Q64" s="26"/>
      <c r="R64" s="26"/>
      <c r="S64" s="26"/>
      <c r="T64" s="26"/>
      <c r="U64" s="26"/>
      <c r="V64" s="26"/>
      <c r="W64" s="26"/>
      <c r="X64" s="26"/>
      <c r="Y64" s="26"/>
      <c r="Z64" s="26"/>
      <c r="AA64" s="26"/>
      <c r="AB64" s="26"/>
      <c r="AC64" s="26"/>
      <c r="AD64" s="26"/>
      <c r="AE64" s="26"/>
      <c r="AF64" s="26"/>
      <c r="AG64" s="26"/>
      <c r="AH64" s="26"/>
      <c r="AI64" s="26"/>
      <c r="AJ64" s="26"/>
      <c r="AK64" s="26"/>
    </row>
    <row r="65" spans="1:37" ht="38.25" hidden="1" customHeight="1" outlineLevel="1" x14ac:dyDescent="0.3">
      <c r="A65" s="19" t="s">
        <v>105</v>
      </c>
      <c r="B65" s="53"/>
      <c r="C65" s="53"/>
      <c r="D65" s="53">
        <f>'NGA-Retail'!D19-'NGA-Retail'!D59</f>
        <v>88</v>
      </c>
      <c r="E65" s="53"/>
      <c r="F65" s="53">
        <f>241-181-F66</f>
        <v>45</v>
      </c>
      <c r="G65" s="53"/>
      <c r="H65" s="53">
        <f>217-168-H66</f>
        <v>49</v>
      </c>
      <c r="I65" s="53"/>
      <c r="J65" s="53"/>
      <c r="K65" s="53"/>
      <c r="L65" s="53">
        <f>228-186-L66</f>
        <v>44</v>
      </c>
      <c r="M65" s="14">
        <f t="shared" si="4"/>
        <v>56.5</v>
      </c>
      <c r="N65" s="26"/>
      <c r="O65" s="26"/>
      <c r="P65" s="26"/>
      <c r="Q65" s="26"/>
      <c r="R65" s="26"/>
      <c r="S65" s="26"/>
      <c r="T65" s="26"/>
      <c r="U65" s="26"/>
      <c r="V65" s="26"/>
      <c r="W65" s="26"/>
      <c r="X65" s="26"/>
      <c r="Y65" s="26"/>
      <c r="Z65" s="26"/>
      <c r="AA65" s="26"/>
      <c r="AB65" s="26"/>
      <c r="AC65" s="26"/>
      <c r="AD65" s="26"/>
      <c r="AE65" s="26"/>
      <c r="AF65" s="26"/>
      <c r="AG65" s="26"/>
      <c r="AH65" s="26"/>
      <c r="AI65" s="26"/>
      <c r="AJ65" s="26"/>
      <c r="AK65" s="26"/>
    </row>
    <row r="66" spans="1:37" ht="38.25" hidden="1" customHeight="1" outlineLevel="1" x14ac:dyDescent="0.3">
      <c r="A66" s="19" t="s">
        <v>106</v>
      </c>
      <c r="B66" s="53"/>
      <c r="C66" s="53"/>
      <c r="D66" s="53">
        <f>'NGA-Retail'!D20-'NGA-Retail'!D60</f>
        <v>0</v>
      </c>
      <c r="E66" s="53"/>
      <c r="F66" s="53">
        <f>29-29+26-11</f>
        <v>15</v>
      </c>
      <c r="G66" s="53"/>
      <c r="H66" s="53">
        <f>14-14</f>
        <v>0</v>
      </c>
      <c r="I66" s="53"/>
      <c r="J66" s="53"/>
      <c r="K66" s="53"/>
      <c r="L66" s="53">
        <f>37-37+2-4</f>
        <v>-2</v>
      </c>
      <c r="M66" s="14">
        <f t="shared" si="4"/>
        <v>3.25</v>
      </c>
      <c r="N66" s="26"/>
      <c r="O66" s="26"/>
      <c r="P66" s="26"/>
      <c r="Q66" s="26"/>
      <c r="R66" s="26"/>
      <c r="S66" s="26"/>
      <c r="T66" s="26"/>
      <c r="U66" s="26"/>
      <c r="V66" s="26"/>
      <c r="W66" s="26"/>
      <c r="X66" s="26"/>
      <c r="Y66" s="26"/>
      <c r="Z66" s="26"/>
      <c r="AA66" s="26"/>
      <c r="AB66" s="26"/>
      <c r="AC66" s="26"/>
      <c r="AD66" s="26"/>
      <c r="AE66" s="26"/>
      <c r="AF66" s="26"/>
      <c r="AG66" s="26"/>
      <c r="AH66" s="26"/>
      <c r="AI66" s="26"/>
      <c r="AJ66" s="26"/>
      <c r="AK66" s="26"/>
    </row>
    <row r="67" spans="1:37" ht="82.5" customHeight="1" collapsed="1" x14ac:dyDescent="0.3">
      <c r="A67" s="50"/>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row>
    <row r="68" spans="1:37" ht="78" customHeight="1" x14ac:dyDescent="0.35">
      <c r="A68" s="19" t="s">
        <v>114</v>
      </c>
      <c r="I68" s="44"/>
      <c r="J68" s="44"/>
      <c r="K68" s="44"/>
      <c r="L68" s="44"/>
      <c r="M68" s="44"/>
      <c r="N68" s="44"/>
      <c r="O68" s="44"/>
      <c r="P68" s="44"/>
      <c r="Q68" s="44"/>
    </row>
    <row r="69" spans="1:37" ht="36" hidden="1" customHeight="1" outlineLevel="1" x14ac:dyDescent="0.35">
      <c r="A69" s="47"/>
      <c r="B69" s="56" t="s">
        <v>95</v>
      </c>
      <c r="C69" s="56" t="s">
        <v>96</v>
      </c>
      <c r="D69" s="56" t="s">
        <v>97</v>
      </c>
      <c r="E69" s="56" t="s">
        <v>96</v>
      </c>
      <c r="F69" s="56" t="s">
        <v>98</v>
      </c>
      <c r="G69" s="56" t="s">
        <v>99</v>
      </c>
      <c r="H69" s="38" t="s">
        <v>100</v>
      </c>
      <c r="I69" s="38" t="s">
        <v>101</v>
      </c>
      <c r="J69" s="38" t="s">
        <v>102</v>
      </c>
      <c r="K69" s="38" t="s">
        <v>101</v>
      </c>
      <c r="L69" s="38" t="s">
        <v>103</v>
      </c>
      <c r="M69" s="44"/>
      <c r="N69" s="44"/>
      <c r="O69" s="44"/>
      <c r="P69" s="44"/>
      <c r="Q69" s="44"/>
      <c r="R69" s="44"/>
      <c r="S69" s="44"/>
      <c r="T69" s="44"/>
      <c r="U69" s="44"/>
      <c r="V69" s="44"/>
    </row>
    <row r="70" spans="1:37" ht="33" hidden="1" customHeight="1" outlineLevel="1" x14ac:dyDescent="0.35">
      <c r="A70" s="47"/>
      <c r="B70" s="57">
        <f t="shared" ref="B70:L70" si="5">AVERAGE(B46,B49,B52,B55,B58,B61,B64)</f>
        <v>44.4</v>
      </c>
      <c r="C70" s="57">
        <f t="shared" si="5"/>
        <v>39.25</v>
      </c>
      <c r="D70" s="57">
        <f t="shared" si="5"/>
        <v>44.142857142857146</v>
      </c>
      <c r="E70" s="57">
        <f t="shared" si="5"/>
        <v>39.25</v>
      </c>
      <c r="F70" s="57">
        <f t="shared" si="5"/>
        <v>40.142857142857146</v>
      </c>
      <c r="G70" s="57">
        <f t="shared" si="5"/>
        <v>44.3</v>
      </c>
      <c r="H70" s="57">
        <f t="shared" si="5"/>
        <v>37.142857142857146</v>
      </c>
      <c r="I70" s="57">
        <f t="shared" si="5"/>
        <v>44.2</v>
      </c>
      <c r="J70" s="57">
        <f t="shared" si="5"/>
        <v>39.25</v>
      </c>
      <c r="K70" s="57">
        <f t="shared" si="5"/>
        <v>44.2</v>
      </c>
      <c r="L70" s="57">
        <f t="shared" si="5"/>
        <v>48.857142857142854</v>
      </c>
      <c r="M70" s="44"/>
      <c r="N70" s="44"/>
      <c r="O70" s="44"/>
      <c r="P70" s="44"/>
      <c r="Q70" s="44"/>
      <c r="R70" s="44"/>
      <c r="S70" s="44"/>
      <c r="T70" s="44"/>
      <c r="U70" s="44"/>
      <c r="V70" s="44"/>
    </row>
    <row r="71" spans="1:37" ht="15.75" hidden="1" customHeight="1" outlineLevel="1" x14ac:dyDescent="0.35">
      <c r="A71" s="47"/>
      <c r="I71" s="44"/>
      <c r="J71" s="44"/>
      <c r="K71" s="44"/>
      <c r="L71" s="44"/>
      <c r="M71" s="44"/>
      <c r="N71" s="44"/>
      <c r="O71" s="44"/>
      <c r="P71" s="44"/>
      <c r="Q71" s="44"/>
      <c r="R71" s="44"/>
      <c r="S71" s="44"/>
      <c r="T71" s="44"/>
      <c r="U71" s="44"/>
      <c r="V71" s="44"/>
    </row>
    <row r="72" spans="1:37" ht="15.75" customHeight="1" collapsed="1" x14ac:dyDescent="0.35">
      <c r="A72" s="18" t="s">
        <v>101</v>
      </c>
      <c r="B72" s="58">
        <f>AVERAGE(D70:D70,G70,I70)</f>
        <v>44.214285714285722</v>
      </c>
      <c r="I72" s="44"/>
      <c r="J72" s="44"/>
      <c r="K72" s="44"/>
      <c r="L72" s="44"/>
      <c r="M72" s="44"/>
      <c r="N72" s="44"/>
      <c r="O72" s="44"/>
      <c r="P72" s="44"/>
      <c r="Q72" s="44"/>
      <c r="R72" s="44"/>
      <c r="S72" s="44"/>
      <c r="T72" s="44"/>
      <c r="U72" s="44"/>
      <c r="V72" s="44"/>
    </row>
    <row r="73" spans="1:37" ht="15.75" customHeight="1" x14ac:dyDescent="0.35">
      <c r="A73" s="18" t="s">
        <v>100</v>
      </c>
      <c r="B73" s="58">
        <f>AVERAGE(H70)</f>
        <v>37.142857142857146</v>
      </c>
      <c r="I73" s="44"/>
      <c r="J73" s="44"/>
      <c r="K73" s="44"/>
      <c r="L73" s="44"/>
      <c r="M73" s="44"/>
      <c r="N73" s="44"/>
      <c r="O73" s="44"/>
      <c r="P73" s="44"/>
      <c r="Q73" s="44"/>
      <c r="R73" s="44"/>
      <c r="S73" s="44"/>
      <c r="T73" s="44"/>
      <c r="U73" s="44"/>
      <c r="V73" s="44"/>
    </row>
    <row r="74" spans="1:37" ht="15.75" customHeight="1" x14ac:dyDescent="0.35">
      <c r="A74" s="18" t="s">
        <v>108</v>
      </c>
      <c r="B74" s="58">
        <f>AVERAGE(B70,G70)</f>
        <v>44.349999999999994</v>
      </c>
      <c r="I74" s="44"/>
      <c r="J74" s="44"/>
      <c r="K74" s="44"/>
      <c r="L74" s="44"/>
      <c r="M74" s="44"/>
      <c r="N74" s="44"/>
      <c r="O74" s="44"/>
      <c r="P74" s="44"/>
      <c r="Q74" s="44"/>
      <c r="R74" s="44"/>
      <c r="S74" s="44"/>
      <c r="T74" s="44"/>
      <c r="U74" s="44"/>
      <c r="V74" s="44"/>
    </row>
    <row r="75" spans="1:37" ht="15.75" customHeight="1" x14ac:dyDescent="0.35">
      <c r="A75" s="18" t="s">
        <v>109</v>
      </c>
      <c r="B75" s="58">
        <f>AVERAGE(F70)</f>
        <v>40.142857142857146</v>
      </c>
      <c r="I75" s="44"/>
      <c r="J75" s="44"/>
      <c r="K75" s="44"/>
      <c r="L75" s="44"/>
      <c r="M75" s="44"/>
      <c r="N75" s="44"/>
      <c r="O75" s="44"/>
      <c r="P75" s="44"/>
      <c r="Q75" s="44"/>
      <c r="R75" s="44"/>
      <c r="S75" s="44"/>
      <c r="T75" s="44"/>
      <c r="U75" s="44"/>
      <c r="V75" s="44"/>
    </row>
    <row r="76" spans="1:37" ht="15.75" customHeight="1" x14ac:dyDescent="0.35">
      <c r="A76" s="18" t="s">
        <v>110</v>
      </c>
      <c r="B76" s="58">
        <f>AVERAGE(C70,E70,J70)</f>
        <v>39.25</v>
      </c>
      <c r="I76" s="44"/>
      <c r="J76" s="44"/>
      <c r="K76" s="44"/>
      <c r="L76" s="44"/>
      <c r="M76" s="44"/>
      <c r="N76" s="44"/>
      <c r="O76" s="44"/>
      <c r="P76" s="44"/>
      <c r="Q76" s="44"/>
      <c r="R76" s="44"/>
      <c r="S76" s="44"/>
      <c r="T76" s="44"/>
      <c r="U76" s="44"/>
      <c r="V76" s="44"/>
    </row>
    <row r="77" spans="1:37" ht="15.75" customHeight="1" x14ac:dyDescent="0.35">
      <c r="A77" s="18" t="s">
        <v>103</v>
      </c>
      <c r="B77" s="58">
        <f>AVERAGE(L70)</f>
        <v>48.857142857142854</v>
      </c>
      <c r="I77" s="44"/>
      <c r="J77" s="44"/>
      <c r="K77" s="44"/>
      <c r="L77" s="44"/>
      <c r="M77" s="44"/>
      <c r="N77" s="44"/>
      <c r="O77" s="44"/>
      <c r="P77" s="44"/>
      <c r="Q77" s="44"/>
    </row>
    <row r="78" spans="1:37" ht="15.75" customHeight="1" x14ac:dyDescent="0.35">
      <c r="A78" s="47"/>
      <c r="I78" s="44"/>
      <c r="J78" s="44"/>
      <c r="K78" s="44"/>
      <c r="L78" s="44"/>
      <c r="M78" s="44"/>
      <c r="N78" s="44"/>
      <c r="O78" s="44"/>
      <c r="P78" s="44"/>
      <c r="Q78" s="44"/>
    </row>
    <row r="79" spans="1:37" ht="15.75" customHeight="1" x14ac:dyDescent="0.35">
      <c r="A79" s="47"/>
      <c r="I79" s="44"/>
      <c r="J79" s="44"/>
      <c r="K79" s="44"/>
      <c r="L79" s="44"/>
      <c r="M79" s="44"/>
      <c r="N79" s="44"/>
      <c r="O79" s="44"/>
      <c r="P79" s="44"/>
      <c r="Q79" s="44"/>
    </row>
    <row r="80" spans="1:37" ht="15.75" customHeight="1" x14ac:dyDescent="0.35">
      <c r="A80" s="47"/>
      <c r="I80" s="44"/>
      <c r="J80" s="44"/>
      <c r="K80" s="44"/>
      <c r="L80" s="44"/>
      <c r="M80" s="44"/>
      <c r="N80" s="44"/>
      <c r="O80" s="44"/>
      <c r="P80" s="44"/>
      <c r="Q80" s="44"/>
    </row>
    <row r="81" spans="1:17" ht="15.75" customHeight="1" x14ac:dyDescent="0.35">
      <c r="A81" s="47"/>
      <c r="I81" s="44"/>
      <c r="J81" s="44"/>
      <c r="K81" s="44"/>
      <c r="L81" s="44"/>
      <c r="M81" s="44"/>
      <c r="N81" s="44"/>
      <c r="O81" s="44"/>
      <c r="P81" s="44"/>
      <c r="Q81" s="44"/>
    </row>
    <row r="82" spans="1:17" ht="15.75" customHeight="1" x14ac:dyDescent="0.35">
      <c r="A82" s="47"/>
      <c r="I82" s="44"/>
      <c r="J82" s="44"/>
      <c r="K82" s="44"/>
      <c r="L82" s="44"/>
      <c r="M82" s="44"/>
      <c r="N82" s="44"/>
      <c r="O82" s="44"/>
      <c r="P82" s="44"/>
      <c r="Q82" s="44"/>
    </row>
    <row r="83" spans="1:17" ht="15.75" customHeight="1" x14ac:dyDescent="0.35">
      <c r="A83" s="47"/>
      <c r="I83" s="44"/>
      <c r="J83" s="44"/>
      <c r="K83" s="44"/>
      <c r="L83" s="44"/>
      <c r="M83" s="44"/>
      <c r="N83" s="44"/>
      <c r="O83" s="44"/>
      <c r="P83" s="44"/>
      <c r="Q83" s="44"/>
    </row>
    <row r="84" spans="1:17" ht="15.75" customHeight="1" x14ac:dyDescent="0.35">
      <c r="A84" s="47"/>
      <c r="I84" s="44"/>
      <c r="J84" s="44"/>
      <c r="K84" s="44"/>
      <c r="L84" s="44"/>
      <c r="M84" s="44"/>
      <c r="N84" s="44"/>
      <c r="O84" s="44"/>
      <c r="P84" s="44"/>
      <c r="Q84" s="44"/>
    </row>
    <row r="85" spans="1:17" ht="15.75" customHeight="1" x14ac:dyDescent="0.35">
      <c r="A85" s="47"/>
      <c r="I85" s="44"/>
      <c r="J85" s="44"/>
      <c r="K85" s="44"/>
      <c r="L85" s="44"/>
      <c r="M85" s="44"/>
      <c r="N85" s="44"/>
      <c r="O85" s="44"/>
      <c r="P85" s="44"/>
      <c r="Q85" s="44"/>
    </row>
    <row r="86" spans="1:17" ht="15.75" customHeight="1" x14ac:dyDescent="0.35">
      <c r="A86" s="47"/>
      <c r="I86" s="44"/>
      <c r="J86" s="44"/>
      <c r="K86" s="44"/>
      <c r="L86" s="44"/>
      <c r="M86" s="44"/>
      <c r="N86" s="44"/>
      <c r="O86" s="44"/>
      <c r="P86" s="44"/>
      <c r="Q86" s="44"/>
    </row>
    <row r="87" spans="1:17" ht="15.75" customHeight="1" x14ac:dyDescent="0.35">
      <c r="A87" s="47"/>
      <c r="I87" s="44"/>
      <c r="J87" s="44"/>
      <c r="K87" s="44"/>
      <c r="L87" s="44"/>
      <c r="M87" s="44"/>
      <c r="N87" s="44"/>
      <c r="O87" s="44"/>
      <c r="P87" s="44"/>
      <c r="Q87" s="44"/>
    </row>
    <row r="88" spans="1:17" ht="15.75" customHeight="1" x14ac:dyDescent="0.35">
      <c r="A88" s="47"/>
      <c r="I88" s="44"/>
      <c r="J88" s="44"/>
      <c r="K88" s="44"/>
      <c r="L88" s="44"/>
      <c r="M88" s="44"/>
      <c r="N88" s="44"/>
      <c r="O88" s="44"/>
      <c r="P88" s="44"/>
      <c r="Q88" s="44"/>
    </row>
    <row r="89" spans="1:17" ht="15.75" customHeight="1" x14ac:dyDescent="0.35">
      <c r="A89" s="47"/>
      <c r="I89" s="44"/>
      <c r="J89" s="44"/>
      <c r="K89" s="44"/>
      <c r="L89" s="44"/>
      <c r="M89" s="44"/>
      <c r="N89" s="44"/>
      <c r="O89" s="44"/>
      <c r="P89" s="44"/>
      <c r="Q89" s="44"/>
    </row>
    <row r="90" spans="1:17" ht="15.75" customHeight="1" x14ac:dyDescent="0.35">
      <c r="A90" s="47"/>
      <c r="I90" s="44"/>
      <c r="J90" s="44"/>
      <c r="K90" s="44"/>
      <c r="L90" s="44"/>
      <c r="M90" s="44"/>
      <c r="N90" s="44"/>
      <c r="O90" s="44"/>
      <c r="P90" s="44"/>
      <c r="Q90" s="44"/>
    </row>
    <row r="91" spans="1:17" ht="15.75" customHeight="1" x14ac:dyDescent="0.35">
      <c r="A91" s="47"/>
      <c r="I91" s="44"/>
      <c r="J91" s="44"/>
      <c r="K91" s="44"/>
      <c r="L91" s="44"/>
      <c r="M91" s="44"/>
      <c r="N91" s="44"/>
      <c r="O91" s="44"/>
      <c r="P91" s="44"/>
      <c r="Q91" s="44"/>
    </row>
    <row r="92" spans="1:17" ht="15.75" customHeight="1" x14ac:dyDescent="0.35">
      <c r="A92" s="47"/>
      <c r="I92" s="44"/>
      <c r="J92" s="44"/>
      <c r="K92" s="44"/>
      <c r="L92" s="44"/>
      <c r="M92" s="44"/>
      <c r="N92" s="44"/>
      <c r="O92" s="44"/>
      <c r="P92" s="44"/>
      <c r="Q92" s="44"/>
    </row>
    <row r="93" spans="1:17" ht="15.75" customHeight="1" x14ac:dyDescent="0.35">
      <c r="A93" s="47"/>
      <c r="I93" s="44"/>
      <c r="J93" s="44"/>
      <c r="K93" s="44"/>
      <c r="L93" s="44"/>
      <c r="M93" s="44"/>
      <c r="N93" s="44"/>
      <c r="O93" s="44"/>
      <c r="P93" s="44"/>
      <c r="Q93" s="44"/>
    </row>
    <row r="94" spans="1:17" ht="15.75" customHeight="1" x14ac:dyDescent="0.35">
      <c r="A94" s="47"/>
      <c r="I94" s="44"/>
      <c r="J94" s="44"/>
      <c r="K94" s="44"/>
      <c r="L94" s="44"/>
      <c r="M94" s="44"/>
      <c r="N94" s="44"/>
      <c r="O94" s="44"/>
      <c r="P94" s="44"/>
      <c r="Q94" s="44"/>
    </row>
    <row r="95" spans="1:17" ht="15.75" customHeight="1" x14ac:dyDescent="0.35">
      <c r="A95" s="47"/>
      <c r="I95" s="44"/>
      <c r="J95" s="44"/>
      <c r="K95" s="44"/>
      <c r="L95" s="44"/>
      <c r="M95" s="44"/>
      <c r="N95" s="44"/>
      <c r="O95" s="44"/>
      <c r="P95" s="44"/>
      <c r="Q95" s="44"/>
    </row>
    <row r="96" spans="1:17" ht="15.75" customHeight="1" x14ac:dyDescent="0.35">
      <c r="A96" s="47"/>
      <c r="I96" s="44"/>
      <c r="J96" s="44"/>
      <c r="K96" s="44"/>
      <c r="L96" s="44"/>
      <c r="M96" s="44"/>
      <c r="N96" s="44"/>
      <c r="O96" s="44"/>
      <c r="P96" s="44"/>
      <c r="Q96" s="44"/>
    </row>
    <row r="97" spans="1:22" ht="15.75" customHeight="1" x14ac:dyDescent="0.35">
      <c r="A97" s="47"/>
      <c r="I97" s="44"/>
      <c r="J97" s="44"/>
      <c r="K97" s="44"/>
      <c r="L97" s="44"/>
      <c r="M97" s="44"/>
      <c r="N97" s="44"/>
      <c r="O97" s="44"/>
      <c r="P97" s="44"/>
      <c r="Q97" s="44"/>
    </row>
    <row r="98" spans="1:22" ht="15.75" customHeight="1" x14ac:dyDescent="0.35">
      <c r="A98" s="47"/>
      <c r="I98" s="44"/>
      <c r="J98" s="44"/>
      <c r="K98" s="44"/>
      <c r="L98" s="44"/>
      <c r="M98" s="44"/>
      <c r="N98" s="44"/>
      <c r="O98" s="44"/>
      <c r="P98" s="44"/>
      <c r="Q98" s="44"/>
    </row>
    <row r="99" spans="1:22" ht="15.75" customHeight="1" x14ac:dyDescent="0.35">
      <c r="A99" s="47"/>
      <c r="I99" s="44"/>
      <c r="J99" s="44"/>
      <c r="K99" s="44"/>
      <c r="L99" s="44"/>
      <c r="M99" s="44"/>
      <c r="N99" s="44"/>
      <c r="O99" s="44"/>
      <c r="P99" s="44"/>
      <c r="Q99" s="44"/>
    </row>
    <row r="100" spans="1:22" ht="15.75" customHeight="1" x14ac:dyDescent="0.35">
      <c r="A100" s="47"/>
      <c r="I100" s="44"/>
      <c r="J100" s="44"/>
      <c r="K100" s="44"/>
      <c r="L100" s="44"/>
      <c r="M100" s="44"/>
      <c r="N100" s="44"/>
      <c r="O100" s="44"/>
      <c r="P100" s="44"/>
      <c r="Q100" s="44"/>
    </row>
    <row r="101" spans="1:22" ht="15.75" customHeight="1" x14ac:dyDescent="0.35">
      <c r="A101" s="47"/>
      <c r="I101" s="44"/>
      <c r="J101" s="44"/>
      <c r="K101" s="44"/>
      <c r="L101" s="44"/>
      <c r="M101" s="44"/>
      <c r="N101" s="44"/>
      <c r="O101" s="44"/>
      <c r="P101" s="44"/>
      <c r="Q101" s="44"/>
    </row>
    <row r="102" spans="1:22" ht="15.75" customHeight="1" x14ac:dyDescent="0.35">
      <c r="A102" s="47"/>
      <c r="I102" s="44"/>
      <c r="J102" s="44"/>
      <c r="K102" s="44"/>
      <c r="L102" s="44"/>
      <c r="M102" s="44"/>
      <c r="N102" s="44"/>
      <c r="O102" s="44"/>
      <c r="P102" s="44"/>
      <c r="Q102" s="44"/>
    </row>
    <row r="103" spans="1:22" ht="15.75" customHeight="1" x14ac:dyDescent="0.35">
      <c r="A103" s="47"/>
      <c r="I103" s="44"/>
      <c r="J103" s="44"/>
      <c r="K103" s="44"/>
      <c r="L103" s="44"/>
      <c r="M103" s="44"/>
      <c r="N103" s="44"/>
      <c r="O103" s="44"/>
      <c r="P103" s="44"/>
      <c r="Q103" s="44"/>
    </row>
    <row r="104" spans="1:22" ht="15.75" customHeight="1" x14ac:dyDescent="0.35">
      <c r="A104" s="47"/>
      <c r="I104" s="44"/>
      <c r="J104" s="44"/>
      <c r="K104" s="44"/>
      <c r="L104" s="44"/>
      <c r="M104" s="44"/>
      <c r="N104" s="44"/>
      <c r="O104" s="44"/>
      <c r="P104" s="44"/>
      <c r="Q104" s="44"/>
    </row>
    <row r="105" spans="1:22" ht="15.75" customHeight="1" x14ac:dyDescent="0.35">
      <c r="A105" s="47"/>
      <c r="I105" s="44"/>
      <c r="J105" s="44"/>
      <c r="K105" s="44"/>
      <c r="L105" s="44"/>
      <c r="M105" s="44"/>
      <c r="N105" s="44"/>
      <c r="O105" s="44"/>
      <c r="P105" s="44"/>
      <c r="Q105" s="44"/>
    </row>
    <row r="106" spans="1:22" ht="15.75" customHeight="1" x14ac:dyDescent="0.35">
      <c r="A106" s="47"/>
      <c r="I106" s="44"/>
      <c r="J106" s="44"/>
      <c r="K106" s="44"/>
      <c r="L106" s="44"/>
      <c r="M106" s="44"/>
      <c r="N106" s="44"/>
      <c r="O106" s="44"/>
      <c r="P106" s="44"/>
      <c r="Q106" s="44"/>
    </row>
    <row r="107" spans="1:22" ht="15.75" customHeight="1" x14ac:dyDescent="0.35">
      <c r="A107" s="47"/>
      <c r="I107" s="44"/>
      <c r="J107" s="44"/>
      <c r="K107" s="44"/>
      <c r="L107" s="44"/>
      <c r="M107" s="44"/>
      <c r="N107" s="44"/>
      <c r="O107" s="44"/>
      <c r="P107" s="44"/>
      <c r="Q107" s="44"/>
    </row>
    <row r="108" spans="1:22" ht="15.75" customHeight="1" x14ac:dyDescent="0.35">
      <c r="A108" s="47"/>
      <c r="I108" s="44"/>
      <c r="J108" s="44"/>
      <c r="K108" s="44"/>
      <c r="L108" s="44"/>
      <c r="M108" s="44"/>
      <c r="N108" s="44"/>
      <c r="O108" s="44"/>
      <c r="P108" s="44"/>
      <c r="Q108" s="44"/>
    </row>
    <row r="109" spans="1:22" ht="15.75" customHeight="1" x14ac:dyDescent="0.35">
      <c r="A109" s="47"/>
      <c r="I109" s="44"/>
      <c r="J109" s="44"/>
      <c r="K109" s="44"/>
      <c r="L109" s="44"/>
      <c r="M109" s="44"/>
      <c r="N109" s="44"/>
      <c r="O109" s="44"/>
      <c r="P109" s="44"/>
      <c r="Q109" s="44"/>
    </row>
    <row r="110" spans="1:22" ht="15.75" customHeight="1" x14ac:dyDescent="0.35">
      <c r="A110" s="47"/>
      <c r="I110" s="44"/>
      <c r="J110" s="44"/>
      <c r="K110" s="44"/>
      <c r="L110" s="44"/>
      <c r="M110" s="44"/>
      <c r="N110" s="44"/>
      <c r="O110" s="44"/>
      <c r="P110" s="44"/>
      <c r="Q110" s="44"/>
      <c r="R110" s="44"/>
      <c r="S110" s="44"/>
      <c r="T110" s="44"/>
      <c r="U110" s="44"/>
      <c r="V110" s="44"/>
    </row>
    <row r="111" spans="1:22" ht="15.75" customHeight="1" x14ac:dyDescent="0.35">
      <c r="A111" s="47"/>
      <c r="I111" s="44"/>
      <c r="J111" s="44"/>
      <c r="K111" s="44"/>
      <c r="L111" s="44"/>
      <c r="M111" s="44"/>
      <c r="N111" s="44"/>
      <c r="O111" s="44"/>
      <c r="P111" s="44"/>
      <c r="Q111" s="44"/>
      <c r="R111" s="44"/>
      <c r="S111" s="44"/>
      <c r="T111" s="44"/>
      <c r="U111" s="44"/>
      <c r="V111" s="44"/>
    </row>
    <row r="112" spans="1:22" ht="15.75" customHeight="1" x14ac:dyDescent="0.35">
      <c r="A112" s="47"/>
      <c r="I112" s="44"/>
      <c r="J112" s="44"/>
      <c r="K112" s="44"/>
      <c r="L112" s="44"/>
      <c r="M112" s="44"/>
      <c r="N112" s="44"/>
      <c r="O112" s="44"/>
      <c r="P112" s="44"/>
      <c r="Q112" s="44"/>
      <c r="R112" s="44"/>
      <c r="S112" s="44"/>
      <c r="T112" s="44"/>
      <c r="U112" s="44"/>
      <c r="V112" s="44"/>
    </row>
    <row r="113" spans="1:22" ht="15.75" customHeight="1" x14ac:dyDescent="0.35">
      <c r="A113" s="47"/>
      <c r="I113" s="44"/>
      <c r="J113" s="44"/>
      <c r="K113" s="44"/>
      <c r="L113" s="44"/>
      <c r="M113" s="44"/>
      <c r="N113" s="44"/>
      <c r="O113" s="44"/>
      <c r="P113" s="44"/>
      <c r="Q113" s="44"/>
      <c r="R113" s="44"/>
      <c r="S113" s="44"/>
      <c r="T113" s="44"/>
      <c r="U113" s="44"/>
      <c r="V113" s="44"/>
    </row>
    <row r="114" spans="1:22" ht="15.75" customHeight="1" x14ac:dyDescent="0.35">
      <c r="A114" s="47"/>
      <c r="I114" s="44"/>
      <c r="J114" s="44"/>
      <c r="K114" s="44"/>
      <c r="L114" s="44"/>
      <c r="M114" s="44"/>
      <c r="N114" s="44"/>
      <c r="O114" s="44"/>
      <c r="P114" s="44"/>
      <c r="Q114" s="44"/>
      <c r="R114" s="44"/>
      <c r="S114" s="44"/>
      <c r="T114" s="44"/>
      <c r="U114" s="44"/>
      <c r="V114" s="44"/>
    </row>
    <row r="115" spans="1:22" ht="15.75" customHeight="1" x14ac:dyDescent="0.35">
      <c r="A115" s="47"/>
      <c r="I115" s="44"/>
      <c r="J115" s="44"/>
      <c r="K115" s="44"/>
      <c r="L115" s="44"/>
      <c r="M115" s="44"/>
      <c r="N115" s="44"/>
      <c r="O115" s="44"/>
      <c r="P115" s="44"/>
      <c r="Q115" s="44"/>
      <c r="R115" s="44"/>
      <c r="S115" s="44"/>
      <c r="T115" s="44"/>
      <c r="U115" s="44"/>
      <c r="V115" s="44"/>
    </row>
    <row r="116" spans="1:22" ht="15.75" customHeight="1" x14ac:dyDescent="0.35">
      <c r="A116" s="47"/>
      <c r="I116" s="44"/>
      <c r="J116" s="44"/>
      <c r="K116" s="44"/>
      <c r="L116" s="44"/>
      <c r="M116" s="44"/>
      <c r="N116" s="44"/>
      <c r="O116" s="44"/>
      <c r="P116" s="44"/>
      <c r="Q116" s="44"/>
      <c r="R116" s="44"/>
      <c r="S116" s="44"/>
      <c r="T116" s="44"/>
      <c r="U116" s="44"/>
      <c r="V116" s="44"/>
    </row>
    <row r="117" spans="1:22" ht="15.75" customHeight="1" x14ac:dyDescent="0.35">
      <c r="A117" s="47"/>
      <c r="I117" s="44"/>
      <c r="J117" s="44"/>
      <c r="K117" s="44"/>
      <c r="L117" s="44"/>
      <c r="M117" s="44"/>
      <c r="N117" s="44"/>
      <c r="O117" s="44"/>
      <c r="P117" s="44"/>
      <c r="Q117" s="44"/>
      <c r="R117" s="44"/>
      <c r="S117" s="44"/>
      <c r="T117" s="44"/>
      <c r="U117" s="44"/>
      <c r="V117" s="44"/>
    </row>
    <row r="118" spans="1:22" ht="15.75" customHeight="1" x14ac:dyDescent="0.35">
      <c r="A118" s="47"/>
      <c r="I118" s="44"/>
      <c r="J118" s="44"/>
      <c r="K118" s="44"/>
      <c r="L118" s="44"/>
      <c r="M118" s="44"/>
      <c r="N118" s="44"/>
      <c r="O118" s="44"/>
      <c r="P118" s="44"/>
      <c r="Q118" s="44"/>
      <c r="R118" s="44"/>
      <c r="S118" s="44"/>
      <c r="T118" s="44"/>
      <c r="U118" s="44"/>
      <c r="V118" s="44"/>
    </row>
    <row r="119" spans="1:22" ht="15.75" customHeight="1" x14ac:dyDescent="0.35">
      <c r="A119" s="47"/>
      <c r="I119" s="44"/>
      <c r="J119" s="44"/>
      <c r="K119" s="44"/>
      <c r="L119" s="44"/>
      <c r="M119" s="44"/>
      <c r="N119" s="44"/>
      <c r="O119" s="44"/>
      <c r="P119" s="44"/>
      <c r="Q119" s="44"/>
      <c r="R119" s="44"/>
      <c r="S119" s="44"/>
      <c r="T119" s="44"/>
      <c r="U119" s="44"/>
      <c r="V119" s="44"/>
    </row>
    <row r="120" spans="1:22" ht="15.75" customHeight="1" x14ac:dyDescent="0.35">
      <c r="A120" s="47"/>
      <c r="I120" s="44"/>
      <c r="J120" s="44"/>
      <c r="K120" s="44"/>
      <c r="L120" s="44"/>
      <c r="M120" s="44"/>
      <c r="N120" s="44"/>
      <c r="O120" s="44"/>
      <c r="P120" s="44"/>
      <c r="Q120" s="44"/>
      <c r="R120" s="44"/>
      <c r="S120" s="44"/>
      <c r="T120" s="44"/>
      <c r="U120" s="44"/>
      <c r="V120" s="44"/>
    </row>
    <row r="121" spans="1:22" ht="15.75" customHeight="1" x14ac:dyDescent="0.35">
      <c r="A121" s="47"/>
      <c r="I121" s="44"/>
      <c r="J121" s="44"/>
      <c r="K121" s="44"/>
      <c r="L121" s="44"/>
      <c r="M121" s="44"/>
      <c r="N121" s="44"/>
      <c r="O121" s="44"/>
      <c r="P121" s="44"/>
      <c r="Q121" s="44"/>
      <c r="R121" s="44"/>
      <c r="S121" s="44"/>
      <c r="T121" s="44"/>
      <c r="U121" s="44"/>
      <c r="V121" s="44"/>
    </row>
    <row r="122" spans="1:22" ht="15.75" customHeight="1" x14ac:dyDescent="0.35">
      <c r="A122" s="47"/>
      <c r="I122" s="44"/>
      <c r="J122" s="44"/>
      <c r="K122" s="44"/>
      <c r="L122" s="44"/>
      <c r="M122" s="44"/>
      <c r="N122" s="44"/>
      <c r="O122" s="44"/>
      <c r="P122" s="44"/>
      <c r="Q122" s="44"/>
      <c r="R122" s="44"/>
      <c r="S122" s="44"/>
      <c r="T122" s="44"/>
      <c r="U122" s="44"/>
      <c r="V122" s="44"/>
    </row>
    <row r="123" spans="1:22" ht="15.75" customHeight="1" x14ac:dyDescent="0.35">
      <c r="A123" s="47"/>
      <c r="I123" s="44"/>
      <c r="J123" s="44"/>
      <c r="K123" s="44"/>
      <c r="L123" s="44"/>
      <c r="M123" s="44"/>
      <c r="N123" s="44"/>
      <c r="O123" s="44"/>
      <c r="P123" s="44"/>
      <c r="Q123" s="44"/>
      <c r="R123" s="44"/>
      <c r="S123" s="44"/>
      <c r="T123" s="44"/>
      <c r="U123" s="44"/>
      <c r="V123" s="44"/>
    </row>
    <row r="124" spans="1:22" ht="15.75" customHeight="1" x14ac:dyDescent="0.35">
      <c r="A124" s="47"/>
      <c r="I124" s="44"/>
      <c r="J124" s="44"/>
      <c r="K124" s="44"/>
      <c r="L124" s="44"/>
      <c r="M124" s="44"/>
      <c r="N124" s="44"/>
      <c r="O124" s="44"/>
      <c r="P124" s="44"/>
      <c r="Q124" s="44"/>
      <c r="R124" s="44"/>
      <c r="S124" s="44"/>
      <c r="T124" s="44"/>
      <c r="U124" s="44"/>
      <c r="V124" s="44"/>
    </row>
    <row r="125" spans="1:22" ht="15.75" customHeight="1" x14ac:dyDescent="0.35">
      <c r="A125" s="47"/>
      <c r="I125" s="44"/>
      <c r="J125" s="44"/>
      <c r="K125" s="44"/>
      <c r="L125" s="44"/>
      <c r="M125" s="44"/>
      <c r="N125" s="44"/>
      <c r="O125" s="44"/>
      <c r="P125" s="44"/>
      <c r="Q125" s="44"/>
      <c r="R125" s="44"/>
      <c r="S125" s="44"/>
      <c r="T125" s="44"/>
      <c r="U125" s="44"/>
      <c r="V125" s="44"/>
    </row>
    <row r="126" spans="1:22" ht="15.75" customHeight="1" x14ac:dyDescent="0.35">
      <c r="A126" s="47"/>
      <c r="I126" s="44"/>
      <c r="J126" s="44"/>
      <c r="K126" s="44"/>
      <c r="L126" s="44"/>
      <c r="M126" s="44"/>
      <c r="N126" s="44"/>
      <c r="O126" s="44"/>
      <c r="P126" s="44"/>
      <c r="Q126" s="44"/>
      <c r="R126" s="44"/>
      <c r="S126" s="44"/>
      <c r="T126" s="44"/>
      <c r="U126" s="44"/>
      <c r="V126" s="44"/>
    </row>
    <row r="127" spans="1:22" ht="15.75" customHeight="1" x14ac:dyDescent="0.35">
      <c r="A127" s="47"/>
      <c r="I127" s="44"/>
      <c r="J127" s="44"/>
      <c r="K127" s="44"/>
      <c r="L127" s="44"/>
      <c r="M127" s="44"/>
      <c r="N127" s="44"/>
      <c r="O127" s="44"/>
      <c r="P127" s="44"/>
      <c r="Q127" s="44"/>
      <c r="R127" s="44"/>
      <c r="S127" s="44"/>
      <c r="T127" s="44"/>
      <c r="U127" s="44"/>
      <c r="V127" s="44"/>
    </row>
    <row r="128" spans="1:22" ht="15.75" customHeight="1" x14ac:dyDescent="0.35">
      <c r="A128" s="47"/>
      <c r="I128" s="44"/>
      <c r="J128" s="44"/>
      <c r="K128" s="44"/>
      <c r="L128" s="44"/>
      <c r="M128" s="44"/>
      <c r="N128" s="44"/>
      <c r="O128" s="44"/>
      <c r="P128" s="44"/>
      <c r="Q128" s="44"/>
      <c r="R128" s="44"/>
      <c r="S128" s="44"/>
      <c r="T128" s="44"/>
      <c r="U128" s="44"/>
      <c r="V128" s="44"/>
    </row>
    <row r="129" spans="1:22" ht="15.75" customHeight="1" x14ac:dyDescent="0.35">
      <c r="A129" s="47"/>
      <c r="I129" s="44"/>
      <c r="J129" s="44"/>
      <c r="K129" s="44"/>
      <c r="L129" s="44"/>
      <c r="M129" s="44"/>
      <c r="N129" s="44"/>
      <c r="O129" s="44"/>
      <c r="P129" s="44"/>
      <c r="Q129" s="44"/>
      <c r="R129" s="44"/>
      <c r="S129" s="44"/>
      <c r="T129" s="44"/>
      <c r="U129" s="44"/>
      <c r="V129" s="44"/>
    </row>
    <row r="130" spans="1:22" ht="15.75" customHeight="1" x14ac:dyDescent="0.35">
      <c r="A130" s="47"/>
      <c r="I130" s="44"/>
      <c r="J130" s="44"/>
      <c r="K130" s="44"/>
      <c r="L130" s="44"/>
      <c r="M130" s="44"/>
      <c r="N130" s="44"/>
      <c r="O130" s="44"/>
      <c r="P130" s="44"/>
      <c r="Q130" s="44"/>
      <c r="R130" s="44"/>
      <c r="S130" s="44"/>
      <c r="T130" s="44"/>
      <c r="U130" s="44"/>
      <c r="V130" s="44"/>
    </row>
    <row r="131" spans="1:22" ht="15.75" customHeight="1" x14ac:dyDescent="0.35">
      <c r="A131" s="47"/>
      <c r="I131" s="44"/>
      <c r="J131" s="44"/>
      <c r="K131" s="44"/>
      <c r="L131" s="44"/>
      <c r="M131" s="44"/>
      <c r="N131" s="44"/>
      <c r="O131" s="44"/>
      <c r="P131" s="44"/>
      <c r="Q131" s="44"/>
      <c r="R131" s="44"/>
      <c r="S131" s="44"/>
      <c r="T131" s="44"/>
      <c r="U131" s="44"/>
      <c r="V131" s="44"/>
    </row>
    <row r="132" spans="1:22" ht="15.75" customHeight="1" x14ac:dyDescent="0.35">
      <c r="A132" s="47"/>
      <c r="I132" s="44"/>
      <c r="J132" s="44"/>
      <c r="K132" s="44"/>
      <c r="L132" s="44"/>
      <c r="M132" s="44"/>
      <c r="N132" s="44"/>
      <c r="O132" s="44"/>
      <c r="P132" s="44"/>
      <c r="Q132" s="44"/>
      <c r="R132" s="44"/>
      <c r="S132" s="44"/>
      <c r="T132" s="44"/>
      <c r="U132" s="44"/>
      <c r="V132" s="44"/>
    </row>
    <row r="133" spans="1:22" ht="15.75" customHeight="1" x14ac:dyDescent="0.35">
      <c r="A133" s="47"/>
      <c r="I133" s="44"/>
      <c r="J133" s="44"/>
      <c r="K133" s="44"/>
      <c r="L133" s="44"/>
      <c r="M133" s="44"/>
      <c r="N133" s="44"/>
      <c r="O133" s="44"/>
      <c r="P133" s="44"/>
      <c r="Q133" s="44"/>
      <c r="R133" s="44"/>
      <c r="S133" s="44"/>
      <c r="T133" s="44"/>
      <c r="U133" s="44"/>
      <c r="V133" s="44"/>
    </row>
    <row r="134" spans="1:22" ht="15.75" customHeight="1" x14ac:dyDescent="0.35">
      <c r="A134" s="47"/>
      <c r="I134" s="44"/>
      <c r="J134" s="44"/>
      <c r="K134" s="44"/>
      <c r="L134" s="44"/>
      <c r="M134" s="44"/>
      <c r="N134" s="44"/>
      <c r="O134" s="44"/>
      <c r="P134" s="44"/>
      <c r="Q134" s="44"/>
      <c r="R134" s="44"/>
      <c r="S134" s="44"/>
      <c r="T134" s="44"/>
      <c r="U134" s="44"/>
      <c r="V134" s="44"/>
    </row>
    <row r="135" spans="1:22" ht="15.75" customHeight="1" x14ac:dyDescent="0.35">
      <c r="A135" s="47"/>
      <c r="I135" s="44"/>
      <c r="J135" s="44"/>
      <c r="K135" s="44"/>
      <c r="L135" s="44"/>
      <c r="M135" s="44"/>
      <c r="N135" s="44"/>
      <c r="O135" s="44"/>
      <c r="P135" s="44"/>
      <c r="Q135" s="44"/>
      <c r="R135" s="44"/>
      <c r="S135" s="44"/>
      <c r="T135" s="44"/>
      <c r="U135" s="44"/>
      <c r="V135" s="44"/>
    </row>
    <row r="136" spans="1:22" ht="15.75" customHeight="1" x14ac:dyDescent="0.35">
      <c r="A136" s="47"/>
      <c r="I136" s="44"/>
      <c r="J136" s="44"/>
      <c r="K136" s="44"/>
      <c r="L136" s="44"/>
      <c r="M136" s="44"/>
      <c r="N136" s="44"/>
      <c r="O136" s="44"/>
      <c r="P136" s="44"/>
      <c r="Q136" s="44"/>
      <c r="R136" s="44"/>
      <c r="S136" s="44"/>
      <c r="T136" s="44"/>
      <c r="U136" s="44"/>
      <c r="V136" s="44"/>
    </row>
    <row r="137" spans="1:22" ht="15.75" customHeight="1" x14ac:dyDescent="0.35">
      <c r="A137" s="47"/>
      <c r="I137" s="44"/>
      <c r="J137" s="44"/>
      <c r="K137" s="44"/>
      <c r="L137" s="44"/>
      <c r="M137" s="44"/>
      <c r="N137" s="44"/>
      <c r="O137" s="44"/>
      <c r="P137" s="44"/>
      <c r="Q137" s="44"/>
      <c r="R137" s="44"/>
      <c r="S137" s="44"/>
      <c r="T137" s="44"/>
      <c r="U137" s="44"/>
      <c r="V137" s="44"/>
    </row>
    <row r="138" spans="1:22" ht="15.75" customHeight="1" x14ac:dyDescent="0.35">
      <c r="A138" s="47"/>
      <c r="I138" s="44"/>
      <c r="J138" s="44"/>
      <c r="K138" s="44"/>
      <c r="L138" s="44"/>
      <c r="M138" s="44"/>
      <c r="N138" s="44"/>
      <c r="O138" s="44"/>
      <c r="P138" s="44"/>
      <c r="Q138" s="44"/>
      <c r="R138" s="44"/>
      <c r="S138" s="44"/>
      <c r="T138" s="44"/>
      <c r="U138" s="44"/>
      <c r="V138" s="44"/>
    </row>
    <row r="139" spans="1:22" ht="15.75" customHeight="1" x14ac:dyDescent="0.35">
      <c r="A139" s="47"/>
      <c r="I139" s="44"/>
      <c r="J139" s="44"/>
      <c r="K139" s="44"/>
      <c r="L139" s="44"/>
      <c r="M139" s="44"/>
      <c r="N139" s="44"/>
      <c r="O139" s="44"/>
      <c r="P139" s="44"/>
      <c r="Q139" s="44"/>
      <c r="R139" s="44"/>
      <c r="S139" s="44"/>
      <c r="T139" s="44"/>
      <c r="U139" s="44"/>
      <c r="V139" s="44"/>
    </row>
    <row r="140" spans="1:22" ht="15.75" customHeight="1" x14ac:dyDescent="0.35">
      <c r="A140" s="47"/>
      <c r="I140" s="44"/>
      <c r="J140" s="44"/>
      <c r="K140" s="44"/>
      <c r="L140" s="44"/>
      <c r="M140" s="44"/>
      <c r="N140" s="44"/>
      <c r="O140" s="44"/>
      <c r="P140" s="44"/>
      <c r="Q140" s="44"/>
      <c r="R140" s="44"/>
      <c r="S140" s="44"/>
      <c r="T140" s="44"/>
      <c r="U140" s="44"/>
      <c r="V140" s="44"/>
    </row>
    <row r="141" spans="1:22" ht="15.75" customHeight="1" x14ac:dyDescent="0.35">
      <c r="A141" s="47"/>
      <c r="I141" s="44"/>
      <c r="J141" s="44"/>
      <c r="K141" s="44"/>
      <c r="L141" s="44"/>
      <c r="M141" s="44"/>
      <c r="N141" s="44"/>
      <c r="O141" s="44"/>
      <c r="P141" s="44"/>
      <c r="Q141" s="44"/>
      <c r="R141" s="44"/>
      <c r="S141" s="44"/>
      <c r="T141" s="44"/>
      <c r="U141" s="44"/>
      <c r="V141" s="44"/>
    </row>
    <row r="142" spans="1:22" ht="15.75" customHeight="1" x14ac:dyDescent="0.35">
      <c r="A142" s="47"/>
      <c r="I142" s="44"/>
      <c r="J142" s="44"/>
      <c r="K142" s="44"/>
      <c r="L142" s="44"/>
      <c r="M142" s="44"/>
      <c r="N142" s="44"/>
      <c r="O142" s="44"/>
      <c r="P142" s="44"/>
      <c r="Q142" s="44"/>
      <c r="R142" s="44"/>
      <c r="S142" s="44"/>
      <c r="T142" s="44"/>
      <c r="U142" s="44"/>
      <c r="V142" s="44"/>
    </row>
    <row r="143" spans="1:22" ht="15.75" customHeight="1" x14ac:dyDescent="0.35">
      <c r="A143" s="47"/>
      <c r="I143" s="44"/>
      <c r="J143" s="44"/>
      <c r="K143" s="44"/>
      <c r="L143" s="44"/>
      <c r="M143" s="44"/>
      <c r="N143" s="44"/>
      <c r="O143" s="44"/>
      <c r="P143" s="44"/>
      <c r="Q143" s="44"/>
      <c r="R143" s="44"/>
      <c r="S143" s="44"/>
      <c r="T143" s="44"/>
      <c r="U143" s="44"/>
      <c r="V143" s="44"/>
    </row>
    <row r="144" spans="1:22" ht="15.75" customHeight="1" x14ac:dyDescent="0.35">
      <c r="A144" s="47"/>
      <c r="I144" s="44"/>
      <c r="J144" s="44"/>
      <c r="K144" s="44"/>
      <c r="L144" s="44"/>
      <c r="M144" s="44"/>
      <c r="N144" s="44"/>
      <c r="O144" s="44"/>
      <c r="P144" s="44"/>
      <c r="Q144" s="44"/>
      <c r="R144" s="44"/>
      <c r="S144" s="44"/>
      <c r="T144" s="44"/>
      <c r="U144" s="44"/>
      <c r="V144" s="44"/>
    </row>
    <row r="145" spans="1:22" ht="15.75" customHeight="1" x14ac:dyDescent="0.35">
      <c r="A145" s="47"/>
      <c r="I145" s="44"/>
      <c r="J145" s="44"/>
      <c r="K145" s="44"/>
      <c r="L145" s="44"/>
      <c r="M145" s="44"/>
      <c r="N145" s="44"/>
      <c r="O145" s="44"/>
      <c r="P145" s="44"/>
      <c r="Q145" s="44"/>
      <c r="R145" s="44"/>
      <c r="S145" s="44"/>
      <c r="T145" s="44"/>
      <c r="U145" s="44"/>
      <c r="V145" s="44"/>
    </row>
    <row r="146" spans="1:22" ht="15.75" customHeight="1" x14ac:dyDescent="0.35">
      <c r="A146" s="47"/>
      <c r="I146" s="44"/>
      <c r="J146" s="44"/>
      <c r="K146" s="44"/>
      <c r="L146" s="44"/>
      <c r="M146" s="44"/>
      <c r="N146" s="44"/>
      <c r="O146" s="44"/>
      <c r="P146" s="44"/>
      <c r="Q146" s="44"/>
      <c r="R146" s="44"/>
      <c r="S146" s="44"/>
      <c r="T146" s="44"/>
      <c r="U146" s="44"/>
      <c r="V146" s="44"/>
    </row>
    <row r="147" spans="1:22" ht="15.75" customHeight="1" x14ac:dyDescent="0.35">
      <c r="A147" s="47"/>
      <c r="I147" s="44"/>
      <c r="J147" s="44"/>
      <c r="K147" s="44"/>
      <c r="L147" s="44"/>
      <c r="M147" s="44"/>
      <c r="N147" s="44"/>
      <c r="O147" s="44"/>
      <c r="P147" s="44"/>
      <c r="Q147" s="44"/>
      <c r="R147" s="44"/>
      <c r="S147" s="44"/>
      <c r="T147" s="44"/>
      <c r="U147" s="44"/>
      <c r="V147" s="44"/>
    </row>
    <row r="148" spans="1:22" ht="15.75" customHeight="1" x14ac:dyDescent="0.35">
      <c r="A148" s="47"/>
      <c r="I148" s="44"/>
      <c r="J148" s="44"/>
      <c r="K148" s="44"/>
      <c r="L148" s="44"/>
      <c r="M148" s="44"/>
      <c r="N148" s="44"/>
      <c r="O148" s="44"/>
      <c r="P148" s="44"/>
      <c r="Q148" s="44"/>
      <c r="R148" s="44"/>
      <c r="S148" s="44"/>
      <c r="T148" s="44"/>
      <c r="U148" s="44"/>
      <c r="V148" s="44"/>
    </row>
    <row r="149" spans="1:22" ht="15.75" customHeight="1" x14ac:dyDescent="0.35">
      <c r="A149" s="47"/>
      <c r="I149" s="44"/>
      <c r="J149" s="44"/>
      <c r="K149" s="44"/>
      <c r="L149" s="44"/>
      <c r="M149" s="44"/>
      <c r="N149" s="44"/>
      <c r="O149" s="44"/>
      <c r="P149" s="44"/>
      <c r="Q149" s="44"/>
      <c r="R149" s="44"/>
      <c r="S149" s="44"/>
      <c r="T149" s="44"/>
      <c r="U149" s="44"/>
      <c r="V149" s="44"/>
    </row>
    <row r="150" spans="1:22" ht="15.75" customHeight="1" x14ac:dyDescent="0.35">
      <c r="A150" s="47"/>
      <c r="I150" s="44"/>
      <c r="J150" s="44"/>
      <c r="K150" s="44"/>
      <c r="L150" s="44"/>
      <c r="M150" s="44"/>
      <c r="N150" s="44"/>
      <c r="O150" s="44"/>
      <c r="P150" s="44"/>
      <c r="Q150" s="44"/>
      <c r="R150" s="44"/>
      <c r="S150" s="44"/>
      <c r="T150" s="44"/>
      <c r="U150" s="44"/>
      <c r="V150" s="44"/>
    </row>
    <row r="151" spans="1:22" ht="15.75" customHeight="1" x14ac:dyDescent="0.35">
      <c r="A151" s="47"/>
      <c r="I151" s="44"/>
      <c r="J151" s="44"/>
      <c r="K151" s="44"/>
      <c r="L151" s="44"/>
      <c r="M151" s="44"/>
      <c r="N151" s="44"/>
      <c r="O151" s="44"/>
      <c r="P151" s="44"/>
      <c r="Q151" s="44"/>
      <c r="R151" s="44"/>
      <c r="S151" s="44"/>
      <c r="T151" s="44"/>
      <c r="U151" s="44"/>
      <c r="V151" s="44"/>
    </row>
    <row r="152" spans="1:22" ht="15.75" customHeight="1" x14ac:dyDescent="0.35">
      <c r="A152" s="47"/>
      <c r="I152" s="44"/>
      <c r="J152" s="44"/>
      <c r="K152" s="44"/>
      <c r="L152" s="44"/>
      <c r="M152" s="44"/>
      <c r="N152" s="44"/>
      <c r="O152" s="44"/>
      <c r="P152" s="44"/>
      <c r="Q152" s="44"/>
      <c r="R152" s="44"/>
      <c r="S152" s="44"/>
      <c r="T152" s="44"/>
      <c r="U152" s="44"/>
      <c r="V152" s="44"/>
    </row>
    <row r="153" spans="1:22" ht="15.75" customHeight="1" x14ac:dyDescent="0.35">
      <c r="A153" s="47"/>
      <c r="I153" s="44"/>
      <c r="J153" s="44"/>
      <c r="K153" s="44"/>
      <c r="L153" s="44"/>
      <c r="M153" s="44"/>
      <c r="N153" s="44"/>
      <c r="O153" s="44"/>
      <c r="P153" s="44"/>
      <c r="Q153" s="44"/>
      <c r="R153" s="44"/>
      <c r="S153" s="44"/>
      <c r="T153" s="44"/>
      <c r="U153" s="44"/>
      <c r="V153" s="44"/>
    </row>
    <row r="154" spans="1:22" ht="15.75" customHeight="1" x14ac:dyDescent="0.35">
      <c r="A154" s="47"/>
      <c r="I154" s="44"/>
      <c r="J154" s="44"/>
      <c r="K154" s="44"/>
      <c r="L154" s="44"/>
      <c r="M154" s="44"/>
      <c r="N154" s="44"/>
      <c r="O154" s="44"/>
      <c r="P154" s="44"/>
      <c r="Q154" s="44"/>
      <c r="R154" s="44"/>
      <c r="S154" s="44"/>
      <c r="T154" s="44"/>
      <c r="U154" s="44"/>
      <c r="V154" s="44"/>
    </row>
    <row r="155" spans="1:22" ht="15.75" customHeight="1" x14ac:dyDescent="0.35">
      <c r="A155" s="47"/>
      <c r="I155" s="44"/>
      <c r="J155" s="44"/>
      <c r="K155" s="44"/>
      <c r="L155" s="44"/>
      <c r="M155" s="44"/>
      <c r="N155" s="44"/>
      <c r="O155" s="44"/>
      <c r="P155" s="44"/>
      <c r="Q155" s="44"/>
      <c r="R155" s="44"/>
      <c r="S155" s="44"/>
      <c r="T155" s="44"/>
      <c r="U155" s="44"/>
      <c r="V155" s="44"/>
    </row>
    <row r="156" spans="1:22" ht="15.75" customHeight="1" x14ac:dyDescent="0.35">
      <c r="A156" s="47"/>
      <c r="I156" s="44"/>
      <c r="J156" s="44"/>
      <c r="K156" s="44"/>
      <c r="L156" s="44"/>
      <c r="M156" s="44"/>
      <c r="N156" s="44"/>
      <c r="O156" s="44"/>
      <c r="P156" s="44"/>
      <c r="Q156" s="44"/>
      <c r="R156" s="44"/>
      <c r="S156" s="44"/>
      <c r="T156" s="44"/>
      <c r="U156" s="44"/>
      <c r="V156" s="44"/>
    </row>
    <row r="157" spans="1:22" ht="15.75" customHeight="1" x14ac:dyDescent="0.35">
      <c r="A157" s="47"/>
      <c r="I157" s="44"/>
      <c r="J157" s="44"/>
      <c r="K157" s="44"/>
      <c r="L157" s="44"/>
      <c r="M157" s="44"/>
      <c r="N157" s="44"/>
      <c r="O157" s="44"/>
      <c r="P157" s="44"/>
      <c r="Q157" s="44"/>
      <c r="R157" s="44"/>
      <c r="S157" s="44"/>
      <c r="T157" s="44"/>
      <c r="U157" s="44"/>
      <c r="V157" s="44"/>
    </row>
    <row r="158" spans="1:22" ht="15.75" customHeight="1" x14ac:dyDescent="0.35">
      <c r="A158" s="47"/>
      <c r="I158" s="44"/>
      <c r="J158" s="44"/>
      <c r="K158" s="44"/>
      <c r="L158" s="44"/>
      <c r="M158" s="44"/>
      <c r="N158" s="44"/>
      <c r="O158" s="44"/>
      <c r="P158" s="44"/>
      <c r="Q158" s="44"/>
      <c r="R158" s="44"/>
      <c r="S158" s="44"/>
      <c r="T158" s="44"/>
      <c r="U158" s="44"/>
      <c r="V158" s="44"/>
    </row>
    <row r="159" spans="1:22" ht="15.75" customHeight="1" x14ac:dyDescent="0.35">
      <c r="A159" s="47"/>
      <c r="I159" s="44"/>
      <c r="J159" s="44"/>
      <c r="K159" s="44"/>
      <c r="L159" s="44"/>
      <c r="M159" s="44"/>
      <c r="N159" s="44"/>
      <c r="O159" s="44"/>
      <c r="P159" s="44"/>
      <c r="Q159" s="44"/>
      <c r="R159" s="44"/>
      <c r="S159" s="44"/>
      <c r="T159" s="44"/>
      <c r="U159" s="44"/>
      <c r="V159" s="44"/>
    </row>
    <row r="160" spans="1:22" ht="15.75" customHeight="1" x14ac:dyDescent="0.35">
      <c r="A160" s="47"/>
      <c r="I160" s="44"/>
      <c r="J160" s="44"/>
      <c r="K160" s="44"/>
      <c r="L160" s="44"/>
      <c r="M160" s="44"/>
      <c r="N160" s="44"/>
      <c r="O160" s="44"/>
      <c r="P160" s="44"/>
      <c r="Q160" s="44"/>
      <c r="R160" s="44"/>
      <c r="S160" s="44"/>
      <c r="T160" s="44"/>
      <c r="U160" s="44"/>
      <c r="V160" s="44"/>
    </row>
    <row r="161" spans="1:22" ht="15.75" customHeight="1" x14ac:dyDescent="0.35">
      <c r="A161" s="47"/>
      <c r="I161" s="44"/>
      <c r="J161" s="44"/>
      <c r="K161" s="44"/>
      <c r="L161" s="44"/>
      <c r="M161" s="44"/>
      <c r="N161" s="44"/>
      <c r="O161" s="44"/>
      <c r="P161" s="44"/>
      <c r="Q161" s="44"/>
      <c r="R161" s="44"/>
      <c r="S161" s="44"/>
      <c r="T161" s="44"/>
      <c r="U161" s="44"/>
      <c r="V161" s="44"/>
    </row>
    <row r="162" spans="1:22" ht="15.75" customHeight="1" x14ac:dyDescent="0.35">
      <c r="A162" s="47"/>
      <c r="I162" s="44"/>
      <c r="J162" s="44"/>
      <c r="K162" s="44"/>
      <c r="L162" s="44"/>
      <c r="M162" s="44"/>
      <c r="N162" s="44"/>
      <c r="O162" s="44"/>
      <c r="P162" s="44"/>
      <c r="Q162" s="44"/>
      <c r="R162" s="44"/>
      <c r="S162" s="44"/>
      <c r="T162" s="44"/>
      <c r="U162" s="44"/>
      <c r="V162" s="44"/>
    </row>
    <row r="163" spans="1:22" ht="15.75" customHeight="1" x14ac:dyDescent="0.35">
      <c r="A163" s="47"/>
      <c r="I163" s="44"/>
      <c r="J163" s="44"/>
      <c r="K163" s="44"/>
      <c r="L163" s="44"/>
      <c r="M163" s="44"/>
      <c r="N163" s="44"/>
      <c r="O163" s="44"/>
      <c r="P163" s="44"/>
      <c r="Q163" s="44"/>
      <c r="R163" s="44"/>
      <c r="S163" s="44"/>
      <c r="T163" s="44"/>
      <c r="U163" s="44"/>
      <c r="V163" s="44"/>
    </row>
    <row r="164" spans="1:22" ht="15.75" customHeight="1" x14ac:dyDescent="0.35">
      <c r="A164" s="47"/>
      <c r="I164" s="44"/>
      <c r="J164" s="44"/>
      <c r="K164" s="44"/>
      <c r="L164" s="44"/>
      <c r="M164" s="44"/>
      <c r="N164" s="44"/>
      <c r="O164" s="44"/>
      <c r="P164" s="44"/>
      <c r="Q164" s="44"/>
      <c r="R164" s="44"/>
      <c r="S164" s="44"/>
      <c r="T164" s="44"/>
      <c r="U164" s="44"/>
      <c r="V164" s="44"/>
    </row>
    <row r="165" spans="1:22" ht="15.75" customHeight="1" x14ac:dyDescent="0.35">
      <c r="A165" s="47"/>
      <c r="I165" s="44"/>
      <c r="J165" s="44"/>
      <c r="K165" s="44"/>
      <c r="L165" s="44"/>
      <c r="M165" s="44"/>
      <c r="N165" s="44"/>
      <c r="O165" s="44"/>
      <c r="P165" s="44"/>
      <c r="Q165" s="44"/>
      <c r="R165" s="44"/>
      <c r="S165" s="44"/>
      <c r="T165" s="44"/>
      <c r="U165" s="44"/>
      <c r="V165" s="44"/>
    </row>
    <row r="166" spans="1:22" ht="15.75" customHeight="1" x14ac:dyDescent="0.35">
      <c r="A166" s="47"/>
      <c r="I166" s="44"/>
      <c r="J166" s="44"/>
      <c r="K166" s="44"/>
      <c r="L166" s="44"/>
      <c r="M166" s="44"/>
      <c r="N166" s="44"/>
      <c r="O166" s="44"/>
      <c r="P166" s="44"/>
      <c r="Q166" s="44"/>
      <c r="R166" s="44"/>
      <c r="S166" s="44"/>
      <c r="T166" s="44"/>
      <c r="U166" s="44"/>
      <c r="V166" s="44"/>
    </row>
    <row r="167" spans="1:22" ht="15.75" customHeight="1" x14ac:dyDescent="0.35">
      <c r="A167" s="47"/>
      <c r="I167" s="44"/>
      <c r="J167" s="44"/>
      <c r="K167" s="44"/>
      <c r="L167" s="44"/>
      <c r="M167" s="44"/>
      <c r="N167" s="44"/>
      <c r="O167" s="44"/>
      <c r="P167" s="44"/>
      <c r="Q167" s="44"/>
      <c r="R167" s="44"/>
      <c r="S167" s="44"/>
      <c r="T167" s="44"/>
      <c r="U167" s="44"/>
      <c r="V167" s="44"/>
    </row>
    <row r="168" spans="1:22" ht="15.75" customHeight="1" x14ac:dyDescent="0.35">
      <c r="A168" s="47"/>
      <c r="I168" s="44"/>
      <c r="J168" s="44"/>
      <c r="K168" s="44"/>
      <c r="L168" s="44"/>
      <c r="M168" s="44"/>
      <c r="N168" s="44"/>
      <c r="O168" s="44"/>
      <c r="P168" s="44"/>
      <c r="Q168" s="44"/>
      <c r="R168" s="44"/>
      <c r="S168" s="44"/>
      <c r="T168" s="44"/>
      <c r="U168" s="44"/>
      <c r="V168" s="44"/>
    </row>
    <row r="169" spans="1:22" ht="15.75" customHeight="1" x14ac:dyDescent="0.35">
      <c r="A169" s="47"/>
      <c r="I169" s="44"/>
      <c r="J169" s="44"/>
      <c r="K169" s="44"/>
      <c r="L169" s="44"/>
      <c r="M169" s="44"/>
      <c r="N169" s="44"/>
      <c r="O169" s="44"/>
      <c r="P169" s="44"/>
      <c r="Q169" s="44"/>
      <c r="R169" s="44"/>
      <c r="S169" s="44"/>
      <c r="T169" s="44"/>
      <c r="U169" s="44"/>
      <c r="V169" s="44"/>
    </row>
    <row r="170" spans="1:22" ht="15.75" customHeight="1" x14ac:dyDescent="0.35">
      <c r="A170" s="47"/>
      <c r="I170" s="44"/>
      <c r="J170" s="44"/>
      <c r="K170" s="44"/>
      <c r="L170" s="44"/>
      <c r="M170" s="44"/>
      <c r="N170" s="44"/>
      <c r="O170" s="44"/>
      <c r="P170" s="44"/>
      <c r="Q170" s="44"/>
      <c r="R170" s="44"/>
      <c r="S170" s="44"/>
      <c r="T170" s="44"/>
      <c r="U170" s="44"/>
      <c r="V170" s="44"/>
    </row>
    <row r="171" spans="1:22" ht="15.75" customHeight="1" x14ac:dyDescent="0.35">
      <c r="A171" s="47"/>
      <c r="I171" s="44"/>
      <c r="J171" s="44"/>
      <c r="K171" s="44"/>
      <c r="L171" s="44"/>
      <c r="M171" s="44"/>
      <c r="N171" s="44"/>
      <c r="O171" s="44"/>
      <c r="P171" s="44"/>
      <c r="Q171" s="44"/>
      <c r="R171" s="44"/>
      <c r="S171" s="44"/>
      <c r="T171" s="44"/>
      <c r="U171" s="44"/>
      <c r="V171" s="44"/>
    </row>
    <row r="172" spans="1:22" ht="15.75" customHeight="1" x14ac:dyDescent="0.35">
      <c r="A172" s="47"/>
      <c r="I172" s="44"/>
      <c r="J172" s="44"/>
      <c r="K172" s="44"/>
      <c r="L172" s="44"/>
      <c r="M172" s="44"/>
      <c r="N172" s="44"/>
      <c r="O172" s="44"/>
      <c r="P172" s="44"/>
      <c r="Q172" s="44"/>
      <c r="R172" s="44"/>
      <c r="S172" s="44"/>
      <c r="T172" s="44"/>
      <c r="U172" s="44"/>
      <c r="V172" s="44"/>
    </row>
    <row r="173" spans="1:22" ht="15.75" customHeight="1" x14ac:dyDescent="0.35">
      <c r="A173" s="47"/>
      <c r="I173" s="44"/>
      <c r="J173" s="44"/>
      <c r="K173" s="44"/>
      <c r="L173" s="44"/>
      <c r="M173" s="44"/>
      <c r="N173" s="44"/>
      <c r="O173" s="44"/>
      <c r="P173" s="44"/>
      <c r="Q173" s="44"/>
      <c r="R173" s="44"/>
      <c r="S173" s="44"/>
      <c r="T173" s="44"/>
      <c r="U173" s="44"/>
      <c r="V173" s="44"/>
    </row>
    <row r="174" spans="1:22" ht="15.75" customHeight="1" x14ac:dyDescent="0.35">
      <c r="A174" s="47"/>
      <c r="I174" s="44"/>
      <c r="J174" s="44"/>
      <c r="K174" s="44"/>
      <c r="L174" s="44"/>
      <c r="M174" s="44"/>
      <c r="N174" s="44"/>
      <c r="O174" s="44"/>
      <c r="P174" s="44"/>
      <c r="Q174" s="44"/>
      <c r="R174" s="44"/>
      <c r="S174" s="44"/>
      <c r="T174" s="44"/>
      <c r="U174" s="44"/>
      <c r="V174" s="44"/>
    </row>
    <row r="175" spans="1:22" ht="15.75" customHeight="1" x14ac:dyDescent="0.35">
      <c r="A175" s="47"/>
      <c r="I175" s="44"/>
      <c r="J175" s="44"/>
      <c r="K175" s="44"/>
      <c r="L175" s="44"/>
      <c r="M175" s="44"/>
      <c r="N175" s="44"/>
      <c r="O175" s="44"/>
      <c r="P175" s="44"/>
      <c r="Q175" s="44"/>
      <c r="R175" s="44"/>
      <c r="S175" s="44"/>
      <c r="T175" s="44"/>
      <c r="U175" s="44"/>
      <c r="V175" s="44"/>
    </row>
    <row r="176" spans="1:22" ht="15.75" customHeight="1" x14ac:dyDescent="0.35">
      <c r="A176" s="47"/>
      <c r="I176" s="44"/>
      <c r="J176" s="44"/>
      <c r="K176" s="44"/>
      <c r="L176" s="44"/>
      <c r="M176" s="44"/>
      <c r="N176" s="44"/>
      <c r="O176" s="44"/>
      <c r="P176" s="44"/>
      <c r="Q176" s="44"/>
      <c r="R176" s="44"/>
      <c r="S176" s="44"/>
      <c r="T176" s="44"/>
      <c r="U176" s="44"/>
      <c r="V176" s="44"/>
    </row>
    <row r="177" spans="1:22" ht="15.75" customHeight="1" x14ac:dyDescent="0.35">
      <c r="A177" s="47"/>
      <c r="I177" s="44"/>
      <c r="J177" s="44"/>
      <c r="K177" s="44"/>
      <c r="L177" s="44"/>
      <c r="M177" s="44"/>
      <c r="N177" s="44"/>
      <c r="O177" s="44"/>
      <c r="P177" s="44"/>
      <c r="Q177" s="44"/>
      <c r="R177" s="44"/>
      <c r="S177" s="44"/>
      <c r="T177" s="44"/>
      <c r="U177" s="44"/>
      <c r="V177" s="44"/>
    </row>
    <row r="178" spans="1:22" ht="15.75" customHeight="1" x14ac:dyDescent="0.35">
      <c r="A178" s="47"/>
      <c r="I178" s="44"/>
      <c r="J178" s="44"/>
      <c r="K178" s="44"/>
      <c r="L178" s="44"/>
      <c r="M178" s="44"/>
      <c r="N178" s="44"/>
      <c r="O178" s="44"/>
      <c r="P178" s="44"/>
      <c r="Q178" s="44"/>
      <c r="R178" s="44"/>
      <c r="S178" s="44"/>
      <c r="T178" s="44"/>
      <c r="U178" s="44"/>
      <c r="V178" s="44"/>
    </row>
    <row r="179" spans="1:22" ht="15.75" customHeight="1" x14ac:dyDescent="0.35">
      <c r="A179" s="47"/>
      <c r="I179" s="44"/>
      <c r="J179" s="44"/>
      <c r="K179" s="44"/>
      <c r="L179" s="44"/>
      <c r="M179" s="44"/>
      <c r="N179" s="44"/>
      <c r="O179" s="44"/>
      <c r="P179" s="44"/>
      <c r="Q179" s="44"/>
      <c r="R179" s="44"/>
      <c r="S179" s="44"/>
      <c r="T179" s="44"/>
      <c r="U179" s="44"/>
      <c r="V179" s="44"/>
    </row>
    <row r="180" spans="1:22" ht="15.75" customHeight="1" x14ac:dyDescent="0.35">
      <c r="A180" s="47"/>
      <c r="I180" s="44"/>
      <c r="J180" s="44"/>
      <c r="K180" s="44"/>
      <c r="L180" s="44"/>
      <c r="M180" s="44"/>
      <c r="N180" s="44"/>
      <c r="O180" s="44"/>
      <c r="P180" s="44"/>
      <c r="Q180" s="44"/>
      <c r="R180" s="44"/>
      <c r="S180" s="44"/>
      <c r="T180" s="44"/>
      <c r="U180" s="44"/>
      <c r="V180" s="44"/>
    </row>
    <row r="181" spans="1:22" ht="15.75" customHeight="1" x14ac:dyDescent="0.35">
      <c r="A181" s="47"/>
      <c r="I181" s="44"/>
      <c r="J181" s="44"/>
      <c r="K181" s="44"/>
      <c r="L181" s="44"/>
      <c r="M181" s="44"/>
      <c r="N181" s="44"/>
      <c r="O181" s="44"/>
      <c r="P181" s="44"/>
      <c r="Q181" s="44"/>
      <c r="R181" s="44"/>
      <c r="S181" s="44"/>
      <c r="T181" s="44"/>
      <c r="U181" s="44"/>
      <c r="V181" s="44"/>
    </row>
    <row r="182" spans="1:22" ht="15.75" customHeight="1" x14ac:dyDescent="0.35">
      <c r="A182" s="47"/>
      <c r="I182" s="44"/>
      <c r="J182" s="44"/>
      <c r="K182" s="44"/>
      <c r="L182" s="44"/>
      <c r="M182" s="44"/>
      <c r="N182" s="44"/>
      <c r="O182" s="44"/>
      <c r="P182" s="44"/>
      <c r="Q182" s="44"/>
      <c r="R182" s="44"/>
      <c r="S182" s="44"/>
      <c r="T182" s="44"/>
      <c r="U182" s="44"/>
      <c r="V182" s="44"/>
    </row>
    <row r="183" spans="1:22" ht="15.75" customHeight="1" x14ac:dyDescent="0.35">
      <c r="A183" s="47"/>
      <c r="I183" s="44"/>
      <c r="J183" s="44"/>
      <c r="K183" s="44"/>
      <c r="L183" s="44"/>
      <c r="M183" s="44"/>
      <c r="N183" s="44"/>
      <c r="O183" s="44"/>
      <c r="P183" s="44"/>
      <c r="Q183" s="44"/>
      <c r="R183" s="44"/>
      <c r="S183" s="44"/>
      <c r="T183" s="44"/>
      <c r="U183" s="44"/>
      <c r="V183" s="44"/>
    </row>
    <row r="184" spans="1:22" ht="15.75" customHeight="1" x14ac:dyDescent="0.35">
      <c r="A184" s="47"/>
      <c r="I184" s="44"/>
      <c r="J184" s="44"/>
      <c r="K184" s="44"/>
      <c r="L184" s="44"/>
      <c r="M184" s="44"/>
      <c r="N184" s="44"/>
      <c r="O184" s="44"/>
      <c r="P184" s="44"/>
      <c r="Q184" s="44"/>
      <c r="R184" s="44"/>
      <c r="S184" s="44"/>
      <c r="T184" s="44"/>
      <c r="U184" s="44"/>
      <c r="V184" s="44"/>
    </row>
    <row r="185" spans="1:22" ht="15.75" customHeight="1" x14ac:dyDescent="0.35">
      <c r="A185" s="47"/>
      <c r="I185" s="44"/>
      <c r="J185" s="44"/>
      <c r="K185" s="44"/>
      <c r="L185" s="44"/>
      <c r="M185" s="44"/>
      <c r="N185" s="44"/>
      <c r="O185" s="44"/>
      <c r="P185" s="44"/>
      <c r="Q185" s="44"/>
      <c r="R185" s="44"/>
      <c r="S185" s="44"/>
      <c r="T185" s="44"/>
      <c r="U185" s="44"/>
      <c r="V185" s="44"/>
    </row>
    <row r="186" spans="1:22" ht="15.75" customHeight="1" x14ac:dyDescent="0.35">
      <c r="A186" s="47"/>
      <c r="I186" s="44"/>
      <c r="J186" s="44"/>
      <c r="K186" s="44"/>
      <c r="L186" s="44"/>
      <c r="M186" s="44"/>
      <c r="N186" s="44"/>
      <c r="O186" s="44"/>
      <c r="P186" s="44"/>
      <c r="Q186" s="44"/>
      <c r="R186" s="44"/>
      <c r="S186" s="44"/>
      <c r="T186" s="44"/>
      <c r="U186" s="44"/>
      <c r="V186" s="44"/>
    </row>
    <row r="187" spans="1:22" ht="15.75" customHeight="1" x14ac:dyDescent="0.35">
      <c r="A187" s="47"/>
      <c r="I187" s="44"/>
      <c r="J187" s="44"/>
      <c r="K187" s="44"/>
      <c r="L187" s="44"/>
      <c r="M187" s="44"/>
      <c r="N187" s="44"/>
      <c r="O187" s="44"/>
      <c r="P187" s="44"/>
      <c r="Q187" s="44"/>
      <c r="R187" s="44"/>
      <c r="S187" s="44"/>
      <c r="T187" s="44"/>
      <c r="U187" s="44"/>
      <c r="V187" s="44"/>
    </row>
    <row r="188" spans="1:22" ht="15.75" customHeight="1" x14ac:dyDescent="0.35">
      <c r="A188" s="47"/>
      <c r="I188" s="44"/>
      <c r="J188" s="44"/>
      <c r="K188" s="44"/>
      <c r="L188" s="44"/>
      <c r="M188" s="44"/>
      <c r="N188" s="44"/>
      <c r="O188" s="44"/>
      <c r="P188" s="44"/>
      <c r="Q188" s="44"/>
      <c r="R188" s="44"/>
      <c r="S188" s="44"/>
      <c r="T188" s="44"/>
      <c r="U188" s="44"/>
      <c r="V188" s="44"/>
    </row>
    <row r="189" spans="1:22" ht="15.75" customHeight="1" x14ac:dyDescent="0.35">
      <c r="A189" s="47"/>
      <c r="I189" s="44"/>
      <c r="J189" s="44"/>
      <c r="K189" s="44"/>
      <c r="L189" s="44"/>
      <c r="M189" s="44"/>
      <c r="N189" s="44"/>
      <c r="O189" s="44"/>
      <c r="P189" s="44"/>
      <c r="Q189" s="44"/>
      <c r="R189" s="44"/>
      <c r="S189" s="44"/>
      <c r="T189" s="44"/>
      <c r="U189" s="44"/>
      <c r="V189" s="44"/>
    </row>
    <row r="190" spans="1:22" ht="15.75" customHeight="1" x14ac:dyDescent="0.35">
      <c r="A190" s="47"/>
      <c r="I190" s="44"/>
      <c r="J190" s="44"/>
      <c r="K190" s="44"/>
      <c r="L190" s="44"/>
      <c r="M190" s="44"/>
      <c r="N190" s="44"/>
      <c r="O190" s="44"/>
      <c r="P190" s="44"/>
      <c r="Q190" s="44"/>
      <c r="R190" s="44"/>
      <c r="S190" s="44"/>
      <c r="T190" s="44"/>
      <c r="U190" s="44"/>
      <c r="V190" s="44"/>
    </row>
    <row r="191" spans="1:22" ht="15.75" customHeight="1" x14ac:dyDescent="0.35">
      <c r="A191" s="47"/>
      <c r="I191" s="44"/>
      <c r="J191" s="44"/>
      <c r="K191" s="44"/>
      <c r="L191" s="44"/>
      <c r="M191" s="44"/>
      <c r="N191" s="44"/>
      <c r="O191" s="44"/>
      <c r="P191" s="44"/>
      <c r="Q191" s="44"/>
      <c r="R191" s="44"/>
      <c r="S191" s="44"/>
      <c r="T191" s="44"/>
      <c r="U191" s="44"/>
      <c r="V191" s="44"/>
    </row>
    <row r="192" spans="1:22" ht="15.75" customHeight="1" x14ac:dyDescent="0.35">
      <c r="A192" s="47"/>
      <c r="I192" s="44"/>
      <c r="J192" s="44"/>
      <c r="K192" s="44"/>
      <c r="L192" s="44"/>
      <c r="M192" s="44"/>
      <c r="N192" s="44"/>
      <c r="O192" s="44"/>
      <c r="P192" s="44"/>
      <c r="Q192" s="44"/>
      <c r="R192" s="44"/>
      <c r="S192" s="44"/>
      <c r="T192" s="44"/>
      <c r="U192" s="44"/>
      <c r="V192" s="44"/>
    </row>
    <row r="193" spans="1:22" ht="15.75" customHeight="1" x14ac:dyDescent="0.35">
      <c r="A193" s="47"/>
      <c r="I193" s="44"/>
      <c r="J193" s="44"/>
      <c r="K193" s="44"/>
      <c r="L193" s="44"/>
      <c r="M193" s="44"/>
      <c r="N193" s="44"/>
      <c r="O193" s="44"/>
      <c r="P193" s="44"/>
      <c r="Q193" s="44"/>
      <c r="R193" s="44"/>
      <c r="S193" s="44"/>
      <c r="T193" s="44"/>
      <c r="U193" s="44"/>
      <c r="V193" s="44"/>
    </row>
    <row r="194" spans="1:22" ht="15.75" customHeight="1" x14ac:dyDescent="0.35">
      <c r="A194" s="47"/>
      <c r="I194" s="44"/>
      <c r="J194" s="44"/>
      <c r="K194" s="44"/>
      <c r="L194" s="44"/>
      <c r="M194" s="44"/>
      <c r="N194" s="44"/>
      <c r="O194" s="44"/>
      <c r="P194" s="44"/>
      <c r="Q194" s="44"/>
      <c r="R194" s="44"/>
      <c r="S194" s="44"/>
      <c r="T194" s="44"/>
      <c r="U194" s="44"/>
      <c r="V194" s="44"/>
    </row>
    <row r="195" spans="1:22" ht="15.75" customHeight="1" x14ac:dyDescent="0.35">
      <c r="A195" s="47"/>
      <c r="I195" s="44"/>
      <c r="J195" s="44"/>
      <c r="K195" s="44"/>
      <c r="L195" s="44"/>
      <c r="M195" s="44"/>
      <c r="N195" s="44"/>
      <c r="O195" s="44"/>
      <c r="P195" s="44"/>
      <c r="Q195" s="44"/>
      <c r="R195" s="44"/>
      <c r="S195" s="44"/>
      <c r="T195" s="44"/>
      <c r="U195" s="44"/>
      <c r="V195" s="44"/>
    </row>
    <row r="196" spans="1:22" ht="15.75" customHeight="1" x14ac:dyDescent="0.35">
      <c r="A196" s="47"/>
      <c r="I196" s="44"/>
      <c r="J196" s="44"/>
      <c r="K196" s="44"/>
      <c r="L196" s="44"/>
      <c r="M196" s="44"/>
      <c r="N196" s="44"/>
      <c r="O196" s="44"/>
      <c r="P196" s="44"/>
      <c r="Q196" s="44"/>
      <c r="R196" s="44"/>
      <c r="S196" s="44"/>
      <c r="T196" s="44"/>
      <c r="U196" s="44"/>
      <c r="V196" s="44"/>
    </row>
    <row r="197" spans="1:22" ht="15.75" customHeight="1" x14ac:dyDescent="0.35">
      <c r="A197" s="47"/>
      <c r="I197" s="44"/>
      <c r="J197" s="44"/>
      <c r="K197" s="44"/>
      <c r="L197" s="44"/>
      <c r="M197" s="44"/>
      <c r="N197" s="44"/>
      <c r="O197" s="44"/>
      <c r="P197" s="44"/>
      <c r="Q197" s="44"/>
      <c r="R197" s="44"/>
      <c r="S197" s="44"/>
      <c r="T197" s="44"/>
      <c r="U197" s="44"/>
      <c r="V197" s="44"/>
    </row>
    <row r="198" spans="1:22" ht="15.75" customHeight="1" x14ac:dyDescent="0.35">
      <c r="A198" s="47"/>
      <c r="I198" s="44"/>
      <c r="J198" s="44"/>
      <c r="K198" s="44"/>
      <c r="L198" s="44"/>
      <c r="M198" s="44"/>
      <c r="N198" s="44"/>
      <c r="O198" s="44"/>
      <c r="P198" s="44"/>
      <c r="Q198" s="44"/>
      <c r="R198" s="44"/>
      <c r="S198" s="44"/>
      <c r="T198" s="44"/>
      <c r="U198" s="44"/>
      <c r="V198" s="44"/>
    </row>
    <row r="199" spans="1:22" ht="15.75" customHeight="1" x14ac:dyDescent="0.35">
      <c r="A199" s="47"/>
      <c r="I199" s="44"/>
      <c r="J199" s="44"/>
      <c r="K199" s="44"/>
      <c r="L199" s="44"/>
      <c r="M199" s="44"/>
      <c r="N199" s="44"/>
      <c r="O199" s="44"/>
      <c r="P199" s="44"/>
      <c r="Q199" s="44"/>
      <c r="R199" s="44"/>
      <c r="S199" s="44"/>
      <c r="T199" s="44"/>
      <c r="U199" s="44"/>
      <c r="V199" s="44"/>
    </row>
    <row r="200" spans="1:22" ht="15.75" customHeight="1" x14ac:dyDescent="0.35">
      <c r="A200" s="47"/>
      <c r="I200" s="44"/>
      <c r="J200" s="44"/>
      <c r="K200" s="44"/>
      <c r="L200" s="44"/>
      <c r="M200" s="44"/>
      <c r="N200" s="44"/>
      <c r="O200" s="44"/>
      <c r="P200" s="44"/>
      <c r="Q200" s="44"/>
      <c r="R200" s="44"/>
      <c r="S200" s="44"/>
      <c r="T200" s="44"/>
      <c r="U200" s="44"/>
      <c r="V200" s="44"/>
    </row>
    <row r="201" spans="1:22" ht="15.75" customHeight="1" x14ac:dyDescent="0.35">
      <c r="A201" s="47"/>
      <c r="I201" s="44"/>
      <c r="J201" s="44"/>
      <c r="K201" s="44"/>
      <c r="L201" s="44"/>
      <c r="M201" s="44"/>
      <c r="N201" s="44"/>
      <c r="O201" s="44"/>
      <c r="P201" s="44"/>
      <c r="Q201" s="44"/>
      <c r="R201" s="44"/>
      <c r="S201" s="44"/>
      <c r="T201" s="44"/>
      <c r="U201" s="44"/>
      <c r="V201" s="44"/>
    </row>
    <row r="202" spans="1:22" ht="15.75" customHeight="1" x14ac:dyDescent="0.35">
      <c r="A202" s="47"/>
      <c r="I202" s="44"/>
      <c r="J202" s="44"/>
      <c r="K202" s="44"/>
      <c r="L202" s="44"/>
      <c r="M202" s="44"/>
      <c r="N202" s="44"/>
      <c r="O202" s="44"/>
      <c r="P202" s="44"/>
      <c r="Q202" s="44"/>
      <c r="R202" s="44"/>
      <c r="S202" s="44"/>
      <c r="T202" s="44"/>
      <c r="U202" s="44"/>
      <c r="V202" s="44"/>
    </row>
    <row r="203" spans="1:22" ht="15.75" customHeight="1" x14ac:dyDescent="0.35">
      <c r="A203" s="47"/>
      <c r="I203" s="44"/>
      <c r="J203" s="44"/>
      <c r="K203" s="44"/>
      <c r="L203" s="44"/>
      <c r="M203" s="44"/>
      <c r="N203" s="44"/>
      <c r="O203" s="44"/>
      <c r="P203" s="44"/>
      <c r="Q203" s="44"/>
      <c r="R203" s="44"/>
      <c r="S203" s="44"/>
      <c r="T203" s="44"/>
      <c r="U203" s="44"/>
      <c r="V203" s="44"/>
    </row>
    <row r="204" spans="1:22" ht="15.75" customHeight="1" x14ac:dyDescent="0.35">
      <c r="A204" s="47"/>
      <c r="I204" s="44"/>
      <c r="J204" s="44"/>
      <c r="K204" s="44"/>
      <c r="L204" s="44"/>
      <c r="M204" s="44"/>
      <c r="N204" s="44"/>
      <c r="O204" s="44"/>
      <c r="P204" s="44"/>
      <c r="Q204" s="44"/>
      <c r="R204" s="44"/>
      <c r="S204" s="44"/>
      <c r="T204" s="44"/>
      <c r="U204" s="44"/>
      <c r="V204" s="44"/>
    </row>
    <row r="205" spans="1:22" ht="15.75" customHeight="1" x14ac:dyDescent="0.35">
      <c r="A205" s="47"/>
      <c r="I205" s="44"/>
      <c r="J205" s="44"/>
      <c r="K205" s="44"/>
      <c r="L205" s="44"/>
      <c r="M205" s="44"/>
      <c r="N205" s="44"/>
      <c r="O205" s="44"/>
      <c r="P205" s="44"/>
      <c r="Q205" s="44"/>
      <c r="R205" s="44"/>
      <c r="S205" s="44"/>
      <c r="T205" s="44"/>
      <c r="U205" s="44"/>
      <c r="V205" s="44"/>
    </row>
    <row r="206" spans="1:22" ht="15.75" customHeight="1" x14ac:dyDescent="0.35">
      <c r="A206" s="47"/>
      <c r="I206" s="44"/>
      <c r="J206" s="44"/>
      <c r="K206" s="44"/>
      <c r="L206" s="44"/>
      <c r="M206" s="44"/>
      <c r="N206" s="44"/>
      <c r="O206" s="44"/>
      <c r="P206" s="44"/>
      <c r="Q206" s="44"/>
      <c r="R206" s="44"/>
      <c r="S206" s="44"/>
      <c r="T206" s="44"/>
      <c r="U206" s="44"/>
      <c r="V206" s="44"/>
    </row>
    <row r="207" spans="1:22" ht="15.75" customHeight="1" x14ac:dyDescent="0.35">
      <c r="A207" s="47"/>
      <c r="I207" s="44"/>
      <c r="J207" s="44"/>
      <c r="K207" s="44"/>
      <c r="L207" s="44"/>
      <c r="M207" s="44"/>
      <c r="N207" s="44"/>
      <c r="O207" s="44"/>
      <c r="P207" s="44"/>
      <c r="Q207" s="44"/>
      <c r="R207" s="44"/>
      <c r="S207" s="44"/>
      <c r="T207" s="44"/>
      <c r="U207" s="44"/>
      <c r="V207" s="44"/>
    </row>
    <row r="208" spans="1:22" ht="15.75" customHeight="1" x14ac:dyDescent="0.35">
      <c r="A208" s="47"/>
      <c r="I208" s="44"/>
      <c r="J208" s="44"/>
      <c r="K208" s="44"/>
      <c r="L208" s="44"/>
      <c r="M208" s="44"/>
      <c r="N208" s="44"/>
      <c r="O208" s="44"/>
      <c r="P208" s="44"/>
      <c r="Q208" s="44"/>
      <c r="R208" s="44"/>
      <c r="S208" s="44"/>
      <c r="T208" s="44"/>
      <c r="U208" s="44"/>
      <c r="V208" s="44"/>
    </row>
    <row r="209" spans="1:22" ht="15.75" customHeight="1" x14ac:dyDescent="0.35">
      <c r="A209" s="47"/>
      <c r="I209" s="44"/>
      <c r="J209" s="44"/>
      <c r="K209" s="44"/>
      <c r="L209" s="44"/>
      <c r="M209" s="44"/>
      <c r="N209" s="44"/>
      <c r="O209" s="44"/>
      <c r="P209" s="44"/>
      <c r="Q209" s="44"/>
      <c r="R209" s="44"/>
      <c r="S209" s="44"/>
      <c r="T209" s="44"/>
      <c r="U209" s="44"/>
      <c r="V209" s="44"/>
    </row>
    <row r="210" spans="1:22" ht="15.75" customHeight="1" x14ac:dyDescent="0.35">
      <c r="A210" s="47"/>
      <c r="I210" s="44"/>
      <c r="J210" s="44"/>
      <c r="K210" s="44"/>
      <c r="L210" s="44"/>
      <c r="M210" s="44"/>
      <c r="N210" s="44"/>
      <c r="O210" s="44"/>
      <c r="P210" s="44"/>
      <c r="Q210" s="44"/>
      <c r="R210" s="44"/>
      <c r="S210" s="44"/>
      <c r="T210" s="44"/>
      <c r="U210" s="44"/>
      <c r="V210" s="44"/>
    </row>
    <row r="211" spans="1:22" ht="15.75" customHeight="1" x14ac:dyDescent="0.35">
      <c r="A211" s="47"/>
      <c r="I211" s="44"/>
      <c r="J211" s="44"/>
      <c r="K211" s="44"/>
      <c r="L211" s="44"/>
      <c r="M211" s="44"/>
      <c r="N211" s="44"/>
      <c r="O211" s="44"/>
      <c r="P211" s="44"/>
      <c r="Q211" s="44"/>
      <c r="R211" s="44"/>
      <c r="S211" s="44"/>
      <c r="T211" s="44"/>
      <c r="U211" s="44"/>
      <c r="V211" s="44"/>
    </row>
    <row r="212" spans="1:22" ht="15.75" customHeight="1" x14ac:dyDescent="0.35">
      <c r="A212" s="47"/>
      <c r="I212" s="44"/>
      <c r="J212" s="44"/>
      <c r="K212" s="44"/>
      <c r="L212" s="44"/>
      <c r="M212" s="44"/>
      <c r="N212" s="44"/>
      <c r="O212" s="44"/>
      <c r="P212" s="44"/>
      <c r="Q212" s="44"/>
      <c r="R212" s="44"/>
      <c r="S212" s="44"/>
      <c r="T212" s="44"/>
      <c r="U212" s="44"/>
      <c r="V212" s="44"/>
    </row>
    <row r="213" spans="1:22" ht="15.75" customHeight="1" x14ac:dyDescent="0.35">
      <c r="A213" s="47"/>
      <c r="I213" s="44"/>
      <c r="J213" s="44"/>
      <c r="K213" s="44"/>
      <c r="L213" s="44"/>
      <c r="M213" s="44"/>
      <c r="N213" s="44"/>
      <c r="O213" s="44"/>
      <c r="P213" s="44"/>
      <c r="Q213" s="44"/>
      <c r="R213" s="44"/>
      <c r="S213" s="44"/>
      <c r="T213" s="44"/>
      <c r="U213" s="44"/>
      <c r="V213" s="44"/>
    </row>
    <row r="214" spans="1:22" ht="15.75" customHeight="1" x14ac:dyDescent="0.35">
      <c r="A214" s="47"/>
      <c r="I214" s="44"/>
      <c r="J214" s="44"/>
      <c r="K214" s="44"/>
      <c r="L214" s="44"/>
      <c r="M214" s="44"/>
      <c r="N214" s="44"/>
      <c r="O214" s="44"/>
      <c r="P214" s="44"/>
      <c r="Q214" s="44"/>
      <c r="R214" s="44"/>
      <c r="S214" s="44"/>
      <c r="T214" s="44"/>
      <c r="U214" s="44"/>
      <c r="V214" s="44"/>
    </row>
    <row r="215" spans="1:22" ht="15.75" customHeight="1" x14ac:dyDescent="0.35">
      <c r="A215" s="47"/>
      <c r="I215" s="44"/>
      <c r="J215" s="44"/>
      <c r="K215" s="44"/>
      <c r="L215" s="44"/>
      <c r="M215" s="44"/>
      <c r="N215" s="44"/>
      <c r="O215" s="44"/>
      <c r="P215" s="44"/>
      <c r="Q215" s="44"/>
      <c r="R215" s="44"/>
      <c r="S215" s="44"/>
      <c r="T215" s="44"/>
      <c r="U215" s="44"/>
      <c r="V215" s="44"/>
    </row>
    <row r="216" spans="1:22" ht="15.75" customHeight="1" x14ac:dyDescent="0.35">
      <c r="A216" s="47"/>
      <c r="I216" s="44"/>
      <c r="J216" s="44"/>
      <c r="K216" s="44"/>
      <c r="L216" s="44"/>
      <c r="M216" s="44"/>
      <c r="N216" s="44"/>
      <c r="O216" s="44"/>
      <c r="P216" s="44"/>
      <c r="Q216" s="44"/>
      <c r="R216" s="44"/>
      <c r="S216" s="44"/>
      <c r="T216" s="44"/>
      <c r="U216" s="44"/>
      <c r="V216" s="44"/>
    </row>
    <row r="217" spans="1:22" ht="15.75" customHeight="1" x14ac:dyDescent="0.35">
      <c r="A217" s="47"/>
      <c r="I217" s="44"/>
      <c r="J217" s="44"/>
      <c r="K217" s="44"/>
      <c r="L217" s="44"/>
      <c r="M217" s="44"/>
      <c r="N217" s="44"/>
      <c r="O217" s="44"/>
      <c r="P217" s="44"/>
      <c r="Q217" s="44"/>
      <c r="R217" s="44"/>
      <c r="S217" s="44"/>
      <c r="T217" s="44"/>
      <c r="U217" s="44"/>
      <c r="V217" s="44"/>
    </row>
    <row r="218" spans="1:22" ht="15.75" customHeight="1" x14ac:dyDescent="0.35">
      <c r="A218" s="47"/>
      <c r="I218" s="44"/>
      <c r="J218" s="44"/>
      <c r="K218" s="44"/>
      <c r="L218" s="44"/>
      <c r="M218" s="44"/>
      <c r="N218" s="44"/>
      <c r="O218" s="44"/>
      <c r="P218" s="44"/>
      <c r="Q218" s="44"/>
      <c r="R218" s="44"/>
      <c r="S218" s="44"/>
      <c r="T218" s="44"/>
      <c r="U218" s="44"/>
      <c r="V218" s="44"/>
    </row>
    <row r="219" spans="1:22" ht="15.75" customHeight="1" x14ac:dyDescent="0.35">
      <c r="A219" s="47"/>
      <c r="I219" s="44"/>
      <c r="J219" s="44"/>
      <c r="K219" s="44"/>
      <c r="L219" s="44"/>
      <c r="M219" s="44"/>
      <c r="N219" s="44"/>
      <c r="O219" s="44"/>
      <c r="P219" s="44"/>
      <c r="Q219" s="44"/>
      <c r="R219" s="44"/>
      <c r="S219" s="44"/>
      <c r="T219" s="44"/>
      <c r="U219" s="44"/>
      <c r="V219" s="44"/>
    </row>
    <row r="220" spans="1:22" ht="15.75" customHeight="1" x14ac:dyDescent="0.35">
      <c r="A220" s="47"/>
      <c r="I220" s="44"/>
      <c r="J220" s="44"/>
      <c r="K220" s="44"/>
      <c r="L220" s="44"/>
      <c r="M220" s="44"/>
      <c r="N220" s="44"/>
      <c r="O220" s="44"/>
      <c r="P220" s="44"/>
      <c r="Q220" s="44"/>
      <c r="R220" s="44"/>
      <c r="S220" s="44"/>
      <c r="T220" s="44"/>
      <c r="U220" s="44"/>
      <c r="V220" s="44"/>
    </row>
    <row r="221" spans="1:22" ht="15.75" customHeight="1" x14ac:dyDescent="0.35">
      <c r="A221" s="47"/>
      <c r="I221" s="44"/>
      <c r="J221" s="44"/>
      <c r="K221" s="44"/>
      <c r="L221" s="44"/>
      <c r="M221" s="44"/>
      <c r="N221" s="44"/>
      <c r="O221" s="44"/>
      <c r="P221" s="44"/>
      <c r="Q221" s="44"/>
      <c r="R221" s="44"/>
      <c r="S221" s="44"/>
      <c r="T221" s="44"/>
      <c r="U221" s="44"/>
      <c r="V221" s="44"/>
    </row>
    <row r="222" spans="1:22" ht="15.75" customHeight="1" x14ac:dyDescent="0.35">
      <c r="A222" s="47"/>
      <c r="I222" s="44"/>
      <c r="J222" s="44"/>
      <c r="K222" s="44"/>
      <c r="L222" s="44"/>
      <c r="M222" s="44"/>
      <c r="N222" s="44"/>
      <c r="O222" s="44"/>
      <c r="P222" s="44"/>
      <c r="Q222" s="44"/>
      <c r="R222" s="44"/>
      <c r="S222" s="44"/>
      <c r="T222" s="44"/>
      <c r="U222" s="44"/>
      <c r="V222" s="44"/>
    </row>
    <row r="223" spans="1:22" ht="15.75" customHeight="1" x14ac:dyDescent="0.35">
      <c r="A223" s="47"/>
      <c r="I223" s="44"/>
      <c r="J223" s="44"/>
      <c r="K223" s="44"/>
      <c r="L223" s="44"/>
      <c r="M223" s="44"/>
      <c r="N223" s="44"/>
      <c r="O223" s="44"/>
      <c r="P223" s="44"/>
      <c r="Q223" s="44"/>
      <c r="R223" s="44"/>
      <c r="S223" s="44"/>
      <c r="T223" s="44"/>
      <c r="U223" s="44"/>
      <c r="V223" s="44"/>
    </row>
    <row r="224" spans="1:22" ht="15.75" customHeight="1" x14ac:dyDescent="0.35">
      <c r="A224" s="47"/>
      <c r="I224" s="44"/>
      <c r="J224" s="44"/>
      <c r="K224" s="44"/>
      <c r="L224" s="44"/>
      <c r="M224" s="44"/>
      <c r="N224" s="44"/>
      <c r="O224" s="44"/>
      <c r="P224" s="44"/>
      <c r="Q224" s="44"/>
      <c r="R224" s="44"/>
      <c r="S224" s="44"/>
      <c r="T224" s="44"/>
      <c r="U224" s="44"/>
      <c r="V224" s="44"/>
    </row>
    <row r="225" spans="1:22" ht="15.75" customHeight="1" x14ac:dyDescent="0.35">
      <c r="A225" s="47"/>
      <c r="I225" s="44"/>
      <c r="J225" s="44"/>
      <c r="K225" s="44"/>
      <c r="L225" s="44"/>
      <c r="M225" s="44"/>
      <c r="N225" s="44"/>
      <c r="O225" s="44"/>
      <c r="P225" s="44"/>
      <c r="Q225" s="44"/>
      <c r="R225" s="44"/>
      <c r="S225" s="44"/>
      <c r="T225" s="44"/>
      <c r="U225" s="44"/>
      <c r="V225" s="44"/>
    </row>
    <row r="226" spans="1:22" ht="15.75" customHeight="1" x14ac:dyDescent="0.35">
      <c r="A226" s="47"/>
      <c r="I226" s="44"/>
      <c r="J226" s="44"/>
      <c r="K226" s="44"/>
      <c r="L226" s="44"/>
      <c r="M226" s="44"/>
      <c r="N226" s="44"/>
      <c r="O226" s="44"/>
      <c r="P226" s="44"/>
      <c r="Q226" s="44"/>
      <c r="R226" s="44"/>
      <c r="S226" s="44"/>
      <c r="T226" s="44"/>
      <c r="U226" s="44"/>
      <c r="V226" s="44"/>
    </row>
    <row r="227" spans="1:22" ht="15.75" customHeight="1" x14ac:dyDescent="0.35">
      <c r="A227" s="47"/>
      <c r="I227" s="44"/>
      <c r="J227" s="44"/>
      <c r="K227" s="44"/>
      <c r="L227" s="44"/>
      <c r="M227" s="44"/>
      <c r="N227" s="44"/>
      <c r="O227" s="44"/>
      <c r="P227" s="44"/>
      <c r="Q227" s="44"/>
      <c r="R227" s="44"/>
      <c r="S227" s="44"/>
      <c r="T227" s="44"/>
      <c r="U227" s="44"/>
      <c r="V227" s="44"/>
    </row>
    <row r="228" spans="1:22" ht="15.75" customHeight="1" x14ac:dyDescent="0.35">
      <c r="A228" s="47"/>
      <c r="I228" s="44"/>
      <c r="J228" s="44"/>
      <c r="K228" s="44"/>
      <c r="L228" s="44"/>
      <c r="M228" s="44"/>
      <c r="N228" s="44"/>
      <c r="O228" s="44"/>
      <c r="P228" s="44"/>
      <c r="Q228" s="44"/>
      <c r="R228" s="44"/>
      <c r="S228" s="44"/>
      <c r="T228" s="44"/>
      <c r="U228" s="44"/>
      <c r="V228" s="44"/>
    </row>
    <row r="229" spans="1:22" ht="15.75" customHeight="1" x14ac:dyDescent="0.35">
      <c r="A229" s="47"/>
      <c r="I229" s="44"/>
      <c r="J229" s="44"/>
      <c r="K229" s="44"/>
      <c r="L229" s="44"/>
      <c r="M229" s="44"/>
      <c r="N229" s="44"/>
      <c r="O229" s="44"/>
      <c r="P229" s="44"/>
      <c r="Q229" s="44"/>
      <c r="R229" s="44"/>
      <c r="S229" s="44"/>
      <c r="T229" s="44"/>
      <c r="U229" s="44"/>
      <c r="V229" s="44"/>
    </row>
    <row r="230" spans="1:22" ht="15.75" customHeight="1" x14ac:dyDescent="0.35">
      <c r="A230" s="47"/>
      <c r="I230" s="44"/>
      <c r="J230" s="44"/>
      <c r="K230" s="44"/>
      <c r="L230" s="44"/>
      <c r="M230" s="44"/>
      <c r="N230" s="44"/>
      <c r="O230" s="44"/>
      <c r="P230" s="44"/>
      <c r="Q230" s="44"/>
      <c r="R230" s="44"/>
      <c r="S230" s="44"/>
      <c r="T230" s="44"/>
      <c r="U230" s="44"/>
      <c r="V230" s="44"/>
    </row>
    <row r="231" spans="1:22" ht="15.75" customHeight="1" x14ac:dyDescent="0.35">
      <c r="A231" s="47"/>
      <c r="I231" s="44"/>
      <c r="J231" s="44"/>
      <c r="K231" s="44"/>
      <c r="L231" s="44"/>
      <c r="M231" s="44"/>
      <c r="N231" s="44"/>
      <c r="O231" s="44"/>
      <c r="P231" s="44"/>
      <c r="Q231" s="44"/>
      <c r="R231" s="44"/>
      <c r="S231" s="44"/>
      <c r="T231" s="44"/>
      <c r="U231" s="44"/>
      <c r="V231" s="44"/>
    </row>
    <row r="232" spans="1:22" ht="15.75" customHeight="1" x14ac:dyDescent="0.35">
      <c r="A232" s="47"/>
      <c r="I232" s="44"/>
      <c r="J232" s="44"/>
      <c r="K232" s="44"/>
      <c r="L232" s="44"/>
      <c r="M232" s="44"/>
      <c r="N232" s="44"/>
      <c r="O232" s="44"/>
      <c r="P232" s="44"/>
      <c r="Q232" s="44"/>
      <c r="R232" s="44"/>
      <c r="S232" s="44"/>
      <c r="T232" s="44"/>
      <c r="U232" s="44"/>
      <c r="V232" s="44"/>
    </row>
    <row r="233" spans="1:22" ht="15.75" customHeight="1" x14ac:dyDescent="0.35">
      <c r="A233" s="47"/>
      <c r="I233" s="44"/>
      <c r="J233" s="44"/>
      <c r="K233" s="44"/>
      <c r="L233" s="44"/>
      <c r="M233" s="44"/>
      <c r="N233" s="44"/>
      <c r="O233" s="44"/>
      <c r="P233" s="44"/>
      <c r="Q233" s="44"/>
      <c r="R233" s="44"/>
      <c r="S233" s="44"/>
      <c r="T233" s="44"/>
      <c r="U233" s="44"/>
      <c r="V233" s="44"/>
    </row>
    <row r="234" spans="1:22" ht="15.75" customHeight="1" x14ac:dyDescent="0.35">
      <c r="A234" s="47"/>
      <c r="I234" s="44"/>
      <c r="J234" s="44"/>
      <c r="K234" s="44"/>
      <c r="L234" s="44"/>
      <c r="M234" s="44"/>
      <c r="N234" s="44"/>
      <c r="O234" s="44"/>
      <c r="P234" s="44"/>
      <c r="Q234" s="44"/>
      <c r="R234" s="44"/>
      <c r="S234" s="44"/>
      <c r="T234" s="44"/>
      <c r="U234" s="44"/>
      <c r="V234" s="44"/>
    </row>
    <row r="235" spans="1:22" ht="15.75" customHeight="1" x14ac:dyDescent="0.35">
      <c r="A235" s="47"/>
      <c r="I235" s="44"/>
      <c r="J235" s="44"/>
      <c r="K235" s="44"/>
      <c r="L235" s="44"/>
      <c r="M235" s="44"/>
      <c r="N235" s="44"/>
      <c r="O235" s="44"/>
      <c r="P235" s="44"/>
      <c r="Q235" s="44"/>
      <c r="R235" s="44"/>
      <c r="S235" s="44"/>
      <c r="T235" s="44"/>
      <c r="U235" s="44"/>
      <c r="V235" s="44"/>
    </row>
    <row r="236" spans="1:22" ht="15.75" customHeight="1" x14ac:dyDescent="0.35">
      <c r="A236" s="47"/>
      <c r="I236" s="44"/>
      <c r="J236" s="44"/>
      <c r="K236" s="44"/>
      <c r="L236" s="44"/>
      <c r="M236" s="44"/>
      <c r="N236" s="44"/>
      <c r="O236" s="44"/>
      <c r="P236" s="44"/>
      <c r="Q236" s="44"/>
      <c r="R236" s="44"/>
      <c r="S236" s="44"/>
      <c r="T236" s="44"/>
      <c r="U236" s="44"/>
      <c r="V236" s="44"/>
    </row>
    <row r="237" spans="1:22" ht="15.75" customHeight="1" x14ac:dyDescent="0.35">
      <c r="A237" s="47"/>
      <c r="I237" s="44"/>
      <c r="J237" s="44"/>
      <c r="K237" s="44"/>
      <c r="L237" s="44"/>
      <c r="M237" s="44"/>
      <c r="N237" s="44"/>
      <c r="O237" s="44"/>
      <c r="P237" s="44"/>
      <c r="Q237" s="44"/>
      <c r="R237" s="44"/>
      <c r="S237" s="44"/>
      <c r="T237" s="44"/>
      <c r="U237" s="44"/>
      <c r="V237" s="44"/>
    </row>
    <row r="238" spans="1:22" ht="15.75" customHeight="1" x14ac:dyDescent="0.35">
      <c r="A238" s="47"/>
      <c r="I238" s="44"/>
      <c r="J238" s="44"/>
      <c r="K238" s="44"/>
      <c r="L238" s="44"/>
      <c r="M238" s="44"/>
      <c r="N238" s="44"/>
      <c r="O238" s="44"/>
      <c r="P238" s="44"/>
      <c r="Q238" s="44"/>
      <c r="R238" s="44"/>
      <c r="S238" s="44"/>
      <c r="T238" s="44"/>
      <c r="U238" s="44"/>
      <c r="V238" s="44"/>
    </row>
    <row r="239" spans="1:22" ht="15.75" customHeight="1" x14ac:dyDescent="0.35">
      <c r="A239" s="47"/>
      <c r="I239" s="44"/>
      <c r="J239" s="44"/>
      <c r="K239" s="44"/>
      <c r="L239" s="44"/>
      <c r="M239" s="44"/>
      <c r="N239" s="44"/>
      <c r="O239" s="44"/>
      <c r="P239" s="44"/>
      <c r="Q239" s="44"/>
      <c r="R239" s="44"/>
      <c r="S239" s="44"/>
      <c r="T239" s="44"/>
      <c r="U239" s="44"/>
      <c r="V239" s="44"/>
    </row>
    <row r="240" spans="1:22" ht="15.75" customHeight="1" x14ac:dyDescent="0.35">
      <c r="A240" s="47"/>
      <c r="I240" s="44"/>
      <c r="J240" s="44"/>
      <c r="K240" s="44"/>
      <c r="L240" s="44"/>
      <c r="M240" s="44"/>
      <c r="N240" s="44"/>
      <c r="O240" s="44"/>
      <c r="P240" s="44"/>
      <c r="Q240" s="44"/>
      <c r="R240" s="44"/>
      <c r="S240" s="44"/>
      <c r="T240" s="44"/>
      <c r="U240" s="44"/>
      <c r="V240" s="44"/>
    </row>
    <row r="241" spans="1:22" ht="15.75" customHeight="1" x14ac:dyDescent="0.35">
      <c r="A241" s="47"/>
      <c r="I241" s="44"/>
      <c r="J241" s="44"/>
      <c r="K241" s="44"/>
      <c r="L241" s="44"/>
      <c r="M241" s="44"/>
      <c r="N241" s="44"/>
      <c r="O241" s="44"/>
      <c r="P241" s="44"/>
      <c r="Q241" s="44"/>
      <c r="R241" s="44"/>
      <c r="S241" s="44"/>
      <c r="T241" s="44"/>
      <c r="U241" s="44"/>
      <c r="V241" s="44"/>
    </row>
    <row r="242" spans="1:22" ht="15.75" customHeight="1" x14ac:dyDescent="0.35">
      <c r="A242" s="47"/>
      <c r="I242" s="44"/>
      <c r="J242" s="44"/>
      <c r="K242" s="44"/>
      <c r="L242" s="44"/>
      <c r="M242" s="44"/>
      <c r="N242" s="44"/>
      <c r="O242" s="44"/>
      <c r="P242" s="44"/>
      <c r="Q242" s="44"/>
      <c r="R242" s="44"/>
      <c r="S242" s="44"/>
      <c r="T242" s="44"/>
      <c r="U242" s="44"/>
      <c r="V242" s="44"/>
    </row>
    <row r="243" spans="1:22" ht="15.75" customHeight="1" x14ac:dyDescent="0.35">
      <c r="A243" s="47"/>
      <c r="I243" s="44"/>
      <c r="J243" s="44"/>
      <c r="K243" s="44"/>
      <c r="L243" s="44"/>
      <c r="M243" s="44"/>
      <c r="N243" s="44"/>
      <c r="O243" s="44"/>
      <c r="P243" s="44"/>
      <c r="Q243" s="44"/>
      <c r="R243" s="44"/>
      <c r="S243" s="44"/>
      <c r="T243" s="44"/>
      <c r="U243" s="44"/>
      <c r="V243" s="44"/>
    </row>
    <row r="244" spans="1:22" ht="15.75" customHeight="1" x14ac:dyDescent="0.35">
      <c r="A244" s="47"/>
      <c r="I244" s="44"/>
      <c r="J244" s="44"/>
      <c r="K244" s="44"/>
      <c r="L244" s="44"/>
      <c r="M244" s="44"/>
      <c r="N244" s="44"/>
      <c r="O244" s="44"/>
      <c r="P244" s="44"/>
      <c r="Q244" s="44"/>
      <c r="R244" s="44"/>
      <c r="S244" s="44"/>
      <c r="T244" s="44"/>
      <c r="U244" s="44"/>
      <c r="V244" s="44"/>
    </row>
    <row r="245" spans="1:22" ht="15.75" customHeight="1" x14ac:dyDescent="0.35">
      <c r="A245" s="47"/>
      <c r="I245" s="44"/>
      <c r="J245" s="44"/>
      <c r="K245" s="44"/>
      <c r="L245" s="44"/>
      <c r="M245" s="44"/>
      <c r="N245" s="44"/>
      <c r="O245" s="44"/>
      <c r="P245" s="44"/>
      <c r="Q245" s="44"/>
      <c r="R245" s="44"/>
      <c r="S245" s="44"/>
      <c r="T245" s="44"/>
      <c r="U245" s="44"/>
      <c r="V245" s="44"/>
    </row>
    <row r="246" spans="1:22" ht="15.75" customHeight="1" x14ac:dyDescent="0.35">
      <c r="A246" s="47"/>
      <c r="I246" s="44"/>
      <c r="J246" s="44"/>
      <c r="K246" s="44"/>
      <c r="L246" s="44"/>
      <c r="M246" s="44"/>
      <c r="N246" s="44"/>
      <c r="O246" s="44"/>
      <c r="P246" s="44"/>
      <c r="Q246" s="44"/>
      <c r="R246" s="44"/>
      <c r="S246" s="44"/>
      <c r="T246" s="44"/>
      <c r="U246" s="44"/>
      <c r="V246" s="44"/>
    </row>
    <row r="247" spans="1:22" ht="15.75" customHeight="1" x14ac:dyDescent="0.35">
      <c r="A247" s="47"/>
      <c r="I247" s="44"/>
      <c r="J247" s="44"/>
      <c r="K247" s="44"/>
      <c r="L247" s="44"/>
      <c r="M247" s="44"/>
      <c r="N247" s="44"/>
      <c r="O247" s="44"/>
      <c r="P247" s="44"/>
      <c r="Q247" s="44"/>
      <c r="R247" s="44"/>
      <c r="S247" s="44"/>
      <c r="T247" s="44"/>
      <c r="U247" s="44"/>
      <c r="V247" s="44"/>
    </row>
    <row r="248" spans="1:22" ht="15.75" customHeight="1" x14ac:dyDescent="0.35">
      <c r="A248" s="47"/>
      <c r="I248" s="44"/>
      <c r="J248" s="44"/>
      <c r="K248" s="44"/>
      <c r="L248" s="44"/>
      <c r="M248" s="44"/>
      <c r="N248" s="44"/>
      <c r="O248" s="44"/>
      <c r="P248" s="44"/>
      <c r="Q248" s="44"/>
      <c r="R248" s="44"/>
      <c r="S248" s="44"/>
      <c r="T248" s="44"/>
      <c r="U248" s="44"/>
      <c r="V248" s="44"/>
    </row>
    <row r="249" spans="1:22" ht="15.75" customHeight="1" x14ac:dyDescent="0.35">
      <c r="A249" s="47"/>
      <c r="I249" s="44"/>
      <c r="J249" s="44"/>
      <c r="K249" s="44"/>
      <c r="L249" s="44"/>
      <c r="M249" s="44"/>
      <c r="N249" s="44"/>
      <c r="O249" s="44"/>
      <c r="P249" s="44"/>
      <c r="Q249" s="44"/>
      <c r="R249" s="44"/>
      <c r="S249" s="44"/>
      <c r="T249" s="44"/>
      <c r="U249" s="44"/>
      <c r="V249" s="44"/>
    </row>
    <row r="250" spans="1:22" ht="15.75" customHeight="1" x14ac:dyDescent="0.35">
      <c r="A250" s="47"/>
      <c r="I250" s="44"/>
      <c r="J250" s="44"/>
      <c r="K250" s="44"/>
      <c r="L250" s="44"/>
      <c r="M250" s="44"/>
      <c r="N250" s="44"/>
      <c r="O250" s="44"/>
      <c r="P250" s="44"/>
      <c r="Q250" s="44"/>
      <c r="R250" s="44"/>
      <c r="S250" s="44"/>
      <c r="T250" s="44"/>
      <c r="U250" s="44"/>
      <c r="V250" s="44"/>
    </row>
    <row r="251" spans="1:22" ht="15.75" customHeight="1" x14ac:dyDescent="0.35">
      <c r="A251" s="47"/>
      <c r="I251" s="44"/>
      <c r="J251" s="44"/>
      <c r="K251" s="44"/>
      <c r="L251" s="44"/>
      <c r="M251" s="44"/>
      <c r="N251" s="44"/>
      <c r="O251" s="44"/>
      <c r="P251" s="44"/>
      <c r="Q251" s="44"/>
      <c r="R251" s="44"/>
      <c r="S251" s="44"/>
      <c r="T251" s="44"/>
      <c r="U251" s="44"/>
      <c r="V251" s="44"/>
    </row>
    <row r="252" spans="1:22" ht="15.75" customHeight="1" x14ac:dyDescent="0.35">
      <c r="A252" s="47"/>
      <c r="I252" s="44"/>
      <c r="J252" s="44"/>
      <c r="K252" s="44"/>
      <c r="L252" s="44"/>
      <c r="M252" s="44"/>
      <c r="N252" s="44"/>
      <c r="O252" s="44"/>
      <c r="P252" s="44"/>
      <c r="Q252" s="44"/>
      <c r="R252" s="44"/>
      <c r="S252" s="44"/>
      <c r="T252" s="44"/>
      <c r="U252" s="44"/>
      <c r="V252" s="44"/>
    </row>
    <row r="253" spans="1:22" ht="15.75" customHeight="1" x14ac:dyDescent="0.35">
      <c r="A253" s="47"/>
      <c r="I253" s="44"/>
      <c r="J253" s="44"/>
      <c r="K253" s="44"/>
      <c r="L253" s="44"/>
      <c r="M253" s="44"/>
      <c r="N253" s="44"/>
      <c r="O253" s="44"/>
      <c r="P253" s="44"/>
      <c r="Q253" s="44"/>
      <c r="R253" s="44"/>
      <c r="S253" s="44"/>
      <c r="T253" s="44"/>
      <c r="U253" s="44"/>
      <c r="V253" s="44"/>
    </row>
    <row r="254" spans="1:22" ht="15.75" customHeight="1" x14ac:dyDescent="0.35">
      <c r="A254" s="47"/>
      <c r="I254" s="44"/>
      <c r="J254" s="44"/>
      <c r="K254" s="44"/>
      <c r="L254" s="44"/>
      <c r="M254" s="44"/>
      <c r="N254" s="44"/>
      <c r="O254" s="44"/>
      <c r="P254" s="44"/>
      <c r="Q254" s="44"/>
      <c r="R254" s="44"/>
      <c r="S254" s="44"/>
      <c r="T254" s="44"/>
      <c r="U254" s="44"/>
      <c r="V254" s="44"/>
    </row>
    <row r="255" spans="1:22" ht="15.75" customHeight="1" x14ac:dyDescent="0.35">
      <c r="A255" s="47"/>
      <c r="I255" s="44"/>
      <c r="J255" s="44"/>
      <c r="K255" s="44"/>
      <c r="L255" s="44"/>
      <c r="M255" s="44"/>
      <c r="N255" s="44"/>
      <c r="O255" s="44"/>
      <c r="P255" s="44"/>
      <c r="Q255" s="44"/>
      <c r="R255" s="44"/>
      <c r="S255" s="44"/>
      <c r="T255" s="44"/>
      <c r="U255" s="44"/>
      <c r="V255" s="44"/>
    </row>
    <row r="256" spans="1:22" ht="15.75" customHeight="1" x14ac:dyDescent="0.35">
      <c r="A256" s="47"/>
      <c r="I256" s="44"/>
      <c r="J256" s="44"/>
      <c r="K256" s="44"/>
      <c r="L256" s="44"/>
      <c r="M256" s="44"/>
      <c r="N256" s="44"/>
      <c r="O256" s="44"/>
      <c r="P256" s="44"/>
      <c r="Q256" s="44"/>
      <c r="R256" s="44"/>
      <c r="S256" s="44"/>
      <c r="T256" s="44"/>
      <c r="U256" s="44"/>
      <c r="V256" s="44"/>
    </row>
    <row r="257" spans="1:22" ht="15.75" customHeight="1" x14ac:dyDescent="0.35">
      <c r="A257" s="47"/>
      <c r="I257" s="44"/>
      <c r="J257" s="44"/>
      <c r="K257" s="44"/>
      <c r="L257" s="44"/>
      <c r="M257" s="44"/>
      <c r="N257" s="44"/>
      <c r="O257" s="44"/>
      <c r="P257" s="44"/>
      <c r="Q257" s="44"/>
      <c r="R257" s="44"/>
      <c r="S257" s="44"/>
      <c r="T257" s="44"/>
      <c r="U257" s="44"/>
      <c r="V257" s="44"/>
    </row>
    <row r="258" spans="1:22" ht="15.75" customHeight="1" x14ac:dyDescent="0.35">
      <c r="A258" s="47"/>
      <c r="I258" s="44"/>
      <c r="J258" s="44"/>
      <c r="K258" s="44"/>
      <c r="L258" s="44"/>
      <c r="M258" s="44"/>
      <c r="N258" s="44"/>
      <c r="O258" s="44"/>
      <c r="P258" s="44"/>
      <c r="Q258" s="44"/>
      <c r="R258" s="44"/>
      <c r="S258" s="44"/>
      <c r="T258" s="44"/>
      <c r="U258" s="44"/>
      <c r="V258" s="44"/>
    </row>
    <row r="259" spans="1:22" ht="15.75" customHeight="1" x14ac:dyDescent="0.35">
      <c r="A259" s="47"/>
      <c r="I259" s="44"/>
      <c r="J259" s="44"/>
      <c r="K259" s="44"/>
      <c r="L259" s="44"/>
      <c r="M259" s="44"/>
      <c r="N259" s="44"/>
      <c r="O259" s="44"/>
      <c r="P259" s="44"/>
      <c r="Q259" s="44"/>
      <c r="R259" s="44"/>
      <c r="S259" s="44"/>
      <c r="T259" s="44"/>
      <c r="U259" s="44"/>
      <c r="V259" s="44"/>
    </row>
    <row r="260" spans="1:22" ht="15.75" customHeight="1" x14ac:dyDescent="0.35">
      <c r="A260" s="47"/>
      <c r="I260" s="44"/>
      <c r="J260" s="44"/>
      <c r="K260" s="44"/>
      <c r="L260" s="44"/>
      <c r="M260" s="44"/>
      <c r="N260" s="44"/>
      <c r="O260" s="44"/>
      <c r="P260" s="44"/>
      <c r="Q260" s="44"/>
      <c r="R260" s="44"/>
      <c r="S260" s="44"/>
      <c r="T260" s="44"/>
      <c r="U260" s="44"/>
      <c r="V260" s="44"/>
    </row>
    <row r="261" spans="1:22" ht="15.75" customHeight="1" x14ac:dyDescent="0.35">
      <c r="A261" s="47"/>
      <c r="I261" s="44"/>
      <c r="J261" s="44"/>
      <c r="K261" s="44"/>
      <c r="L261" s="44"/>
      <c r="M261" s="44"/>
      <c r="N261" s="44"/>
      <c r="O261" s="44"/>
      <c r="P261" s="44"/>
      <c r="Q261" s="44"/>
      <c r="R261" s="44"/>
      <c r="S261" s="44"/>
      <c r="T261" s="44"/>
      <c r="U261" s="44"/>
      <c r="V261" s="44"/>
    </row>
    <row r="262" spans="1:22" ht="15.75" customHeight="1" x14ac:dyDescent="0.35">
      <c r="A262" s="47"/>
      <c r="I262" s="44"/>
      <c r="J262" s="44"/>
      <c r="K262" s="44"/>
      <c r="L262" s="44"/>
      <c r="M262" s="44"/>
      <c r="N262" s="44"/>
      <c r="O262" s="44"/>
      <c r="P262" s="44"/>
      <c r="Q262" s="44"/>
      <c r="R262" s="44"/>
      <c r="S262" s="44"/>
      <c r="T262" s="44"/>
      <c r="U262" s="44"/>
      <c r="V262" s="44"/>
    </row>
    <row r="263" spans="1:22" ht="15.75" customHeight="1" x14ac:dyDescent="0.35">
      <c r="A263" s="47"/>
      <c r="I263" s="44"/>
      <c r="J263" s="44"/>
      <c r="K263" s="44"/>
      <c r="L263" s="44"/>
      <c r="M263" s="44"/>
      <c r="N263" s="44"/>
      <c r="O263" s="44"/>
      <c r="P263" s="44"/>
      <c r="Q263" s="44"/>
      <c r="R263" s="44"/>
      <c r="S263" s="44"/>
      <c r="T263" s="44"/>
      <c r="U263" s="44"/>
      <c r="V263" s="44"/>
    </row>
    <row r="264" spans="1:22" ht="15.75" customHeight="1" x14ac:dyDescent="0.35">
      <c r="A264" s="47"/>
      <c r="I264" s="44"/>
      <c r="J264" s="44"/>
      <c r="K264" s="44"/>
      <c r="L264" s="44"/>
      <c r="M264" s="44"/>
      <c r="N264" s="44"/>
      <c r="O264" s="44"/>
      <c r="P264" s="44"/>
      <c r="Q264" s="44"/>
      <c r="R264" s="44"/>
      <c r="S264" s="44"/>
      <c r="T264" s="44"/>
      <c r="U264" s="44"/>
      <c r="V264" s="44"/>
    </row>
    <row r="265" spans="1:22" ht="15.75" customHeight="1" x14ac:dyDescent="0.35">
      <c r="A265" s="47"/>
      <c r="I265" s="44"/>
      <c r="J265" s="44"/>
      <c r="K265" s="44"/>
      <c r="L265" s="44"/>
      <c r="M265" s="44"/>
      <c r="N265" s="44"/>
      <c r="O265" s="44"/>
      <c r="P265" s="44"/>
      <c r="Q265" s="44"/>
      <c r="R265" s="44"/>
      <c r="S265" s="44"/>
      <c r="T265" s="44"/>
      <c r="U265" s="44"/>
      <c r="V265" s="44"/>
    </row>
    <row r="266" spans="1:22" ht="15.75" customHeight="1" x14ac:dyDescent="0.35">
      <c r="A266" s="47"/>
      <c r="I266" s="44"/>
      <c r="J266" s="44"/>
      <c r="K266" s="44"/>
      <c r="L266" s="44"/>
      <c r="M266" s="44"/>
      <c r="N266" s="44"/>
      <c r="O266" s="44"/>
      <c r="P266" s="44"/>
      <c r="Q266" s="44"/>
      <c r="R266" s="44"/>
      <c r="S266" s="44"/>
      <c r="T266" s="44"/>
      <c r="U266" s="44"/>
      <c r="V266" s="44"/>
    </row>
    <row r="267" spans="1:22" ht="15.75" customHeight="1" x14ac:dyDescent="0.35">
      <c r="A267" s="47"/>
      <c r="I267" s="44"/>
      <c r="J267" s="44"/>
      <c r="K267" s="44"/>
      <c r="L267" s="44"/>
      <c r="M267" s="44"/>
      <c r="N267" s="44"/>
      <c r="O267" s="44"/>
      <c r="P267" s="44"/>
      <c r="Q267" s="44"/>
      <c r="R267" s="44"/>
      <c r="S267" s="44"/>
      <c r="T267" s="44"/>
      <c r="U267" s="44"/>
      <c r="V267" s="44"/>
    </row>
    <row r="268" spans="1:22" ht="15.75" customHeight="1" x14ac:dyDescent="0.35">
      <c r="A268" s="47"/>
      <c r="I268" s="44"/>
      <c r="J268" s="44"/>
      <c r="K268" s="44"/>
      <c r="L268" s="44"/>
      <c r="M268" s="44"/>
      <c r="N268" s="44"/>
      <c r="O268" s="44"/>
      <c r="P268" s="44"/>
      <c r="Q268" s="44"/>
      <c r="R268" s="44"/>
      <c r="S268" s="44"/>
      <c r="T268" s="44"/>
      <c r="U268" s="44"/>
      <c r="V268" s="44"/>
    </row>
    <row r="269" spans="1:22" ht="15.75" customHeight="1" x14ac:dyDescent="0.35">
      <c r="A269" s="47"/>
      <c r="I269" s="44"/>
      <c r="J269" s="44"/>
      <c r="K269" s="44"/>
      <c r="L269" s="44"/>
      <c r="M269" s="44"/>
      <c r="N269" s="44"/>
      <c r="O269" s="44"/>
      <c r="P269" s="44"/>
      <c r="Q269" s="44"/>
      <c r="R269" s="44"/>
      <c r="S269" s="44"/>
      <c r="T269" s="44"/>
      <c r="U269" s="44"/>
      <c r="V269" s="44"/>
    </row>
    <row r="270" spans="1:22" ht="15.75" customHeight="1" x14ac:dyDescent="0.35">
      <c r="A270" s="47"/>
      <c r="I270" s="44"/>
      <c r="J270" s="44"/>
      <c r="K270" s="44"/>
      <c r="L270" s="44"/>
      <c r="M270" s="44"/>
      <c r="N270" s="44"/>
      <c r="O270" s="44"/>
      <c r="P270" s="44"/>
      <c r="Q270" s="44"/>
      <c r="R270" s="44"/>
      <c r="S270" s="44"/>
      <c r="T270" s="44"/>
      <c r="U270" s="44"/>
      <c r="V270" s="44"/>
    </row>
    <row r="271" spans="1:22" ht="15.75" customHeight="1" x14ac:dyDescent="0.35">
      <c r="A271" s="47"/>
      <c r="I271" s="44"/>
      <c r="J271" s="44"/>
      <c r="K271" s="44"/>
      <c r="L271" s="44"/>
      <c r="M271" s="44"/>
      <c r="N271" s="44"/>
      <c r="O271" s="44"/>
      <c r="P271" s="44"/>
      <c r="Q271" s="44"/>
      <c r="R271" s="44"/>
      <c r="S271" s="44"/>
      <c r="T271" s="44"/>
      <c r="U271" s="44"/>
      <c r="V271" s="44"/>
    </row>
    <row r="272" spans="1:22" ht="15.75" customHeight="1" x14ac:dyDescent="0.35">
      <c r="A272" s="47"/>
      <c r="I272" s="44"/>
      <c r="J272" s="44"/>
      <c r="K272" s="44"/>
      <c r="L272" s="44"/>
      <c r="M272" s="44"/>
      <c r="N272" s="44"/>
      <c r="O272" s="44"/>
      <c r="P272" s="44"/>
      <c r="Q272" s="44"/>
      <c r="R272" s="44"/>
      <c r="S272" s="44"/>
      <c r="T272" s="44"/>
      <c r="U272" s="44"/>
      <c r="V272" s="44"/>
    </row>
    <row r="273" spans="1:22" ht="15.75" customHeight="1" x14ac:dyDescent="0.35">
      <c r="A273" s="47"/>
      <c r="I273" s="44"/>
      <c r="J273" s="44"/>
      <c r="K273" s="44"/>
      <c r="L273" s="44"/>
      <c r="M273" s="44"/>
      <c r="N273" s="44"/>
      <c r="O273" s="44"/>
      <c r="P273" s="44"/>
      <c r="Q273" s="44"/>
      <c r="R273" s="44"/>
      <c r="S273" s="44"/>
      <c r="T273" s="44"/>
      <c r="U273" s="44"/>
      <c r="V273" s="44"/>
    </row>
    <row r="274" spans="1:22" ht="15.75" customHeight="1" x14ac:dyDescent="0.35">
      <c r="A274" s="47"/>
      <c r="I274" s="44"/>
      <c r="J274" s="44"/>
      <c r="K274" s="44"/>
      <c r="L274" s="44"/>
      <c r="M274" s="44"/>
      <c r="N274" s="44"/>
      <c r="O274" s="44"/>
      <c r="P274" s="44"/>
      <c r="Q274" s="44"/>
      <c r="R274" s="44"/>
      <c r="S274" s="44"/>
      <c r="T274" s="44"/>
      <c r="U274" s="44"/>
      <c r="V274" s="44"/>
    </row>
    <row r="275" spans="1:22" ht="15.75" customHeight="1" x14ac:dyDescent="0.35">
      <c r="A275" s="47"/>
      <c r="I275" s="44"/>
      <c r="J275" s="44"/>
      <c r="K275" s="44"/>
      <c r="L275" s="44"/>
      <c r="M275" s="44"/>
      <c r="N275" s="44"/>
      <c r="O275" s="44"/>
      <c r="P275" s="44"/>
      <c r="Q275" s="44"/>
      <c r="R275" s="44"/>
      <c r="S275" s="44"/>
      <c r="T275" s="44"/>
      <c r="U275" s="44"/>
      <c r="V275" s="44"/>
    </row>
    <row r="276" spans="1:22" ht="15.75" customHeight="1" x14ac:dyDescent="0.35">
      <c r="A276" s="47"/>
      <c r="I276" s="44"/>
      <c r="J276" s="44"/>
      <c r="K276" s="44"/>
      <c r="L276" s="44"/>
      <c r="M276" s="44"/>
      <c r="N276" s="44"/>
      <c r="O276" s="44"/>
      <c r="P276" s="44"/>
      <c r="Q276" s="44"/>
      <c r="R276" s="44"/>
      <c r="S276" s="44"/>
      <c r="T276" s="44"/>
      <c r="U276" s="44"/>
      <c r="V276" s="44"/>
    </row>
    <row r="277" spans="1:22" ht="15.75" customHeight="1" x14ac:dyDescent="0.35">
      <c r="A277" s="47"/>
      <c r="I277" s="44"/>
      <c r="J277" s="44"/>
      <c r="K277" s="44"/>
      <c r="L277" s="44"/>
      <c r="M277" s="44"/>
      <c r="N277" s="44"/>
      <c r="O277" s="44"/>
      <c r="P277" s="44"/>
      <c r="Q277" s="44"/>
      <c r="R277" s="44"/>
      <c r="S277" s="44"/>
      <c r="T277" s="44"/>
      <c r="U277" s="44"/>
      <c r="V277" s="44"/>
    </row>
    <row r="278" spans="1:22" ht="15.75" customHeight="1" x14ac:dyDescent="0.35">
      <c r="A278" s="47"/>
      <c r="I278" s="44"/>
      <c r="J278" s="44"/>
      <c r="K278" s="44"/>
      <c r="L278" s="44"/>
      <c r="M278" s="44"/>
      <c r="N278" s="44"/>
      <c r="O278" s="44"/>
      <c r="P278" s="44"/>
      <c r="Q278" s="44"/>
      <c r="R278" s="44"/>
      <c r="S278" s="44"/>
      <c r="T278" s="44"/>
      <c r="U278" s="44"/>
      <c r="V278" s="44"/>
    </row>
    <row r="279" spans="1:22" ht="15.75" customHeight="1" x14ac:dyDescent="0.35">
      <c r="A279" s="47"/>
      <c r="I279" s="44"/>
      <c r="J279" s="44"/>
      <c r="K279" s="44"/>
      <c r="L279" s="44"/>
      <c r="M279" s="44"/>
      <c r="N279" s="44"/>
      <c r="O279" s="44"/>
      <c r="P279" s="44"/>
      <c r="Q279" s="44"/>
      <c r="R279" s="44"/>
      <c r="S279" s="44"/>
      <c r="T279" s="44"/>
      <c r="U279" s="44"/>
      <c r="V279" s="44"/>
    </row>
    <row r="280" spans="1:22" ht="15.75" customHeight="1" x14ac:dyDescent="0.35">
      <c r="A280" s="47"/>
      <c r="I280" s="44"/>
      <c r="J280" s="44"/>
      <c r="K280" s="44"/>
      <c r="L280" s="44"/>
      <c r="M280" s="44"/>
      <c r="N280" s="44"/>
      <c r="O280" s="44"/>
      <c r="P280" s="44"/>
      <c r="Q280" s="44"/>
      <c r="R280" s="44"/>
      <c r="S280" s="44"/>
      <c r="T280" s="44"/>
      <c r="U280" s="44"/>
      <c r="V280" s="44"/>
    </row>
    <row r="281" spans="1:22" ht="15.75" customHeight="1" x14ac:dyDescent="0.35">
      <c r="A281" s="47"/>
      <c r="I281" s="44"/>
      <c r="J281" s="44"/>
      <c r="K281" s="44"/>
      <c r="L281" s="44"/>
      <c r="M281" s="44"/>
      <c r="N281" s="44"/>
      <c r="O281" s="44"/>
      <c r="P281" s="44"/>
      <c r="Q281" s="44"/>
      <c r="R281" s="44"/>
      <c r="S281" s="44"/>
      <c r="T281" s="44"/>
      <c r="U281" s="44"/>
      <c r="V281" s="44"/>
    </row>
    <row r="282" spans="1:22" ht="15.75" customHeight="1" x14ac:dyDescent="0.35">
      <c r="A282" s="47"/>
      <c r="I282" s="44"/>
      <c r="J282" s="44"/>
      <c r="K282" s="44"/>
      <c r="L282" s="44"/>
      <c r="M282" s="44"/>
      <c r="N282" s="44"/>
      <c r="O282" s="44"/>
      <c r="P282" s="44"/>
      <c r="Q282" s="44"/>
      <c r="R282" s="44"/>
      <c r="S282" s="44"/>
      <c r="T282" s="44"/>
      <c r="U282" s="44"/>
      <c r="V282" s="44"/>
    </row>
    <row r="283" spans="1:22" ht="15.75" customHeight="1" x14ac:dyDescent="0.35">
      <c r="A283" s="47"/>
      <c r="I283" s="44"/>
      <c r="J283" s="44"/>
      <c r="K283" s="44"/>
      <c r="L283" s="44"/>
      <c r="M283" s="44"/>
      <c r="N283" s="44"/>
      <c r="O283" s="44"/>
      <c r="P283" s="44"/>
      <c r="Q283" s="44"/>
      <c r="R283" s="44"/>
      <c r="S283" s="44"/>
      <c r="T283" s="44"/>
      <c r="U283" s="44"/>
      <c r="V283" s="44"/>
    </row>
    <row r="284" spans="1:22" ht="15.75" customHeight="1" x14ac:dyDescent="0.35">
      <c r="A284" s="47"/>
      <c r="I284" s="44"/>
      <c r="J284" s="44"/>
      <c r="K284" s="44"/>
      <c r="L284" s="44"/>
      <c r="M284" s="44"/>
      <c r="N284" s="44"/>
      <c r="O284" s="44"/>
      <c r="P284" s="44"/>
      <c r="Q284" s="44"/>
      <c r="R284" s="44"/>
      <c r="S284" s="44"/>
      <c r="T284" s="44"/>
      <c r="U284" s="44"/>
      <c r="V284" s="44"/>
    </row>
    <row r="285" spans="1:22" ht="15.75" customHeight="1" x14ac:dyDescent="0.35">
      <c r="A285" s="47"/>
      <c r="I285" s="44"/>
      <c r="J285" s="44"/>
      <c r="K285" s="44"/>
      <c r="L285" s="44"/>
      <c r="M285" s="44"/>
      <c r="N285" s="44"/>
      <c r="O285" s="44"/>
      <c r="P285" s="44"/>
      <c r="Q285" s="44"/>
      <c r="R285" s="44"/>
      <c r="S285" s="44"/>
      <c r="T285" s="44"/>
      <c r="U285" s="44"/>
      <c r="V285" s="44"/>
    </row>
    <row r="286" spans="1:22" ht="15.75" customHeight="1" x14ac:dyDescent="0.35">
      <c r="A286" s="47"/>
      <c r="I286" s="44"/>
      <c r="J286" s="44"/>
      <c r="K286" s="44"/>
      <c r="L286" s="44"/>
      <c r="M286" s="44"/>
      <c r="N286" s="44"/>
      <c r="O286" s="44"/>
      <c r="P286" s="44"/>
      <c r="Q286" s="44"/>
      <c r="R286" s="44"/>
      <c r="S286" s="44"/>
      <c r="T286" s="44"/>
      <c r="U286" s="44"/>
      <c r="V286" s="44"/>
    </row>
    <row r="287" spans="1:22" ht="15.75" customHeight="1" x14ac:dyDescent="0.35">
      <c r="A287" s="47"/>
      <c r="I287" s="44"/>
      <c r="J287" s="44"/>
      <c r="K287" s="44"/>
      <c r="L287" s="44"/>
      <c r="M287" s="44"/>
      <c r="N287" s="44"/>
      <c r="O287" s="44"/>
      <c r="P287" s="44"/>
      <c r="Q287" s="44"/>
      <c r="R287" s="44"/>
      <c r="S287" s="44"/>
      <c r="T287" s="44"/>
      <c r="U287" s="44"/>
      <c r="V287" s="44"/>
    </row>
    <row r="288" spans="1:22" ht="15.75" customHeight="1" x14ac:dyDescent="0.35">
      <c r="A288" s="47"/>
      <c r="I288" s="44"/>
      <c r="J288" s="44"/>
      <c r="K288" s="44"/>
      <c r="L288" s="44"/>
      <c r="M288" s="44"/>
      <c r="N288" s="44"/>
      <c r="O288" s="44"/>
      <c r="P288" s="44"/>
      <c r="Q288" s="44"/>
      <c r="R288" s="44"/>
      <c r="S288" s="44"/>
      <c r="T288" s="44"/>
      <c r="U288" s="44"/>
      <c r="V288" s="44"/>
    </row>
    <row r="289" spans="1:22" ht="15.75" customHeight="1" x14ac:dyDescent="0.35">
      <c r="A289" s="47"/>
      <c r="I289" s="44"/>
      <c r="J289" s="44"/>
      <c r="K289" s="44"/>
      <c r="L289" s="44"/>
      <c r="M289" s="44"/>
      <c r="N289" s="44"/>
      <c r="O289" s="44"/>
      <c r="P289" s="44"/>
      <c r="Q289" s="44"/>
      <c r="R289" s="44"/>
      <c r="S289" s="44"/>
      <c r="T289" s="44"/>
      <c r="U289" s="44"/>
      <c r="V289" s="44"/>
    </row>
    <row r="290" spans="1:22" ht="15.75" customHeight="1" x14ac:dyDescent="0.35">
      <c r="A290" s="47"/>
      <c r="I290" s="44"/>
      <c r="J290" s="44"/>
      <c r="K290" s="44"/>
      <c r="L290" s="44"/>
      <c r="M290" s="44"/>
      <c r="N290" s="44"/>
      <c r="O290" s="44"/>
      <c r="P290" s="44"/>
      <c r="Q290" s="44"/>
      <c r="R290" s="44"/>
      <c r="S290" s="44"/>
      <c r="T290" s="44"/>
      <c r="U290" s="44"/>
      <c r="V290" s="44"/>
    </row>
    <row r="291" spans="1:22" ht="15.75" customHeight="1" x14ac:dyDescent="0.35">
      <c r="A291" s="47"/>
      <c r="I291" s="44"/>
      <c r="J291" s="44"/>
      <c r="K291" s="44"/>
      <c r="L291" s="44"/>
      <c r="M291" s="44"/>
      <c r="N291" s="44"/>
      <c r="O291" s="44"/>
      <c r="P291" s="44"/>
      <c r="Q291" s="44"/>
      <c r="R291" s="44"/>
      <c r="S291" s="44"/>
      <c r="T291" s="44"/>
      <c r="U291" s="44"/>
      <c r="V291" s="44"/>
    </row>
    <row r="292" spans="1:22" ht="15.75" customHeight="1" x14ac:dyDescent="0.35">
      <c r="A292" s="47"/>
      <c r="I292" s="44"/>
      <c r="J292" s="44"/>
      <c r="K292" s="44"/>
      <c r="L292" s="44"/>
      <c r="M292" s="44"/>
      <c r="N292" s="44"/>
      <c r="O292" s="44"/>
      <c r="P292" s="44"/>
      <c r="Q292" s="44"/>
      <c r="R292" s="44"/>
      <c r="S292" s="44"/>
      <c r="T292" s="44"/>
      <c r="U292" s="44"/>
      <c r="V292" s="44"/>
    </row>
    <row r="293" spans="1:22" ht="15.75" customHeight="1" x14ac:dyDescent="0.35">
      <c r="A293" s="47"/>
      <c r="I293" s="44"/>
      <c r="J293" s="44"/>
      <c r="K293" s="44"/>
      <c r="L293" s="44"/>
      <c r="M293" s="44"/>
      <c r="N293" s="44"/>
      <c r="O293" s="44"/>
      <c r="P293" s="44"/>
      <c r="Q293" s="44"/>
      <c r="R293" s="44"/>
      <c r="S293" s="44"/>
      <c r="T293" s="44"/>
      <c r="U293" s="44"/>
      <c r="V293" s="44"/>
    </row>
    <row r="294" spans="1:22" ht="15.75" customHeight="1" x14ac:dyDescent="0.35">
      <c r="A294" s="47"/>
      <c r="I294" s="44"/>
      <c r="J294" s="44"/>
      <c r="K294" s="44"/>
      <c r="L294" s="44"/>
      <c r="M294" s="44"/>
      <c r="N294" s="44"/>
      <c r="O294" s="44"/>
      <c r="P294" s="44"/>
      <c r="Q294" s="44"/>
      <c r="R294" s="44"/>
      <c r="S294" s="44"/>
      <c r="T294" s="44"/>
      <c r="U294" s="44"/>
      <c r="V294" s="44"/>
    </row>
    <row r="295" spans="1:22" ht="15.75" customHeight="1" x14ac:dyDescent="0.35">
      <c r="A295" s="47"/>
      <c r="I295" s="44"/>
      <c r="J295" s="44"/>
      <c r="K295" s="44"/>
      <c r="L295" s="44"/>
      <c r="M295" s="44"/>
      <c r="N295" s="44"/>
      <c r="O295" s="44"/>
      <c r="P295" s="44"/>
      <c r="Q295" s="44"/>
      <c r="R295" s="44"/>
      <c r="S295" s="44"/>
      <c r="T295" s="44"/>
      <c r="U295" s="44"/>
      <c r="V295" s="44"/>
    </row>
    <row r="296" spans="1:22" ht="15.75" customHeight="1" x14ac:dyDescent="0.35">
      <c r="A296" s="47"/>
      <c r="I296" s="44"/>
      <c r="J296" s="44"/>
      <c r="K296" s="44"/>
      <c r="L296" s="44"/>
      <c r="M296" s="44"/>
      <c r="N296" s="44"/>
      <c r="O296" s="44"/>
      <c r="P296" s="44"/>
      <c r="Q296" s="44"/>
      <c r="R296" s="44"/>
      <c r="S296" s="44"/>
      <c r="T296" s="44"/>
      <c r="U296" s="44"/>
      <c r="V296" s="44"/>
    </row>
    <row r="297" spans="1:22" ht="15.75" customHeight="1" x14ac:dyDescent="0.35">
      <c r="A297" s="47"/>
      <c r="I297" s="44"/>
      <c r="J297" s="44"/>
      <c r="K297" s="44"/>
      <c r="L297" s="44"/>
      <c r="M297" s="44"/>
      <c r="N297" s="44"/>
      <c r="O297" s="44"/>
      <c r="P297" s="44"/>
      <c r="Q297" s="44"/>
      <c r="R297" s="44"/>
      <c r="S297" s="44"/>
      <c r="T297" s="44"/>
      <c r="U297" s="44"/>
      <c r="V297" s="44"/>
    </row>
    <row r="298" spans="1:22" ht="15.75" customHeight="1" x14ac:dyDescent="0.35">
      <c r="A298" s="47"/>
      <c r="I298" s="44"/>
      <c r="J298" s="44"/>
      <c r="K298" s="44"/>
      <c r="L298" s="44"/>
      <c r="M298" s="44"/>
      <c r="N298" s="44"/>
      <c r="O298" s="44"/>
      <c r="P298" s="44"/>
      <c r="Q298" s="44"/>
      <c r="R298" s="44"/>
      <c r="S298" s="44"/>
      <c r="T298" s="44"/>
      <c r="U298" s="44"/>
      <c r="V298" s="44"/>
    </row>
    <row r="299" spans="1:22" ht="15.75" customHeight="1" x14ac:dyDescent="0.35">
      <c r="A299" s="47"/>
      <c r="I299" s="44"/>
      <c r="J299" s="44"/>
      <c r="K299" s="44"/>
      <c r="L299" s="44"/>
      <c r="M299" s="44"/>
      <c r="N299" s="44"/>
      <c r="O299" s="44"/>
      <c r="P299" s="44"/>
      <c r="Q299" s="44"/>
      <c r="R299" s="44"/>
      <c r="S299" s="44"/>
      <c r="T299" s="44"/>
      <c r="U299" s="44"/>
      <c r="V299" s="44"/>
    </row>
    <row r="300" spans="1:22" ht="15.75" customHeight="1" x14ac:dyDescent="0.35">
      <c r="A300" s="47"/>
      <c r="I300" s="44"/>
      <c r="J300" s="44"/>
      <c r="K300" s="44"/>
      <c r="L300" s="44"/>
      <c r="M300" s="44"/>
      <c r="N300" s="44"/>
      <c r="O300" s="44"/>
      <c r="P300" s="44"/>
      <c r="Q300" s="44"/>
      <c r="R300" s="44"/>
      <c r="S300" s="44"/>
      <c r="T300" s="44"/>
      <c r="U300" s="44"/>
      <c r="V300" s="44"/>
    </row>
    <row r="301" spans="1:22" ht="15.75" customHeight="1" x14ac:dyDescent="0.35">
      <c r="A301" s="47"/>
      <c r="I301" s="44"/>
      <c r="J301" s="44"/>
      <c r="K301" s="44"/>
      <c r="L301" s="44"/>
      <c r="M301" s="44"/>
      <c r="N301" s="44"/>
      <c r="O301" s="44"/>
      <c r="P301" s="44"/>
      <c r="Q301" s="44"/>
      <c r="R301" s="44"/>
      <c r="S301" s="44"/>
      <c r="T301" s="44"/>
      <c r="U301" s="44"/>
      <c r="V301" s="44"/>
    </row>
    <row r="302" spans="1:22" ht="15.75" customHeight="1" x14ac:dyDescent="0.35">
      <c r="A302" s="47"/>
      <c r="I302" s="44"/>
      <c r="J302" s="44"/>
      <c r="K302" s="44"/>
      <c r="L302" s="44"/>
      <c r="M302" s="44"/>
      <c r="N302" s="44"/>
      <c r="O302" s="44"/>
      <c r="P302" s="44"/>
      <c r="Q302" s="44"/>
      <c r="R302" s="44"/>
      <c r="S302" s="44"/>
      <c r="T302" s="44"/>
      <c r="U302" s="44"/>
      <c r="V302" s="44"/>
    </row>
    <row r="303" spans="1:22" ht="15.75" customHeight="1" x14ac:dyDescent="0.35">
      <c r="A303" s="47"/>
      <c r="I303" s="44"/>
      <c r="J303" s="44"/>
      <c r="K303" s="44"/>
      <c r="L303" s="44"/>
      <c r="M303" s="44"/>
      <c r="N303" s="44"/>
      <c r="O303" s="44"/>
      <c r="P303" s="44"/>
      <c r="Q303" s="44"/>
      <c r="R303" s="44"/>
      <c r="S303" s="44"/>
      <c r="T303" s="44"/>
      <c r="U303" s="44"/>
      <c r="V303" s="44"/>
    </row>
    <row r="304" spans="1:22" ht="15.75" customHeight="1" x14ac:dyDescent="0.35">
      <c r="A304" s="47"/>
      <c r="I304" s="44"/>
      <c r="J304" s="44"/>
      <c r="K304" s="44"/>
      <c r="L304" s="44"/>
      <c r="M304" s="44"/>
      <c r="N304" s="44"/>
      <c r="O304" s="44"/>
      <c r="P304" s="44"/>
      <c r="Q304" s="44"/>
      <c r="R304" s="44"/>
      <c r="S304" s="44"/>
      <c r="T304" s="44"/>
      <c r="U304" s="44"/>
      <c r="V304" s="44"/>
    </row>
    <row r="305" spans="1:22" ht="15.75" customHeight="1" x14ac:dyDescent="0.35">
      <c r="A305" s="47"/>
      <c r="I305" s="44"/>
      <c r="J305" s="44"/>
      <c r="K305" s="44"/>
      <c r="L305" s="44"/>
      <c r="M305" s="44"/>
      <c r="N305" s="44"/>
      <c r="O305" s="44"/>
      <c r="P305" s="44"/>
      <c r="Q305" s="44"/>
      <c r="R305" s="44"/>
      <c r="S305" s="44"/>
      <c r="T305" s="44"/>
      <c r="U305" s="44"/>
      <c r="V305" s="44"/>
    </row>
    <row r="306" spans="1:22" ht="15.75" customHeight="1" x14ac:dyDescent="0.35">
      <c r="A306" s="47"/>
      <c r="I306" s="44"/>
      <c r="J306" s="44"/>
      <c r="K306" s="44"/>
      <c r="L306" s="44"/>
      <c r="M306" s="44"/>
      <c r="N306" s="44"/>
      <c r="O306" s="44"/>
      <c r="P306" s="44"/>
      <c r="Q306" s="44"/>
      <c r="R306" s="44"/>
      <c r="S306" s="44"/>
      <c r="T306" s="44"/>
      <c r="U306" s="44"/>
      <c r="V306" s="44"/>
    </row>
    <row r="307" spans="1:22" ht="15.75" customHeight="1" x14ac:dyDescent="0.35">
      <c r="A307" s="47"/>
      <c r="I307" s="44"/>
      <c r="J307" s="44"/>
      <c r="K307" s="44"/>
      <c r="L307" s="44"/>
      <c r="M307" s="44"/>
      <c r="N307" s="44"/>
      <c r="O307" s="44"/>
      <c r="P307" s="44"/>
      <c r="Q307" s="44"/>
      <c r="R307" s="44"/>
      <c r="S307" s="44"/>
      <c r="T307" s="44"/>
      <c r="U307" s="44"/>
      <c r="V307" s="44"/>
    </row>
    <row r="308" spans="1:22" ht="15.75" customHeight="1" x14ac:dyDescent="0.35">
      <c r="A308" s="47"/>
      <c r="I308" s="44"/>
      <c r="J308" s="44"/>
      <c r="K308" s="44"/>
      <c r="L308" s="44"/>
      <c r="M308" s="44"/>
      <c r="N308" s="44"/>
      <c r="O308" s="44"/>
      <c r="P308" s="44"/>
      <c r="Q308" s="44"/>
      <c r="R308" s="44"/>
      <c r="S308" s="44"/>
      <c r="T308" s="44"/>
      <c r="U308" s="44"/>
      <c r="V308" s="44"/>
    </row>
    <row r="309" spans="1:22" ht="15.75" customHeight="1" x14ac:dyDescent="0.35">
      <c r="A309" s="47"/>
      <c r="I309" s="44"/>
      <c r="J309" s="44"/>
      <c r="K309" s="44"/>
      <c r="L309" s="44"/>
      <c r="M309" s="44"/>
      <c r="N309" s="44"/>
      <c r="O309" s="44"/>
      <c r="P309" s="44"/>
      <c r="Q309" s="44"/>
      <c r="R309" s="44"/>
      <c r="S309" s="44"/>
      <c r="T309" s="44"/>
      <c r="U309" s="44"/>
      <c r="V309" s="44"/>
    </row>
    <row r="310" spans="1:22" ht="15.75" customHeight="1" x14ac:dyDescent="0.35">
      <c r="A310" s="47"/>
      <c r="I310" s="44"/>
      <c r="J310" s="44"/>
      <c r="K310" s="44"/>
      <c r="L310" s="44"/>
      <c r="M310" s="44"/>
      <c r="N310" s="44"/>
      <c r="O310" s="44"/>
      <c r="P310" s="44"/>
      <c r="Q310" s="44"/>
      <c r="R310" s="44"/>
      <c r="S310" s="44"/>
      <c r="T310" s="44"/>
      <c r="U310" s="44"/>
      <c r="V310" s="44"/>
    </row>
    <row r="311" spans="1:22" ht="15.75" customHeight="1" x14ac:dyDescent="0.35">
      <c r="A311" s="47"/>
      <c r="I311" s="44"/>
      <c r="J311" s="44"/>
      <c r="K311" s="44"/>
      <c r="L311" s="44"/>
      <c r="M311" s="44"/>
      <c r="N311" s="44"/>
      <c r="O311" s="44"/>
      <c r="P311" s="44"/>
      <c r="Q311" s="44"/>
      <c r="R311" s="44"/>
      <c r="S311" s="44"/>
      <c r="T311" s="44"/>
      <c r="U311" s="44"/>
      <c r="V311" s="44"/>
    </row>
    <row r="312" spans="1:22" ht="15.75" customHeight="1" x14ac:dyDescent="0.35">
      <c r="A312" s="47"/>
      <c r="I312" s="44"/>
      <c r="J312" s="44"/>
      <c r="K312" s="44"/>
      <c r="L312" s="44"/>
      <c r="M312" s="44"/>
      <c r="N312" s="44"/>
      <c r="O312" s="44"/>
      <c r="P312" s="44"/>
      <c r="Q312" s="44"/>
      <c r="R312" s="44"/>
      <c r="S312" s="44"/>
      <c r="T312" s="44"/>
      <c r="U312" s="44"/>
      <c r="V312" s="44"/>
    </row>
    <row r="313" spans="1:22" ht="15.75" customHeight="1" x14ac:dyDescent="0.35">
      <c r="A313" s="47"/>
      <c r="I313" s="44"/>
      <c r="J313" s="44"/>
      <c r="K313" s="44"/>
      <c r="L313" s="44"/>
      <c r="M313" s="44"/>
      <c r="N313" s="44"/>
      <c r="O313" s="44"/>
      <c r="P313" s="44"/>
      <c r="Q313" s="44"/>
      <c r="R313" s="44"/>
      <c r="S313" s="44"/>
      <c r="T313" s="44"/>
      <c r="U313" s="44"/>
      <c r="V313" s="44"/>
    </row>
    <row r="314" spans="1:22" ht="15.75" customHeight="1" x14ac:dyDescent="0.35">
      <c r="A314" s="47"/>
      <c r="I314" s="44"/>
      <c r="J314" s="44"/>
      <c r="K314" s="44"/>
      <c r="L314" s="44"/>
      <c r="M314" s="44"/>
      <c r="N314" s="44"/>
      <c r="O314" s="44"/>
      <c r="P314" s="44"/>
      <c r="Q314" s="44"/>
      <c r="R314" s="44"/>
      <c r="S314" s="44"/>
      <c r="T314" s="44"/>
      <c r="U314" s="44"/>
      <c r="V314" s="44"/>
    </row>
    <row r="315" spans="1:22" ht="15.75" customHeight="1" x14ac:dyDescent="0.35">
      <c r="A315" s="47"/>
      <c r="I315" s="44"/>
      <c r="J315" s="44"/>
      <c r="K315" s="44"/>
      <c r="L315" s="44"/>
      <c r="M315" s="44"/>
      <c r="N315" s="44"/>
      <c r="O315" s="44"/>
      <c r="P315" s="44"/>
      <c r="Q315" s="44"/>
      <c r="R315" s="44"/>
      <c r="S315" s="44"/>
      <c r="T315" s="44"/>
      <c r="U315" s="44"/>
      <c r="V315" s="44"/>
    </row>
    <row r="316" spans="1:22" ht="15.75" customHeight="1" x14ac:dyDescent="0.35">
      <c r="A316" s="47"/>
      <c r="I316" s="44"/>
      <c r="J316" s="44"/>
      <c r="K316" s="44"/>
      <c r="L316" s="44"/>
      <c r="M316" s="44"/>
      <c r="N316" s="44"/>
      <c r="O316" s="44"/>
      <c r="P316" s="44"/>
      <c r="Q316" s="44"/>
      <c r="R316" s="44"/>
      <c r="S316" s="44"/>
      <c r="T316" s="44"/>
      <c r="U316" s="44"/>
      <c r="V316" s="44"/>
    </row>
    <row r="317" spans="1:22" ht="15.75" customHeight="1" x14ac:dyDescent="0.35">
      <c r="A317" s="47"/>
      <c r="I317" s="44"/>
      <c r="J317" s="44"/>
      <c r="K317" s="44"/>
      <c r="L317" s="44"/>
      <c r="M317" s="44"/>
      <c r="N317" s="44"/>
      <c r="O317" s="44"/>
      <c r="P317" s="44"/>
      <c r="Q317" s="44"/>
      <c r="R317" s="44"/>
      <c r="S317" s="44"/>
      <c r="T317" s="44"/>
      <c r="U317" s="44"/>
      <c r="V317" s="44"/>
    </row>
    <row r="318" spans="1:22" ht="15.75" customHeight="1" x14ac:dyDescent="0.35">
      <c r="A318" s="47"/>
      <c r="I318" s="44"/>
      <c r="J318" s="44"/>
      <c r="K318" s="44"/>
      <c r="L318" s="44"/>
      <c r="M318" s="44"/>
      <c r="N318" s="44"/>
      <c r="O318" s="44"/>
      <c r="P318" s="44"/>
      <c r="Q318" s="44"/>
      <c r="R318" s="44"/>
      <c r="S318" s="44"/>
      <c r="T318" s="44"/>
      <c r="U318" s="44"/>
      <c r="V318" s="44"/>
    </row>
    <row r="319" spans="1:22" ht="15.75" customHeight="1" x14ac:dyDescent="0.35">
      <c r="A319" s="47"/>
      <c r="I319" s="44"/>
      <c r="J319" s="44"/>
      <c r="K319" s="44"/>
      <c r="L319" s="44"/>
      <c r="M319" s="44"/>
      <c r="N319" s="44"/>
      <c r="O319" s="44"/>
      <c r="P319" s="44"/>
      <c r="Q319" s="44"/>
      <c r="R319" s="44"/>
      <c r="S319" s="44"/>
      <c r="T319" s="44"/>
      <c r="U319" s="44"/>
      <c r="V319" s="44"/>
    </row>
    <row r="320" spans="1:22" ht="15.75" customHeight="1" x14ac:dyDescent="0.35">
      <c r="A320" s="47"/>
      <c r="I320" s="44"/>
      <c r="J320" s="44"/>
      <c r="K320" s="44"/>
      <c r="L320" s="44"/>
      <c r="M320" s="44"/>
      <c r="N320" s="44"/>
      <c r="O320" s="44"/>
      <c r="P320" s="44"/>
      <c r="Q320" s="44"/>
      <c r="R320" s="44"/>
      <c r="S320" s="44"/>
      <c r="T320" s="44"/>
      <c r="U320" s="44"/>
      <c r="V320" s="44"/>
    </row>
    <row r="321" spans="1:22" ht="15.75" customHeight="1" x14ac:dyDescent="0.35">
      <c r="A321" s="47"/>
      <c r="I321" s="44"/>
      <c r="J321" s="44"/>
      <c r="K321" s="44"/>
      <c r="L321" s="44"/>
      <c r="M321" s="44"/>
      <c r="N321" s="44"/>
      <c r="O321" s="44"/>
      <c r="P321" s="44"/>
      <c r="Q321" s="44"/>
      <c r="R321" s="44"/>
      <c r="S321" s="44"/>
      <c r="T321" s="44"/>
      <c r="U321" s="44"/>
      <c r="V321" s="44"/>
    </row>
    <row r="322" spans="1:22" ht="15.75" customHeight="1" x14ac:dyDescent="0.35">
      <c r="A322" s="47"/>
      <c r="I322" s="44"/>
      <c r="J322" s="44"/>
      <c r="K322" s="44"/>
      <c r="L322" s="44"/>
      <c r="M322" s="44"/>
      <c r="N322" s="44"/>
      <c r="O322" s="44"/>
      <c r="P322" s="44"/>
      <c r="Q322" s="44"/>
      <c r="R322" s="44"/>
      <c r="S322" s="44"/>
      <c r="T322" s="44"/>
      <c r="U322" s="44"/>
      <c r="V322" s="44"/>
    </row>
    <row r="323" spans="1:22" ht="15.75" customHeight="1" x14ac:dyDescent="0.35">
      <c r="A323" s="47"/>
      <c r="I323" s="44"/>
      <c r="J323" s="44"/>
      <c r="K323" s="44"/>
      <c r="L323" s="44"/>
      <c r="M323" s="44"/>
      <c r="N323" s="44"/>
      <c r="O323" s="44"/>
      <c r="P323" s="44"/>
      <c r="Q323" s="44"/>
      <c r="R323" s="44"/>
      <c r="S323" s="44"/>
      <c r="T323" s="44"/>
      <c r="U323" s="44"/>
      <c r="V323" s="44"/>
    </row>
    <row r="324" spans="1:22" ht="15.75" customHeight="1" x14ac:dyDescent="0.35">
      <c r="A324" s="47"/>
      <c r="I324" s="44"/>
      <c r="J324" s="44"/>
      <c r="K324" s="44"/>
      <c r="L324" s="44"/>
      <c r="M324" s="44"/>
      <c r="N324" s="44"/>
      <c r="O324" s="44"/>
      <c r="P324" s="44"/>
      <c r="Q324" s="44"/>
      <c r="R324" s="44"/>
      <c r="S324" s="44"/>
      <c r="T324" s="44"/>
      <c r="U324" s="44"/>
      <c r="V324" s="44"/>
    </row>
    <row r="325" spans="1:22" ht="15.75" customHeight="1" x14ac:dyDescent="0.35">
      <c r="A325" s="47"/>
      <c r="I325" s="44"/>
      <c r="J325" s="44"/>
      <c r="K325" s="44"/>
      <c r="L325" s="44"/>
      <c r="M325" s="44"/>
      <c r="N325" s="44"/>
      <c r="O325" s="44"/>
      <c r="P325" s="44"/>
      <c r="Q325" s="44"/>
      <c r="R325" s="44"/>
      <c r="S325" s="44"/>
      <c r="T325" s="44"/>
      <c r="U325" s="44"/>
      <c r="V325" s="44"/>
    </row>
    <row r="326" spans="1:22" ht="15.75" customHeight="1" x14ac:dyDescent="0.35">
      <c r="A326" s="47"/>
      <c r="I326" s="44"/>
      <c r="J326" s="44"/>
      <c r="K326" s="44"/>
      <c r="L326" s="44"/>
      <c r="M326" s="44"/>
      <c r="N326" s="44"/>
      <c r="O326" s="44"/>
      <c r="P326" s="44"/>
      <c r="Q326" s="44"/>
      <c r="R326" s="44"/>
      <c r="S326" s="44"/>
      <c r="T326" s="44"/>
      <c r="U326" s="44"/>
      <c r="V326" s="44"/>
    </row>
    <row r="327" spans="1:22" ht="15.75" customHeight="1" x14ac:dyDescent="0.35">
      <c r="A327" s="47"/>
      <c r="I327" s="44"/>
      <c r="J327" s="44"/>
      <c r="K327" s="44"/>
      <c r="L327" s="44"/>
      <c r="M327" s="44"/>
      <c r="N327" s="44"/>
      <c r="O327" s="44"/>
      <c r="P327" s="44"/>
      <c r="Q327" s="44"/>
      <c r="R327" s="44"/>
      <c r="S327" s="44"/>
      <c r="T327" s="44"/>
      <c r="U327" s="44"/>
      <c r="V327" s="44"/>
    </row>
    <row r="328" spans="1:22" ht="15.75" customHeight="1" x14ac:dyDescent="0.35">
      <c r="A328" s="47"/>
      <c r="I328" s="44"/>
      <c r="J328" s="44"/>
      <c r="K328" s="44"/>
      <c r="L328" s="44"/>
      <c r="M328" s="44"/>
      <c r="N328" s="44"/>
      <c r="O328" s="44"/>
      <c r="P328" s="44"/>
      <c r="Q328" s="44"/>
      <c r="R328" s="44"/>
      <c r="S328" s="44"/>
      <c r="T328" s="44"/>
      <c r="U328" s="44"/>
      <c r="V328" s="44"/>
    </row>
    <row r="329" spans="1:22" ht="15.75" customHeight="1" x14ac:dyDescent="0.35">
      <c r="A329" s="47"/>
      <c r="I329" s="44"/>
      <c r="J329" s="44"/>
      <c r="K329" s="44"/>
      <c r="L329" s="44"/>
      <c r="M329" s="44"/>
      <c r="N329" s="44"/>
      <c r="O329" s="44"/>
      <c r="P329" s="44"/>
      <c r="Q329" s="44"/>
      <c r="R329" s="44"/>
      <c r="S329" s="44"/>
      <c r="T329" s="44"/>
      <c r="U329" s="44"/>
      <c r="V329" s="44"/>
    </row>
    <row r="330" spans="1:22" ht="15.75" customHeight="1" x14ac:dyDescent="0.35">
      <c r="A330" s="47"/>
      <c r="I330" s="44"/>
      <c r="J330" s="44"/>
      <c r="K330" s="44"/>
      <c r="L330" s="44"/>
      <c r="M330" s="44"/>
      <c r="N330" s="44"/>
      <c r="O330" s="44"/>
      <c r="P330" s="44"/>
      <c r="Q330" s="44"/>
      <c r="R330" s="44"/>
      <c r="S330" s="44"/>
      <c r="T330" s="44"/>
      <c r="U330" s="44"/>
      <c r="V330" s="44"/>
    </row>
    <row r="331" spans="1:22" ht="15.75" customHeight="1" x14ac:dyDescent="0.35">
      <c r="A331" s="47"/>
      <c r="I331" s="44"/>
      <c r="J331" s="44"/>
      <c r="K331" s="44"/>
      <c r="L331" s="44"/>
      <c r="M331" s="44"/>
      <c r="N331" s="44"/>
      <c r="O331" s="44"/>
      <c r="P331" s="44"/>
      <c r="Q331" s="44"/>
      <c r="R331" s="44"/>
      <c r="S331" s="44"/>
      <c r="T331" s="44"/>
      <c r="U331" s="44"/>
      <c r="V331" s="44"/>
    </row>
    <row r="332" spans="1:22" ht="15.75" customHeight="1" x14ac:dyDescent="0.35">
      <c r="A332" s="47"/>
      <c r="I332" s="44"/>
      <c r="J332" s="44"/>
      <c r="K332" s="44"/>
      <c r="L332" s="44"/>
      <c r="M332" s="44"/>
      <c r="N332" s="44"/>
      <c r="O332" s="44"/>
      <c r="P332" s="44"/>
      <c r="Q332" s="44"/>
      <c r="R332" s="44"/>
      <c r="S332" s="44"/>
      <c r="T332" s="44"/>
      <c r="U332" s="44"/>
      <c r="V332" s="44"/>
    </row>
    <row r="333" spans="1:22" ht="15.75" customHeight="1" x14ac:dyDescent="0.35">
      <c r="A333" s="47"/>
      <c r="I333" s="44"/>
      <c r="J333" s="44"/>
      <c r="K333" s="44"/>
      <c r="L333" s="44"/>
      <c r="M333" s="44"/>
      <c r="N333" s="44"/>
      <c r="O333" s="44"/>
      <c r="P333" s="44"/>
      <c r="Q333" s="44"/>
      <c r="R333" s="44"/>
      <c r="S333" s="44"/>
      <c r="T333" s="44"/>
      <c r="U333" s="44"/>
      <c r="V333" s="44"/>
    </row>
    <row r="334" spans="1:22" ht="15.75" customHeight="1" x14ac:dyDescent="0.35">
      <c r="A334" s="47"/>
      <c r="I334" s="44"/>
      <c r="J334" s="44"/>
      <c r="K334" s="44"/>
      <c r="L334" s="44"/>
      <c r="M334" s="44"/>
      <c r="N334" s="44"/>
      <c r="O334" s="44"/>
      <c r="P334" s="44"/>
      <c r="Q334" s="44"/>
      <c r="R334" s="44"/>
      <c r="S334" s="44"/>
      <c r="T334" s="44"/>
      <c r="U334" s="44"/>
      <c r="V334" s="44"/>
    </row>
    <row r="335" spans="1:22" ht="15.75" customHeight="1" x14ac:dyDescent="0.35">
      <c r="A335" s="47"/>
      <c r="I335" s="44"/>
      <c r="J335" s="44"/>
      <c r="K335" s="44"/>
      <c r="L335" s="44"/>
      <c r="M335" s="44"/>
      <c r="N335" s="44"/>
      <c r="O335" s="44"/>
      <c r="P335" s="44"/>
      <c r="Q335" s="44"/>
      <c r="R335" s="44"/>
      <c r="S335" s="44"/>
      <c r="T335" s="44"/>
      <c r="U335" s="44"/>
      <c r="V335" s="44"/>
    </row>
    <row r="336" spans="1:22" ht="15.75" customHeight="1" x14ac:dyDescent="0.35">
      <c r="A336" s="47"/>
      <c r="I336" s="44"/>
      <c r="J336" s="44"/>
      <c r="K336" s="44"/>
      <c r="L336" s="44"/>
      <c r="M336" s="44"/>
      <c r="N336" s="44"/>
      <c r="O336" s="44"/>
      <c r="P336" s="44"/>
      <c r="Q336" s="44"/>
      <c r="R336" s="44"/>
      <c r="S336" s="44"/>
      <c r="T336" s="44"/>
      <c r="U336" s="44"/>
      <c r="V336" s="44"/>
    </row>
    <row r="337" spans="1:22" ht="15.75" customHeight="1" x14ac:dyDescent="0.35">
      <c r="A337" s="47"/>
      <c r="I337" s="44"/>
      <c r="J337" s="44"/>
      <c r="K337" s="44"/>
      <c r="L337" s="44"/>
      <c r="M337" s="44"/>
      <c r="N337" s="44"/>
      <c r="O337" s="44"/>
      <c r="P337" s="44"/>
      <c r="Q337" s="44"/>
      <c r="R337" s="44"/>
      <c r="S337" s="44"/>
      <c r="T337" s="44"/>
      <c r="U337" s="44"/>
      <c r="V337" s="44"/>
    </row>
    <row r="338" spans="1:22" ht="15.75" customHeight="1" x14ac:dyDescent="0.35">
      <c r="A338" s="47"/>
      <c r="I338" s="44"/>
      <c r="J338" s="44"/>
      <c r="K338" s="44"/>
      <c r="L338" s="44"/>
      <c r="M338" s="44"/>
      <c r="N338" s="44"/>
      <c r="O338" s="44"/>
      <c r="P338" s="44"/>
      <c r="Q338" s="44"/>
      <c r="R338" s="44"/>
      <c r="S338" s="44"/>
      <c r="T338" s="44"/>
      <c r="U338" s="44"/>
      <c r="V338" s="44"/>
    </row>
    <row r="339" spans="1:22" ht="15.75" customHeight="1" x14ac:dyDescent="0.35">
      <c r="A339" s="47"/>
      <c r="I339" s="44"/>
      <c r="J339" s="44"/>
      <c r="K339" s="44"/>
      <c r="L339" s="44"/>
      <c r="M339" s="44"/>
      <c r="N339" s="44"/>
      <c r="O339" s="44"/>
      <c r="P339" s="44"/>
      <c r="Q339" s="44"/>
      <c r="R339" s="44"/>
      <c r="S339" s="44"/>
      <c r="T339" s="44"/>
      <c r="U339" s="44"/>
      <c r="V339" s="44"/>
    </row>
    <row r="340" spans="1:22" ht="15.75" customHeight="1" x14ac:dyDescent="0.35">
      <c r="A340" s="47"/>
      <c r="I340" s="44"/>
      <c r="J340" s="44"/>
      <c r="K340" s="44"/>
      <c r="L340" s="44"/>
      <c r="M340" s="44"/>
      <c r="N340" s="44"/>
      <c r="O340" s="44"/>
      <c r="P340" s="44"/>
      <c r="Q340" s="44"/>
      <c r="R340" s="44"/>
      <c r="S340" s="44"/>
      <c r="T340" s="44"/>
      <c r="U340" s="44"/>
      <c r="V340" s="44"/>
    </row>
    <row r="341" spans="1:22" ht="15.75" customHeight="1" x14ac:dyDescent="0.35">
      <c r="A341" s="47"/>
      <c r="I341" s="44"/>
      <c r="J341" s="44"/>
      <c r="K341" s="44"/>
      <c r="L341" s="44"/>
      <c r="M341" s="44"/>
      <c r="N341" s="44"/>
      <c r="O341" s="44"/>
      <c r="P341" s="44"/>
      <c r="Q341" s="44"/>
      <c r="R341" s="44"/>
      <c r="S341" s="44"/>
      <c r="T341" s="44"/>
      <c r="U341" s="44"/>
      <c r="V341" s="44"/>
    </row>
    <row r="342" spans="1:22" ht="15.75" customHeight="1" x14ac:dyDescent="0.35">
      <c r="A342" s="47"/>
      <c r="I342" s="44"/>
      <c r="J342" s="44"/>
      <c r="K342" s="44"/>
      <c r="L342" s="44"/>
      <c r="M342" s="44"/>
      <c r="N342" s="44"/>
      <c r="O342" s="44"/>
      <c r="P342" s="44"/>
      <c r="Q342" s="44"/>
      <c r="R342" s="44"/>
      <c r="S342" s="44"/>
      <c r="T342" s="44"/>
      <c r="U342" s="44"/>
      <c r="V342" s="44"/>
    </row>
    <row r="343" spans="1:22" ht="15.75" customHeight="1" x14ac:dyDescent="0.35">
      <c r="A343" s="47"/>
      <c r="I343" s="44"/>
      <c r="J343" s="44"/>
      <c r="K343" s="44"/>
      <c r="L343" s="44"/>
      <c r="M343" s="44"/>
      <c r="N343" s="44"/>
      <c r="O343" s="44"/>
      <c r="P343" s="44"/>
      <c r="Q343" s="44"/>
      <c r="R343" s="44"/>
      <c r="S343" s="44"/>
      <c r="T343" s="44"/>
      <c r="U343" s="44"/>
      <c r="V343" s="44"/>
    </row>
    <row r="344" spans="1:22" ht="15.75" customHeight="1" x14ac:dyDescent="0.35">
      <c r="A344" s="47"/>
      <c r="I344" s="44"/>
      <c r="J344" s="44"/>
      <c r="K344" s="44"/>
      <c r="L344" s="44"/>
      <c r="M344" s="44"/>
      <c r="N344" s="44"/>
      <c r="O344" s="44"/>
      <c r="P344" s="44"/>
      <c r="Q344" s="44"/>
      <c r="R344" s="44"/>
      <c r="S344" s="44"/>
      <c r="T344" s="44"/>
      <c r="U344" s="44"/>
      <c r="V344" s="44"/>
    </row>
    <row r="345" spans="1:22" ht="15.75" customHeight="1" x14ac:dyDescent="0.35">
      <c r="A345" s="47"/>
      <c r="I345" s="44"/>
      <c r="J345" s="44"/>
      <c r="K345" s="44"/>
      <c r="L345" s="44"/>
      <c r="M345" s="44"/>
      <c r="N345" s="44"/>
      <c r="O345" s="44"/>
      <c r="P345" s="44"/>
      <c r="Q345" s="44"/>
      <c r="R345" s="44"/>
      <c r="S345" s="44"/>
      <c r="T345" s="44"/>
      <c r="U345" s="44"/>
      <c r="V345" s="44"/>
    </row>
    <row r="346" spans="1:22" ht="15.75" customHeight="1" x14ac:dyDescent="0.35">
      <c r="A346" s="47"/>
      <c r="I346" s="44"/>
      <c r="J346" s="44"/>
      <c r="K346" s="44"/>
      <c r="L346" s="44"/>
      <c r="M346" s="44"/>
      <c r="N346" s="44"/>
      <c r="O346" s="44"/>
      <c r="P346" s="44"/>
      <c r="Q346" s="44"/>
      <c r="R346" s="44"/>
      <c r="S346" s="44"/>
      <c r="T346" s="44"/>
      <c r="U346" s="44"/>
      <c r="V346" s="44"/>
    </row>
    <row r="347" spans="1:22" ht="15.75" customHeight="1" x14ac:dyDescent="0.35">
      <c r="A347" s="47"/>
      <c r="I347" s="44"/>
      <c r="J347" s="44"/>
      <c r="K347" s="44"/>
      <c r="L347" s="44"/>
      <c r="M347" s="44"/>
      <c r="N347" s="44"/>
      <c r="O347" s="44"/>
      <c r="P347" s="44"/>
      <c r="Q347" s="44"/>
      <c r="R347" s="44"/>
      <c r="S347" s="44"/>
      <c r="T347" s="44"/>
      <c r="U347" s="44"/>
      <c r="V347" s="44"/>
    </row>
    <row r="348" spans="1:22" ht="15.75" customHeight="1" x14ac:dyDescent="0.35">
      <c r="A348" s="47"/>
      <c r="I348" s="44"/>
      <c r="J348" s="44"/>
      <c r="K348" s="44"/>
      <c r="L348" s="44"/>
      <c r="M348" s="44"/>
      <c r="N348" s="44"/>
      <c r="O348" s="44"/>
      <c r="P348" s="44"/>
      <c r="Q348" s="44"/>
      <c r="R348" s="44"/>
      <c r="S348" s="44"/>
      <c r="T348" s="44"/>
      <c r="U348" s="44"/>
      <c r="V348" s="44"/>
    </row>
    <row r="349" spans="1:22" ht="15.75" customHeight="1" x14ac:dyDescent="0.35">
      <c r="A349" s="47"/>
      <c r="I349" s="44"/>
      <c r="J349" s="44"/>
      <c r="K349" s="44"/>
      <c r="L349" s="44"/>
      <c r="M349" s="44"/>
      <c r="N349" s="44"/>
      <c r="O349" s="44"/>
      <c r="P349" s="44"/>
      <c r="Q349" s="44"/>
      <c r="R349" s="44"/>
      <c r="S349" s="44"/>
      <c r="T349" s="44"/>
      <c r="U349" s="44"/>
      <c r="V349" s="44"/>
    </row>
    <row r="350" spans="1:22" ht="15.75" customHeight="1" x14ac:dyDescent="0.35">
      <c r="A350" s="47"/>
      <c r="I350" s="44"/>
      <c r="J350" s="44"/>
      <c r="K350" s="44"/>
      <c r="L350" s="44"/>
      <c r="M350" s="44"/>
      <c r="N350" s="44"/>
      <c r="O350" s="44"/>
      <c r="P350" s="44"/>
      <c r="Q350" s="44"/>
      <c r="R350" s="44"/>
      <c r="S350" s="44"/>
      <c r="T350" s="44"/>
      <c r="U350" s="44"/>
      <c r="V350" s="44"/>
    </row>
    <row r="351" spans="1:22" ht="15.75" customHeight="1" x14ac:dyDescent="0.35">
      <c r="A351" s="47"/>
      <c r="I351" s="44"/>
      <c r="J351" s="44"/>
      <c r="K351" s="44"/>
      <c r="L351" s="44"/>
      <c r="M351" s="44"/>
      <c r="N351" s="44"/>
      <c r="O351" s="44"/>
      <c r="P351" s="44"/>
      <c r="Q351" s="44"/>
      <c r="R351" s="44"/>
      <c r="S351" s="44"/>
      <c r="T351" s="44"/>
      <c r="U351" s="44"/>
      <c r="V351" s="44"/>
    </row>
    <row r="352" spans="1:22" ht="15.75" customHeight="1" x14ac:dyDescent="0.35">
      <c r="A352" s="47"/>
      <c r="I352" s="44"/>
      <c r="J352" s="44"/>
      <c r="K352" s="44"/>
      <c r="L352" s="44"/>
      <c r="M352" s="44"/>
      <c r="N352" s="44"/>
      <c r="O352" s="44"/>
      <c r="P352" s="44"/>
      <c r="Q352" s="44"/>
      <c r="R352" s="44"/>
      <c r="S352" s="44"/>
      <c r="T352" s="44"/>
      <c r="U352" s="44"/>
      <c r="V352" s="44"/>
    </row>
    <row r="353" spans="1:22" ht="15.75" customHeight="1" x14ac:dyDescent="0.35">
      <c r="A353" s="47"/>
      <c r="I353" s="44"/>
      <c r="J353" s="44"/>
      <c r="K353" s="44"/>
      <c r="L353" s="44"/>
      <c r="M353" s="44"/>
      <c r="N353" s="44"/>
      <c r="O353" s="44"/>
      <c r="P353" s="44"/>
      <c r="Q353" s="44"/>
      <c r="R353" s="44"/>
      <c r="S353" s="44"/>
      <c r="T353" s="44"/>
      <c r="U353" s="44"/>
      <c r="V353" s="44"/>
    </row>
    <row r="354" spans="1:22" ht="15.75" customHeight="1" x14ac:dyDescent="0.35">
      <c r="A354" s="47"/>
      <c r="I354" s="44"/>
      <c r="J354" s="44"/>
      <c r="K354" s="44"/>
      <c r="L354" s="44"/>
      <c r="M354" s="44"/>
      <c r="N354" s="44"/>
      <c r="O354" s="44"/>
      <c r="P354" s="44"/>
      <c r="Q354" s="44"/>
      <c r="R354" s="44"/>
      <c r="S354" s="44"/>
      <c r="T354" s="44"/>
      <c r="U354" s="44"/>
      <c r="V354" s="44"/>
    </row>
    <row r="355" spans="1:22" ht="15.75" customHeight="1" x14ac:dyDescent="0.35">
      <c r="A355" s="47"/>
      <c r="I355" s="44"/>
      <c r="J355" s="44"/>
      <c r="K355" s="44"/>
      <c r="L355" s="44"/>
      <c r="M355" s="44"/>
      <c r="N355" s="44"/>
      <c r="O355" s="44"/>
      <c r="P355" s="44"/>
      <c r="Q355" s="44"/>
      <c r="R355" s="44"/>
      <c r="S355" s="44"/>
      <c r="T355" s="44"/>
      <c r="U355" s="44"/>
      <c r="V355" s="44"/>
    </row>
    <row r="356" spans="1:22" ht="15.75" customHeight="1" x14ac:dyDescent="0.35">
      <c r="A356" s="47"/>
      <c r="I356" s="44"/>
      <c r="J356" s="44"/>
      <c r="K356" s="44"/>
      <c r="L356" s="44"/>
      <c r="M356" s="44"/>
      <c r="N356" s="44"/>
      <c r="O356" s="44"/>
      <c r="P356" s="44"/>
      <c r="Q356" s="44"/>
      <c r="R356" s="44"/>
      <c r="S356" s="44"/>
      <c r="T356" s="44"/>
      <c r="U356" s="44"/>
      <c r="V356" s="44"/>
    </row>
    <row r="357" spans="1:22" ht="15.75" customHeight="1" x14ac:dyDescent="0.35">
      <c r="A357" s="47"/>
      <c r="I357" s="44"/>
      <c r="J357" s="44"/>
      <c r="K357" s="44"/>
      <c r="L357" s="44"/>
      <c r="M357" s="44"/>
      <c r="N357" s="44"/>
      <c r="O357" s="44"/>
      <c r="P357" s="44"/>
      <c r="Q357" s="44"/>
      <c r="R357" s="44"/>
      <c r="S357" s="44"/>
      <c r="T357" s="44"/>
      <c r="U357" s="44"/>
      <c r="V357" s="44"/>
    </row>
    <row r="358" spans="1:22" ht="15.75" customHeight="1" x14ac:dyDescent="0.35">
      <c r="A358" s="47"/>
      <c r="I358" s="44"/>
      <c r="J358" s="44"/>
      <c r="K358" s="44"/>
      <c r="L358" s="44"/>
      <c r="M358" s="44"/>
      <c r="N358" s="44"/>
      <c r="O358" s="44"/>
      <c r="P358" s="44"/>
      <c r="Q358" s="44"/>
      <c r="R358" s="44"/>
      <c r="S358" s="44"/>
      <c r="T358" s="44"/>
      <c r="U358" s="44"/>
      <c r="V358" s="44"/>
    </row>
    <row r="359" spans="1:22" ht="15.75" customHeight="1" x14ac:dyDescent="0.35">
      <c r="A359" s="47"/>
      <c r="I359" s="44"/>
      <c r="J359" s="44"/>
      <c r="K359" s="44"/>
      <c r="L359" s="44"/>
      <c r="M359" s="44"/>
      <c r="N359" s="44"/>
      <c r="O359" s="44"/>
      <c r="P359" s="44"/>
      <c r="Q359" s="44"/>
      <c r="R359" s="44"/>
      <c r="S359" s="44"/>
      <c r="T359" s="44"/>
      <c r="U359" s="44"/>
      <c r="V359" s="44"/>
    </row>
    <row r="360" spans="1:22" ht="15.75" customHeight="1" x14ac:dyDescent="0.35">
      <c r="A360" s="47"/>
      <c r="I360" s="44"/>
      <c r="J360" s="44"/>
      <c r="K360" s="44"/>
      <c r="L360" s="44"/>
      <c r="M360" s="44"/>
      <c r="N360" s="44"/>
      <c r="O360" s="44"/>
      <c r="P360" s="44"/>
      <c r="Q360" s="44"/>
      <c r="R360" s="44"/>
      <c r="S360" s="44"/>
      <c r="T360" s="44"/>
      <c r="U360" s="44"/>
      <c r="V360" s="44"/>
    </row>
    <row r="361" spans="1:22" ht="15.75" customHeight="1" x14ac:dyDescent="0.35">
      <c r="A361" s="47"/>
      <c r="I361" s="44"/>
      <c r="J361" s="44"/>
      <c r="K361" s="44"/>
      <c r="L361" s="44"/>
      <c r="M361" s="44"/>
      <c r="N361" s="44"/>
      <c r="O361" s="44"/>
      <c r="P361" s="44"/>
      <c r="Q361" s="44"/>
      <c r="R361" s="44"/>
      <c r="S361" s="44"/>
      <c r="T361" s="44"/>
      <c r="U361" s="44"/>
      <c r="V361" s="44"/>
    </row>
    <row r="362" spans="1:22" ht="15.75" customHeight="1" x14ac:dyDescent="0.35">
      <c r="A362" s="47"/>
      <c r="I362" s="44"/>
      <c r="J362" s="44"/>
      <c r="K362" s="44"/>
      <c r="L362" s="44"/>
      <c r="M362" s="44"/>
      <c r="N362" s="44"/>
      <c r="O362" s="44"/>
      <c r="P362" s="44"/>
      <c r="Q362" s="44"/>
      <c r="R362" s="44"/>
      <c r="S362" s="44"/>
      <c r="T362" s="44"/>
      <c r="U362" s="44"/>
      <c r="V362" s="44"/>
    </row>
    <row r="363" spans="1:22" ht="15.75" customHeight="1" x14ac:dyDescent="0.35">
      <c r="A363" s="47"/>
      <c r="I363" s="44"/>
      <c r="J363" s="44"/>
      <c r="K363" s="44"/>
      <c r="L363" s="44"/>
      <c r="M363" s="44"/>
      <c r="N363" s="44"/>
      <c r="O363" s="44"/>
      <c r="P363" s="44"/>
      <c r="Q363" s="44"/>
      <c r="R363" s="44"/>
      <c r="S363" s="44"/>
      <c r="T363" s="44"/>
      <c r="U363" s="44"/>
      <c r="V363" s="44"/>
    </row>
    <row r="364" spans="1:22" ht="15.75" customHeight="1" x14ac:dyDescent="0.35">
      <c r="A364" s="47"/>
      <c r="I364" s="44"/>
      <c r="J364" s="44"/>
      <c r="K364" s="44"/>
      <c r="L364" s="44"/>
      <c r="M364" s="44"/>
      <c r="N364" s="44"/>
      <c r="O364" s="44"/>
      <c r="P364" s="44"/>
      <c r="Q364" s="44"/>
      <c r="R364" s="44"/>
      <c r="S364" s="44"/>
      <c r="T364" s="44"/>
      <c r="U364" s="44"/>
      <c r="V364" s="44"/>
    </row>
    <row r="365" spans="1:22" ht="15.75" customHeight="1" x14ac:dyDescent="0.35">
      <c r="A365" s="47"/>
      <c r="I365" s="44"/>
      <c r="J365" s="44"/>
      <c r="K365" s="44"/>
      <c r="L365" s="44"/>
      <c r="M365" s="44"/>
      <c r="N365" s="44"/>
      <c r="O365" s="44"/>
      <c r="P365" s="44"/>
      <c r="Q365" s="44"/>
      <c r="R365" s="44"/>
      <c r="S365" s="44"/>
      <c r="T365" s="44"/>
      <c r="U365" s="44"/>
      <c r="V365" s="44"/>
    </row>
    <row r="366" spans="1:22" ht="15.75" customHeight="1" x14ac:dyDescent="0.35">
      <c r="A366" s="47"/>
      <c r="I366" s="44"/>
      <c r="J366" s="44"/>
      <c r="K366" s="44"/>
      <c r="L366" s="44"/>
      <c r="M366" s="44"/>
      <c r="N366" s="44"/>
      <c r="O366" s="44"/>
      <c r="P366" s="44"/>
      <c r="Q366" s="44"/>
      <c r="R366" s="44"/>
      <c r="S366" s="44"/>
      <c r="T366" s="44"/>
      <c r="U366" s="44"/>
      <c r="V366" s="44"/>
    </row>
    <row r="367" spans="1:22" ht="15.75" customHeight="1" x14ac:dyDescent="0.35">
      <c r="A367" s="47"/>
      <c r="I367" s="44"/>
      <c r="J367" s="44"/>
      <c r="K367" s="44"/>
      <c r="L367" s="44"/>
      <c r="M367" s="44"/>
      <c r="N367" s="44"/>
      <c r="O367" s="44"/>
      <c r="P367" s="44"/>
      <c r="Q367" s="44"/>
      <c r="R367" s="44"/>
      <c r="S367" s="44"/>
      <c r="T367" s="44"/>
      <c r="U367" s="44"/>
      <c r="V367" s="44"/>
    </row>
    <row r="368" spans="1:22" ht="15.75" customHeight="1" x14ac:dyDescent="0.35">
      <c r="A368" s="47"/>
      <c r="I368" s="44"/>
      <c r="J368" s="44"/>
      <c r="K368" s="44"/>
      <c r="L368" s="44"/>
      <c r="M368" s="44"/>
      <c r="N368" s="44"/>
      <c r="O368" s="44"/>
      <c r="P368" s="44"/>
      <c r="Q368" s="44"/>
      <c r="R368" s="44"/>
      <c r="S368" s="44"/>
      <c r="T368" s="44"/>
      <c r="U368" s="44"/>
      <c r="V368" s="44"/>
    </row>
    <row r="369" spans="1:22" ht="15.75" customHeight="1" x14ac:dyDescent="0.35">
      <c r="A369" s="47"/>
      <c r="I369" s="44"/>
      <c r="J369" s="44"/>
      <c r="K369" s="44"/>
      <c r="L369" s="44"/>
      <c r="M369" s="44"/>
      <c r="N369" s="44"/>
      <c r="O369" s="44"/>
      <c r="P369" s="44"/>
      <c r="Q369" s="44"/>
      <c r="R369" s="44"/>
      <c r="S369" s="44"/>
      <c r="T369" s="44"/>
      <c r="U369" s="44"/>
      <c r="V369" s="44"/>
    </row>
    <row r="370" spans="1:22" ht="15.75" customHeight="1" x14ac:dyDescent="0.35">
      <c r="A370" s="47"/>
      <c r="I370" s="44"/>
      <c r="J370" s="44"/>
      <c r="K370" s="44"/>
      <c r="L370" s="44"/>
      <c r="M370" s="44"/>
      <c r="N370" s="44"/>
      <c r="O370" s="44"/>
      <c r="P370" s="44"/>
      <c r="Q370" s="44"/>
      <c r="R370" s="44"/>
      <c r="S370" s="44"/>
      <c r="T370" s="44"/>
      <c r="U370" s="44"/>
      <c r="V370" s="44"/>
    </row>
    <row r="371" spans="1:22" ht="15.75" customHeight="1" x14ac:dyDescent="0.35">
      <c r="A371" s="47"/>
      <c r="I371" s="44"/>
      <c r="J371" s="44"/>
      <c r="K371" s="44"/>
      <c r="L371" s="44"/>
      <c r="M371" s="44"/>
      <c r="N371" s="44"/>
      <c r="O371" s="44"/>
      <c r="P371" s="44"/>
      <c r="Q371" s="44"/>
      <c r="R371" s="44"/>
      <c r="S371" s="44"/>
      <c r="T371" s="44"/>
      <c r="U371" s="44"/>
      <c r="V371" s="44"/>
    </row>
    <row r="372" spans="1:22" ht="15.75" customHeight="1" x14ac:dyDescent="0.35">
      <c r="A372" s="47"/>
      <c r="I372" s="44"/>
      <c r="J372" s="44"/>
      <c r="K372" s="44"/>
      <c r="L372" s="44"/>
      <c r="M372" s="44"/>
      <c r="N372" s="44"/>
      <c r="O372" s="44"/>
      <c r="P372" s="44"/>
      <c r="Q372" s="44"/>
      <c r="R372" s="44"/>
      <c r="S372" s="44"/>
      <c r="T372" s="44"/>
      <c r="U372" s="44"/>
      <c r="V372" s="44"/>
    </row>
    <row r="373" spans="1:22" ht="15.75" customHeight="1" x14ac:dyDescent="0.35">
      <c r="A373" s="47"/>
      <c r="I373" s="44"/>
      <c r="J373" s="44"/>
      <c r="K373" s="44"/>
      <c r="L373" s="44"/>
      <c r="M373" s="44"/>
      <c r="N373" s="44"/>
      <c r="O373" s="44"/>
      <c r="P373" s="44"/>
      <c r="Q373" s="44"/>
      <c r="R373" s="44"/>
      <c r="S373" s="44"/>
      <c r="T373" s="44"/>
      <c r="U373" s="44"/>
      <c r="V373" s="44"/>
    </row>
    <row r="374" spans="1:22" ht="15.75" customHeight="1" x14ac:dyDescent="0.35">
      <c r="A374" s="47"/>
      <c r="I374" s="44"/>
      <c r="J374" s="44"/>
      <c r="K374" s="44"/>
      <c r="L374" s="44"/>
      <c r="M374" s="44"/>
      <c r="N374" s="44"/>
      <c r="O374" s="44"/>
      <c r="P374" s="44"/>
      <c r="Q374" s="44"/>
      <c r="R374" s="44"/>
      <c r="S374" s="44"/>
      <c r="T374" s="44"/>
      <c r="U374" s="44"/>
      <c r="V374" s="44"/>
    </row>
    <row r="375" spans="1:22" ht="15.75" customHeight="1" x14ac:dyDescent="0.35">
      <c r="A375" s="47"/>
      <c r="I375" s="44"/>
      <c r="J375" s="44"/>
      <c r="K375" s="44"/>
      <c r="L375" s="44"/>
      <c r="M375" s="44"/>
      <c r="N375" s="44"/>
      <c r="O375" s="44"/>
      <c r="P375" s="44"/>
      <c r="Q375" s="44"/>
      <c r="R375" s="44"/>
      <c r="S375" s="44"/>
      <c r="T375" s="44"/>
      <c r="U375" s="44"/>
      <c r="V375" s="44"/>
    </row>
    <row r="376" spans="1:22" ht="15.75" customHeight="1" x14ac:dyDescent="0.35">
      <c r="A376" s="47"/>
      <c r="I376" s="44"/>
      <c r="J376" s="44"/>
      <c r="K376" s="44"/>
      <c r="L376" s="44"/>
      <c r="M376" s="44"/>
      <c r="N376" s="44"/>
      <c r="O376" s="44"/>
      <c r="P376" s="44"/>
      <c r="Q376" s="44"/>
      <c r="R376" s="44"/>
      <c r="S376" s="44"/>
      <c r="T376" s="44"/>
      <c r="U376" s="44"/>
      <c r="V376" s="44"/>
    </row>
    <row r="377" spans="1:22" ht="15.75" customHeight="1" x14ac:dyDescent="0.35">
      <c r="A377" s="47"/>
      <c r="I377" s="44"/>
      <c r="J377" s="44"/>
      <c r="K377" s="44"/>
      <c r="L377" s="44"/>
      <c r="M377" s="44"/>
      <c r="N377" s="44"/>
      <c r="O377" s="44"/>
      <c r="P377" s="44"/>
      <c r="Q377" s="44"/>
      <c r="R377" s="44"/>
      <c r="S377" s="44"/>
      <c r="T377" s="44"/>
      <c r="U377" s="44"/>
      <c r="V377" s="44"/>
    </row>
    <row r="378" spans="1:22" ht="15.75" customHeight="1" x14ac:dyDescent="0.35">
      <c r="A378" s="47"/>
      <c r="I378" s="44"/>
      <c r="J378" s="44"/>
      <c r="K378" s="44"/>
      <c r="L378" s="44"/>
      <c r="M378" s="44"/>
      <c r="N378" s="44"/>
      <c r="O378" s="44"/>
      <c r="P378" s="44"/>
      <c r="Q378" s="44"/>
      <c r="R378" s="44"/>
      <c r="S378" s="44"/>
      <c r="T378" s="44"/>
      <c r="U378" s="44"/>
      <c r="V378" s="44"/>
    </row>
    <row r="379" spans="1:22" ht="15.75" customHeight="1" x14ac:dyDescent="0.35">
      <c r="A379" s="47"/>
      <c r="I379" s="44"/>
      <c r="J379" s="44"/>
      <c r="K379" s="44"/>
      <c r="L379" s="44"/>
      <c r="M379" s="44"/>
      <c r="N379" s="44"/>
      <c r="O379" s="44"/>
      <c r="P379" s="44"/>
      <c r="Q379" s="44"/>
      <c r="R379" s="44"/>
      <c r="S379" s="44"/>
      <c r="T379" s="44"/>
      <c r="U379" s="44"/>
      <c r="V379" s="44"/>
    </row>
    <row r="380" spans="1:22" ht="15.75" customHeight="1" x14ac:dyDescent="0.35">
      <c r="A380" s="47"/>
      <c r="I380" s="44"/>
      <c r="J380" s="44"/>
      <c r="K380" s="44"/>
      <c r="L380" s="44"/>
      <c r="M380" s="44"/>
      <c r="N380" s="44"/>
      <c r="O380" s="44"/>
      <c r="P380" s="44"/>
      <c r="Q380" s="44"/>
      <c r="R380" s="44"/>
      <c r="S380" s="44"/>
      <c r="T380" s="44"/>
      <c r="U380" s="44"/>
      <c r="V380" s="44"/>
    </row>
    <row r="381" spans="1:22" ht="15.75" customHeight="1" x14ac:dyDescent="0.35">
      <c r="A381" s="47"/>
      <c r="I381" s="44"/>
      <c r="J381" s="44"/>
      <c r="K381" s="44"/>
      <c r="L381" s="44"/>
      <c r="M381" s="44"/>
      <c r="N381" s="44"/>
      <c r="O381" s="44"/>
      <c r="P381" s="44"/>
      <c r="Q381" s="44"/>
      <c r="R381" s="44"/>
      <c r="S381" s="44"/>
      <c r="T381" s="44"/>
      <c r="U381" s="44"/>
      <c r="V381" s="44"/>
    </row>
    <row r="382" spans="1:22" ht="15.75" customHeight="1" x14ac:dyDescent="0.35">
      <c r="A382" s="47"/>
      <c r="I382" s="44"/>
      <c r="J382" s="44"/>
      <c r="K382" s="44"/>
      <c r="L382" s="44"/>
      <c r="M382" s="44"/>
      <c r="N382" s="44"/>
      <c r="O382" s="44"/>
      <c r="P382" s="44"/>
      <c r="Q382" s="44"/>
      <c r="R382" s="44"/>
      <c r="S382" s="44"/>
      <c r="T382" s="44"/>
      <c r="U382" s="44"/>
      <c r="V382" s="44"/>
    </row>
    <row r="383" spans="1:22" ht="15.75" customHeight="1" x14ac:dyDescent="0.35">
      <c r="A383" s="47"/>
      <c r="I383" s="44"/>
      <c r="J383" s="44"/>
      <c r="K383" s="44"/>
      <c r="L383" s="44"/>
      <c r="M383" s="44"/>
      <c r="N383" s="44"/>
      <c r="O383" s="44"/>
      <c r="P383" s="44"/>
      <c r="Q383" s="44"/>
      <c r="R383" s="44"/>
      <c r="S383" s="44"/>
      <c r="T383" s="44"/>
      <c r="U383" s="44"/>
      <c r="V383" s="44"/>
    </row>
    <row r="384" spans="1:22" ht="15.75" customHeight="1" x14ac:dyDescent="0.35">
      <c r="A384" s="47"/>
      <c r="I384" s="44"/>
      <c r="J384" s="44"/>
      <c r="K384" s="44"/>
      <c r="L384" s="44"/>
      <c r="M384" s="44"/>
      <c r="N384" s="44"/>
      <c r="O384" s="44"/>
      <c r="P384" s="44"/>
      <c r="Q384" s="44"/>
      <c r="R384" s="44"/>
      <c r="S384" s="44"/>
      <c r="T384" s="44"/>
      <c r="U384" s="44"/>
      <c r="V384" s="44"/>
    </row>
    <row r="385" spans="1:22" ht="15.75" customHeight="1" x14ac:dyDescent="0.35">
      <c r="A385" s="47"/>
      <c r="I385" s="44"/>
      <c r="J385" s="44"/>
      <c r="K385" s="44"/>
      <c r="L385" s="44"/>
      <c r="M385" s="44"/>
      <c r="N385" s="44"/>
      <c r="O385" s="44"/>
      <c r="P385" s="44"/>
      <c r="Q385" s="44"/>
      <c r="R385" s="44"/>
      <c r="S385" s="44"/>
      <c r="T385" s="44"/>
      <c r="U385" s="44"/>
      <c r="V385" s="44"/>
    </row>
    <row r="386" spans="1:22" ht="15.75" customHeight="1" x14ac:dyDescent="0.35">
      <c r="A386" s="47"/>
      <c r="I386" s="44"/>
      <c r="J386" s="44"/>
      <c r="K386" s="44"/>
      <c r="L386" s="44"/>
      <c r="M386" s="44"/>
      <c r="N386" s="44"/>
      <c r="O386" s="44"/>
      <c r="P386" s="44"/>
      <c r="Q386" s="44"/>
      <c r="R386" s="44"/>
      <c r="S386" s="44"/>
      <c r="T386" s="44"/>
      <c r="U386" s="44"/>
      <c r="V386" s="44"/>
    </row>
    <row r="387" spans="1:22" ht="15.75" customHeight="1" x14ac:dyDescent="0.35">
      <c r="A387" s="47"/>
      <c r="I387" s="44"/>
      <c r="J387" s="44"/>
      <c r="K387" s="44"/>
      <c r="L387" s="44"/>
      <c r="M387" s="44"/>
      <c r="N387" s="44"/>
      <c r="O387" s="44"/>
      <c r="P387" s="44"/>
      <c r="Q387" s="44"/>
      <c r="R387" s="44"/>
      <c r="S387" s="44"/>
      <c r="T387" s="44"/>
      <c r="U387" s="44"/>
      <c r="V387" s="44"/>
    </row>
    <row r="388" spans="1:22" ht="15.75" customHeight="1" x14ac:dyDescent="0.35">
      <c r="A388" s="47"/>
      <c r="I388" s="44"/>
      <c r="J388" s="44"/>
      <c r="K388" s="44"/>
      <c r="L388" s="44"/>
      <c r="M388" s="44"/>
      <c r="N388" s="44"/>
      <c r="O388" s="44"/>
      <c r="P388" s="44"/>
      <c r="Q388" s="44"/>
      <c r="R388" s="44"/>
      <c r="S388" s="44"/>
      <c r="T388" s="44"/>
      <c r="U388" s="44"/>
      <c r="V388" s="44"/>
    </row>
    <row r="389" spans="1:22" ht="15.75" customHeight="1" x14ac:dyDescent="0.35">
      <c r="A389" s="47"/>
      <c r="I389" s="44"/>
      <c r="J389" s="44"/>
      <c r="K389" s="44"/>
      <c r="L389" s="44"/>
      <c r="M389" s="44"/>
      <c r="N389" s="44"/>
      <c r="O389" s="44"/>
      <c r="P389" s="44"/>
      <c r="Q389" s="44"/>
      <c r="R389" s="44"/>
      <c r="S389" s="44"/>
      <c r="T389" s="44"/>
      <c r="U389" s="44"/>
      <c r="V389" s="44"/>
    </row>
    <row r="390" spans="1:22" ht="15.75" customHeight="1" x14ac:dyDescent="0.35">
      <c r="A390" s="47"/>
      <c r="I390" s="44"/>
      <c r="J390" s="44"/>
      <c r="K390" s="44"/>
      <c r="L390" s="44"/>
      <c r="M390" s="44"/>
      <c r="N390" s="44"/>
      <c r="O390" s="44"/>
      <c r="P390" s="44"/>
      <c r="Q390" s="44"/>
      <c r="R390" s="44"/>
      <c r="S390" s="44"/>
      <c r="T390" s="44"/>
      <c r="U390" s="44"/>
      <c r="V390" s="44"/>
    </row>
    <row r="391" spans="1:22" ht="15.75" customHeight="1" x14ac:dyDescent="0.35">
      <c r="A391" s="47"/>
      <c r="I391" s="44"/>
      <c r="J391" s="44"/>
      <c r="K391" s="44"/>
      <c r="L391" s="44"/>
      <c r="M391" s="44"/>
      <c r="N391" s="44"/>
      <c r="O391" s="44"/>
      <c r="P391" s="44"/>
      <c r="Q391" s="44"/>
      <c r="R391" s="44"/>
      <c r="S391" s="44"/>
      <c r="T391" s="44"/>
      <c r="U391" s="44"/>
      <c r="V391" s="44"/>
    </row>
    <row r="392" spans="1:22" ht="15.75" customHeight="1" x14ac:dyDescent="0.35">
      <c r="A392" s="47"/>
      <c r="I392" s="44"/>
      <c r="J392" s="44"/>
      <c r="K392" s="44"/>
      <c r="L392" s="44"/>
      <c r="M392" s="44"/>
      <c r="N392" s="44"/>
      <c r="O392" s="44"/>
      <c r="P392" s="44"/>
      <c r="Q392" s="44"/>
      <c r="R392" s="44"/>
      <c r="S392" s="44"/>
      <c r="T392" s="44"/>
      <c r="U392" s="44"/>
      <c r="V392" s="44"/>
    </row>
    <row r="393" spans="1:22" ht="15.75" customHeight="1" x14ac:dyDescent="0.35">
      <c r="A393" s="47"/>
      <c r="I393" s="44"/>
      <c r="J393" s="44"/>
      <c r="K393" s="44"/>
      <c r="L393" s="44"/>
      <c r="M393" s="44"/>
      <c r="N393" s="44"/>
      <c r="O393" s="44"/>
      <c r="P393" s="44"/>
      <c r="Q393" s="44"/>
      <c r="R393" s="44"/>
      <c r="S393" s="44"/>
      <c r="T393" s="44"/>
      <c r="U393" s="44"/>
      <c r="V393" s="44"/>
    </row>
    <row r="394" spans="1:22" ht="15.75" customHeight="1" x14ac:dyDescent="0.35">
      <c r="A394" s="47"/>
      <c r="I394" s="44"/>
      <c r="J394" s="44"/>
      <c r="K394" s="44"/>
      <c r="L394" s="44"/>
      <c r="M394" s="44"/>
      <c r="N394" s="44"/>
      <c r="O394" s="44"/>
      <c r="P394" s="44"/>
      <c r="Q394" s="44"/>
      <c r="R394" s="44"/>
      <c r="S394" s="44"/>
      <c r="T394" s="44"/>
      <c r="U394" s="44"/>
      <c r="V394" s="44"/>
    </row>
    <row r="395" spans="1:22" ht="15.75" customHeight="1" x14ac:dyDescent="0.35">
      <c r="A395" s="47"/>
      <c r="I395" s="44"/>
      <c r="J395" s="44"/>
      <c r="K395" s="44"/>
      <c r="L395" s="44"/>
      <c r="M395" s="44"/>
      <c r="N395" s="44"/>
      <c r="O395" s="44"/>
      <c r="P395" s="44"/>
      <c r="Q395" s="44"/>
      <c r="R395" s="44"/>
      <c r="S395" s="44"/>
      <c r="T395" s="44"/>
      <c r="U395" s="44"/>
      <c r="V395" s="44"/>
    </row>
    <row r="396" spans="1:22" ht="15.75" customHeight="1" x14ac:dyDescent="0.35">
      <c r="A396" s="47"/>
      <c r="I396" s="44"/>
      <c r="J396" s="44"/>
      <c r="K396" s="44"/>
      <c r="L396" s="44"/>
      <c r="M396" s="44"/>
      <c r="N396" s="44"/>
      <c r="O396" s="44"/>
      <c r="P396" s="44"/>
      <c r="Q396" s="44"/>
      <c r="R396" s="44"/>
      <c r="S396" s="44"/>
      <c r="T396" s="44"/>
      <c r="U396" s="44"/>
      <c r="V396" s="44"/>
    </row>
    <row r="397" spans="1:22" ht="15.75" customHeight="1" x14ac:dyDescent="0.35">
      <c r="A397" s="47"/>
      <c r="I397" s="44"/>
      <c r="J397" s="44"/>
      <c r="K397" s="44"/>
      <c r="L397" s="44"/>
      <c r="M397" s="44"/>
      <c r="N397" s="44"/>
      <c r="O397" s="44"/>
      <c r="P397" s="44"/>
      <c r="Q397" s="44"/>
      <c r="R397" s="44"/>
      <c r="S397" s="44"/>
      <c r="T397" s="44"/>
      <c r="U397" s="44"/>
      <c r="V397" s="44"/>
    </row>
    <row r="398" spans="1:22" ht="15.75" customHeight="1" x14ac:dyDescent="0.35">
      <c r="A398" s="47"/>
      <c r="I398" s="44"/>
      <c r="J398" s="44"/>
      <c r="K398" s="44"/>
      <c r="L398" s="44"/>
      <c r="M398" s="44"/>
      <c r="N398" s="44"/>
      <c r="O398" s="44"/>
      <c r="P398" s="44"/>
      <c r="Q398" s="44"/>
      <c r="R398" s="44"/>
      <c r="S398" s="44"/>
      <c r="T398" s="44"/>
      <c r="U398" s="44"/>
      <c r="V398" s="44"/>
    </row>
    <row r="399" spans="1:22" ht="15.75" customHeight="1" x14ac:dyDescent="0.35">
      <c r="A399" s="47"/>
      <c r="I399" s="44"/>
      <c r="J399" s="44"/>
      <c r="K399" s="44"/>
      <c r="L399" s="44"/>
      <c r="M399" s="44"/>
      <c r="N399" s="44"/>
      <c r="O399" s="44"/>
      <c r="P399" s="44"/>
      <c r="Q399" s="44"/>
      <c r="R399" s="44"/>
      <c r="S399" s="44"/>
      <c r="T399" s="44"/>
      <c r="U399" s="44"/>
      <c r="V399" s="44"/>
    </row>
    <row r="400" spans="1:22" ht="15.75" customHeight="1" x14ac:dyDescent="0.35">
      <c r="A400" s="47"/>
      <c r="I400" s="44"/>
      <c r="J400" s="44"/>
      <c r="K400" s="44"/>
      <c r="L400" s="44"/>
      <c r="M400" s="44"/>
      <c r="N400" s="44"/>
      <c r="O400" s="44"/>
      <c r="P400" s="44"/>
      <c r="Q400" s="44"/>
      <c r="R400" s="44"/>
      <c r="S400" s="44"/>
      <c r="T400" s="44"/>
      <c r="U400" s="44"/>
      <c r="V400" s="44"/>
    </row>
    <row r="401" spans="1:22" ht="15.75" customHeight="1" x14ac:dyDescent="0.35">
      <c r="A401" s="47"/>
      <c r="I401" s="44"/>
      <c r="J401" s="44"/>
      <c r="K401" s="44"/>
      <c r="L401" s="44"/>
      <c r="M401" s="44"/>
      <c r="N401" s="44"/>
      <c r="O401" s="44"/>
      <c r="P401" s="44"/>
      <c r="Q401" s="44"/>
      <c r="R401" s="44"/>
      <c r="S401" s="44"/>
      <c r="T401" s="44"/>
      <c r="U401" s="44"/>
      <c r="V401" s="44"/>
    </row>
    <row r="402" spans="1:22" ht="15.75" customHeight="1" x14ac:dyDescent="0.35">
      <c r="A402" s="47"/>
      <c r="I402" s="44"/>
      <c r="J402" s="44"/>
      <c r="K402" s="44"/>
      <c r="L402" s="44"/>
      <c r="M402" s="44"/>
      <c r="N402" s="44"/>
      <c r="O402" s="44"/>
      <c r="P402" s="44"/>
      <c r="Q402" s="44"/>
      <c r="R402" s="44"/>
      <c r="S402" s="44"/>
      <c r="T402" s="44"/>
      <c r="U402" s="44"/>
      <c r="V402" s="44"/>
    </row>
    <row r="403" spans="1:22" ht="15.75" customHeight="1" x14ac:dyDescent="0.35">
      <c r="A403" s="47"/>
      <c r="I403" s="44"/>
      <c r="J403" s="44"/>
      <c r="K403" s="44"/>
      <c r="L403" s="44"/>
      <c r="M403" s="44"/>
      <c r="N403" s="44"/>
      <c r="O403" s="44"/>
      <c r="P403" s="44"/>
      <c r="Q403" s="44"/>
      <c r="R403" s="44"/>
      <c r="S403" s="44"/>
      <c r="T403" s="44"/>
      <c r="U403" s="44"/>
      <c r="V403" s="44"/>
    </row>
    <row r="404" spans="1:22" ht="15.75" customHeight="1" x14ac:dyDescent="0.35">
      <c r="A404" s="47"/>
      <c r="I404" s="44"/>
      <c r="J404" s="44"/>
      <c r="K404" s="44"/>
      <c r="L404" s="44"/>
      <c r="M404" s="44"/>
      <c r="N404" s="44"/>
      <c r="O404" s="44"/>
      <c r="P404" s="44"/>
      <c r="Q404" s="44"/>
      <c r="R404" s="44"/>
      <c r="S404" s="44"/>
      <c r="T404" s="44"/>
      <c r="U404" s="44"/>
      <c r="V404" s="44"/>
    </row>
    <row r="405" spans="1:22" ht="15.75" customHeight="1" x14ac:dyDescent="0.35">
      <c r="A405" s="47"/>
      <c r="I405" s="44"/>
      <c r="J405" s="44"/>
      <c r="K405" s="44"/>
      <c r="L405" s="44"/>
      <c r="M405" s="44"/>
      <c r="N405" s="44"/>
      <c r="O405" s="44"/>
      <c r="P405" s="44"/>
      <c r="Q405" s="44"/>
      <c r="R405" s="44"/>
      <c r="S405" s="44"/>
      <c r="T405" s="44"/>
      <c r="U405" s="44"/>
      <c r="V405" s="44"/>
    </row>
    <row r="406" spans="1:22" ht="15.75" customHeight="1" x14ac:dyDescent="0.35">
      <c r="A406" s="47"/>
      <c r="I406" s="44"/>
      <c r="J406" s="44"/>
      <c r="K406" s="44"/>
      <c r="L406" s="44"/>
      <c r="M406" s="44"/>
      <c r="N406" s="44"/>
      <c r="O406" s="44"/>
      <c r="P406" s="44"/>
      <c r="Q406" s="44"/>
      <c r="R406" s="44"/>
      <c r="S406" s="44"/>
      <c r="T406" s="44"/>
      <c r="U406" s="44"/>
      <c r="V406" s="44"/>
    </row>
    <row r="407" spans="1:22" ht="15.75" customHeight="1" x14ac:dyDescent="0.35">
      <c r="A407" s="47"/>
      <c r="I407" s="44"/>
      <c r="J407" s="44"/>
      <c r="K407" s="44"/>
      <c r="L407" s="44"/>
      <c r="M407" s="44"/>
      <c r="N407" s="44"/>
      <c r="O407" s="44"/>
      <c r="P407" s="44"/>
      <c r="Q407" s="44"/>
      <c r="R407" s="44"/>
      <c r="S407" s="44"/>
      <c r="T407" s="44"/>
      <c r="U407" s="44"/>
      <c r="V407" s="44"/>
    </row>
    <row r="408" spans="1:22" ht="15.75" customHeight="1" x14ac:dyDescent="0.35">
      <c r="A408" s="47"/>
      <c r="I408" s="44"/>
      <c r="J408" s="44"/>
      <c r="K408" s="44"/>
      <c r="L408" s="44"/>
      <c r="M408" s="44"/>
      <c r="N408" s="44"/>
      <c r="O408" s="44"/>
      <c r="P408" s="44"/>
      <c r="Q408" s="44"/>
      <c r="R408" s="44"/>
      <c r="S408" s="44"/>
      <c r="T408" s="44"/>
      <c r="U408" s="44"/>
      <c r="V408" s="44"/>
    </row>
    <row r="409" spans="1:22" ht="15.75" customHeight="1" x14ac:dyDescent="0.35">
      <c r="A409" s="47"/>
      <c r="I409" s="44"/>
      <c r="J409" s="44"/>
      <c r="K409" s="44"/>
      <c r="L409" s="44"/>
      <c r="M409" s="44"/>
      <c r="N409" s="44"/>
      <c r="O409" s="44"/>
      <c r="P409" s="44"/>
      <c r="Q409" s="44"/>
      <c r="R409" s="44"/>
      <c r="S409" s="44"/>
      <c r="T409" s="44"/>
      <c r="U409" s="44"/>
      <c r="V409" s="44"/>
    </row>
    <row r="410" spans="1:22" ht="15.75" customHeight="1" x14ac:dyDescent="0.35">
      <c r="A410" s="47"/>
      <c r="I410" s="44"/>
      <c r="J410" s="44"/>
      <c r="K410" s="44"/>
      <c r="L410" s="44"/>
      <c r="M410" s="44"/>
      <c r="N410" s="44"/>
      <c r="O410" s="44"/>
      <c r="P410" s="44"/>
      <c r="Q410" s="44"/>
      <c r="R410" s="44"/>
      <c r="S410" s="44"/>
      <c r="T410" s="44"/>
      <c r="U410" s="44"/>
      <c r="V410" s="44"/>
    </row>
    <row r="411" spans="1:22" ht="15.75" customHeight="1" x14ac:dyDescent="0.35">
      <c r="A411" s="47"/>
      <c r="I411" s="44"/>
      <c r="J411" s="44"/>
      <c r="K411" s="44"/>
      <c r="L411" s="44"/>
      <c r="M411" s="44"/>
      <c r="N411" s="44"/>
      <c r="O411" s="44"/>
      <c r="P411" s="44"/>
      <c r="Q411" s="44"/>
      <c r="R411" s="44"/>
      <c r="S411" s="44"/>
      <c r="T411" s="44"/>
      <c r="U411" s="44"/>
      <c r="V411" s="44"/>
    </row>
    <row r="412" spans="1:22" ht="15.75" customHeight="1" x14ac:dyDescent="0.35">
      <c r="A412" s="47"/>
      <c r="I412" s="44"/>
      <c r="J412" s="44"/>
      <c r="K412" s="44"/>
      <c r="L412" s="44"/>
      <c r="M412" s="44"/>
      <c r="N412" s="44"/>
      <c r="O412" s="44"/>
      <c r="P412" s="44"/>
      <c r="Q412" s="44"/>
      <c r="R412" s="44"/>
      <c r="S412" s="44"/>
      <c r="T412" s="44"/>
      <c r="U412" s="44"/>
      <c r="V412" s="44"/>
    </row>
    <row r="413" spans="1:22" ht="15.75" customHeight="1" x14ac:dyDescent="0.35">
      <c r="A413" s="47"/>
      <c r="I413" s="44"/>
      <c r="J413" s="44"/>
      <c r="K413" s="44"/>
      <c r="L413" s="44"/>
      <c r="M413" s="44"/>
      <c r="N413" s="44"/>
      <c r="O413" s="44"/>
      <c r="P413" s="44"/>
      <c r="Q413" s="44"/>
      <c r="R413" s="44"/>
      <c r="S413" s="44"/>
      <c r="T413" s="44"/>
      <c r="U413" s="44"/>
      <c r="V413" s="44"/>
    </row>
    <row r="414" spans="1:22" ht="15.75" customHeight="1" x14ac:dyDescent="0.35">
      <c r="A414" s="47"/>
      <c r="I414" s="44"/>
      <c r="J414" s="44"/>
      <c r="K414" s="44"/>
      <c r="L414" s="44"/>
      <c r="M414" s="44"/>
      <c r="N414" s="44"/>
      <c r="O414" s="44"/>
      <c r="P414" s="44"/>
      <c r="Q414" s="44"/>
      <c r="R414" s="44"/>
      <c r="S414" s="44"/>
      <c r="T414" s="44"/>
      <c r="U414" s="44"/>
      <c r="V414" s="44"/>
    </row>
    <row r="415" spans="1:22" ht="15.75" customHeight="1" x14ac:dyDescent="0.35">
      <c r="A415" s="47"/>
      <c r="I415" s="44"/>
      <c r="J415" s="44"/>
      <c r="K415" s="44"/>
      <c r="L415" s="44"/>
      <c r="M415" s="44"/>
      <c r="N415" s="44"/>
      <c r="O415" s="44"/>
      <c r="P415" s="44"/>
      <c r="Q415" s="44"/>
      <c r="R415" s="44"/>
      <c r="S415" s="44"/>
      <c r="T415" s="44"/>
      <c r="U415" s="44"/>
      <c r="V415" s="44"/>
    </row>
    <row r="416" spans="1:22" ht="15.75" customHeight="1" x14ac:dyDescent="0.35">
      <c r="A416" s="47"/>
      <c r="I416" s="44"/>
      <c r="J416" s="44"/>
      <c r="K416" s="44"/>
      <c r="L416" s="44"/>
      <c r="M416" s="44"/>
      <c r="N416" s="44"/>
      <c r="O416" s="44"/>
      <c r="P416" s="44"/>
      <c r="Q416" s="44"/>
      <c r="R416" s="44"/>
      <c r="S416" s="44"/>
      <c r="T416" s="44"/>
      <c r="U416" s="44"/>
      <c r="V416" s="44"/>
    </row>
    <row r="417" spans="1:22" ht="15.75" customHeight="1" x14ac:dyDescent="0.35">
      <c r="A417" s="47"/>
      <c r="I417" s="44"/>
      <c r="J417" s="44"/>
      <c r="K417" s="44"/>
      <c r="L417" s="44"/>
      <c r="M417" s="44"/>
      <c r="N417" s="44"/>
      <c r="O417" s="44"/>
      <c r="P417" s="44"/>
      <c r="Q417" s="44"/>
      <c r="R417" s="44"/>
      <c r="S417" s="44"/>
      <c r="T417" s="44"/>
      <c r="U417" s="44"/>
      <c r="V417" s="44"/>
    </row>
    <row r="418" spans="1:22" ht="15.75" customHeight="1" x14ac:dyDescent="0.35">
      <c r="A418" s="47"/>
      <c r="I418" s="44"/>
      <c r="J418" s="44"/>
      <c r="K418" s="44"/>
      <c r="L418" s="44"/>
      <c r="M418" s="44"/>
      <c r="N418" s="44"/>
      <c r="O418" s="44"/>
      <c r="P418" s="44"/>
      <c r="Q418" s="44"/>
      <c r="R418" s="44"/>
      <c r="S418" s="44"/>
      <c r="T418" s="44"/>
      <c r="U418" s="44"/>
      <c r="V418" s="44"/>
    </row>
    <row r="419" spans="1:22" ht="15.75" customHeight="1" x14ac:dyDescent="0.35">
      <c r="A419" s="47"/>
      <c r="I419" s="44"/>
      <c r="J419" s="44"/>
      <c r="K419" s="44"/>
      <c r="L419" s="44"/>
      <c r="M419" s="44"/>
      <c r="N419" s="44"/>
      <c r="O419" s="44"/>
      <c r="P419" s="44"/>
      <c r="Q419" s="44"/>
      <c r="R419" s="44"/>
      <c r="S419" s="44"/>
      <c r="T419" s="44"/>
      <c r="U419" s="44"/>
      <c r="V419" s="44"/>
    </row>
    <row r="420" spans="1:22" ht="15.75" customHeight="1" x14ac:dyDescent="0.35">
      <c r="A420" s="47"/>
      <c r="I420" s="44"/>
      <c r="J420" s="44"/>
      <c r="K420" s="44"/>
      <c r="L420" s="44"/>
      <c r="M420" s="44"/>
      <c r="N420" s="44"/>
      <c r="O420" s="44"/>
      <c r="P420" s="44"/>
      <c r="Q420" s="44"/>
      <c r="R420" s="44"/>
      <c r="S420" s="44"/>
      <c r="T420" s="44"/>
      <c r="U420" s="44"/>
      <c r="V420" s="44"/>
    </row>
    <row r="421" spans="1:22" ht="15.75" customHeight="1" x14ac:dyDescent="0.35">
      <c r="A421" s="47"/>
      <c r="I421" s="44"/>
      <c r="J421" s="44"/>
      <c r="K421" s="44"/>
      <c r="L421" s="44"/>
      <c r="M421" s="44"/>
      <c r="N421" s="44"/>
      <c r="O421" s="44"/>
      <c r="P421" s="44"/>
      <c r="Q421" s="44"/>
      <c r="R421" s="44"/>
      <c r="S421" s="44"/>
      <c r="T421" s="44"/>
      <c r="U421" s="44"/>
      <c r="V421" s="44"/>
    </row>
    <row r="422" spans="1:22" ht="15.75" customHeight="1" x14ac:dyDescent="0.35">
      <c r="A422" s="47"/>
      <c r="I422" s="44"/>
      <c r="J422" s="44"/>
      <c r="K422" s="44"/>
      <c r="L422" s="44"/>
      <c r="M422" s="44"/>
      <c r="N422" s="44"/>
      <c r="O422" s="44"/>
      <c r="P422" s="44"/>
      <c r="Q422" s="44"/>
      <c r="R422" s="44"/>
      <c r="S422" s="44"/>
      <c r="T422" s="44"/>
      <c r="U422" s="44"/>
      <c r="V422" s="44"/>
    </row>
    <row r="423" spans="1:22" ht="15.75" customHeight="1" x14ac:dyDescent="0.35">
      <c r="A423" s="47"/>
      <c r="I423" s="44"/>
      <c r="J423" s="44"/>
      <c r="K423" s="44"/>
      <c r="L423" s="44"/>
      <c r="M423" s="44"/>
      <c r="N423" s="44"/>
      <c r="O423" s="44"/>
      <c r="P423" s="44"/>
      <c r="Q423" s="44"/>
      <c r="R423" s="44"/>
      <c r="S423" s="44"/>
      <c r="T423" s="44"/>
      <c r="U423" s="44"/>
      <c r="V423" s="44"/>
    </row>
    <row r="424" spans="1:22" ht="15.75" customHeight="1" x14ac:dyDescent="0.35">
      <c r="A424" s="47"/>
      <c r="I424" s="44"/>
      <c r="J424" s="44"/>
      <c r="K424" s="44"/>
      <c r="L424" s="44"/>
      <c r="M424" s="44"/>
      <c r="N424" s="44"/>
      <c r="O424" s="44"/>
      <c r="P424" s="44"/>
      <c r="Q424" s="44"/>
      <c r="R424" s="44"/>
      <c r="S424" s="44"/>
      <c r="T424" s="44"/>
      <c r="U424" s="44"/>
      <c r="V424" s="44"/>
    </row>
    <row r="425" spans="1:22" ht="15.75" customHeight="1" x14ac:dyDescent="0.35">
      <c r="A425" s="47"/>
      <c r="I425" s="44"/>
      <c r="J425" s="44"/>
      <c r="K425" s="44"/>
      <c r="L425" s="44"/>
      <c r="M425" s="44"/>
      <c r="N425" s="44"/>
      <c r="O425" s="44"/>
      <c r="P425" s="44"/>
      <c r="Q425" s="44"/>
      <c r="R425" s="44"/>
      <c r="S425" s="44"/>
      <c r="T425" s="44"/>
      <c r="U425" s="44"/>
      <c r="V425" s="44"/>
    </row>
    <row r="426" spans="1:22" ht="15.75" customHeight="1" x14ac:dyDescent="0.35">
      <c r="A426" s="47"/>
      <c r="I426" s="44"/>
      <c r="J426" s="44"/>
      <c r="K426" s="44"/>
      <c r="L426" s="44"/>
      <c r="M426" s="44"/>
      <c r="N426" s="44"/>
      <c r="O426" s="44"/>
      <c r="P426" s="44"/>
      <c r="Q426" s="44"/>
      <c r="R426" s="44"/>
      <c r="S426" s="44"/>
      <c r="T426" s="44"/>
      <c r="U426" s="44"/>
      <c r="V426" s="44"/>
    </row>
    <row r="427" spans="1:22" ht="15.75" customHeight="1" x14ac:dyDescent="0.35">
      <c r="A427" s="47"/>
      <c r="I427" s="44"/>
      <c r="J427" s="44"/>
      <c r="K427" s="44"/>
      <c r="L427" s="44"/>
      <c r="M427" s="44"/>
      <c r="N427" s="44"/>
      <c r="O427" s="44"/>
      <c r="P427" s="44"/>
      <c r="Q427" s="44"/>
      <c r="R427" s="44"/>
      <c r="S427" s="44"/>
      <c r="T427" s="44"/>
      <c r="U427" s="44"/>
      <c r="V427" s="44"/>
    </row>
    <row r="428" spans="1:22" ht="15.75" customHeight="1" x14ac:dyDescent="0.35">
      <c r="A428" s="47"/>
      <c r="I428" s="44"/>
      <c r="J428" s="44"/>
      <c r="K428" s="44"/>
      <c r="L428" s="44"/>
      <c r="M428" s="44"/>
      <c r="N428" s="44"/>
      <c r="O428" s="44"/>
      <c r="P428" s="44"/>
      <c r="Q428" s="44"/>
      <c r="R428" s="44"/>
      <c r="S428" s="44"/>
      <c r="T428" s="44"/>
      <c r="U428" s="44"/>
      <c r="V428" s="44"/>
    </row>
    <row r="429" spans="1:22" ht="15.75" customHeight="1" x14ac:dyDescent="0.35">
      <c r="A429" s="47"/>
      <c r="I429" s="44"/>
      <c r="J429" s="44"/>
      <c r="K429" s="44"/>
      <c r="L429" s="44"/>
      <c r="M429" s="44"/>
      <c r="N429" s="44"/>
      <c r="O429" s="44"/>
      <c r="P429" s="44"/>
      <c r="Q429" s="44"/>
      <c r="R429" s="44"/>
      <c r="S429" s="44"/>
      <c r="T429" s="44"/>
      <c r="U429" s="44"/>
      <c r="V429" s="44"/>
    </row>
    <row r="430" spans="1:22" ht="15.75" customHeight="1" x14ac:dyDescent="0.35">
      <c r="A430" s="47"/>
      <c r="I430" s="44"/>
      <c r="J430" s="44"/>
      <c r="K430" s="44"/>
      <c r="L430" s="44"/>
      <c r="M430" s="44"/>
      <c r="N430" s="44"/>
      <c r="O430" s="44"/>
      <c r="P430" s="44"/>
      <c r="Q430" s="44"/>
      <c r="R430" s="44"/>
      <c r="S430" s="44"/>
      <c r="T430" s="44"/>
      <c r="U430" s="44"/>
      <c r="V430" s="44"/>
    </row>
    <row r="431" spans="1:22" ht="15.75" customHeight="1" x14ac:dyDescent="0.35">
      <c r="A431" s="47"/>
      <c r="I431" s="44"/>
      <c r="J431" s="44"/>
      <c r="K431" s="44"/>
      <c r="L431" s="44"/>
      <c r="M431" s="44"/>
      <c r="N431" s="44"/>
      <c r="O431" s="44"/>
      <c r="P431" s="44"/>
      <c r="Q431" s="44"/>
      <c r="R431" s="44"/>
      <c r="S431" s="44"/>
      <c r="T431" s="44"/>
      <c r="U431" s="44"/>
      <c r="V431" s="44"/>
    </row>
    <row r="432" spans="1:22" ht="15.75" customHeight="1" x14ac:dyDescent="0.35">
      <c r="A432" s="47"/>
      <c r="I432" s="44"/>
      <c r="J432" s="44"/>
      <c r="K432" s="44"/>
      <c r="L432" s="44"/>
      <c r="M432" s="44"/>
      <c r="N432" s="44"/>
      <c r="O432" s="44"/>
      <c r="P432" s="44"/>
      <c r="Q432" s="44"/>
      <c r="R432" s="44"/>
      <c r="S432" s="44"/>
      <c r="T432" s="44"/>
      <c r="U432" s="44"/>
      <c r="V432" s="44"/>
    </row>
    <row r="433" spans="1:22" ht="15.75" customHeight="1" x14ac:dyDescent="0.35">
      <c r="A433" s="47"/>
      <c r="I433" s="44"/>
      <c r="J433" s="44"/>
      <c r="K433" s="44"/>
      <c r="L433" s="44"/>
      <c r="M433" s="44"/>
      <c r="N433" s="44"/>
      <c r="O433" s="44"/>
      <c r="P433" s="44"/>
      <c r="Q433" s="44"/>
      <c r="R433" s="44"/>
      <c r="S433" s="44"/>
      <c r="T433" s="44"/>
      <c r="U433" s="44"/>
      <c r="V433" s="44"/>
    </row>
    <row r="434" spans="1:22" ht="15.75" customHeight="1" x14ac:dyDescent="0.35">
      <c r="A434" s="47"/>
      <c r="I434" s="44"/>
      <c r="J434" s="44"/>
      <c r="K434" s="44"/>
      <c r="L434" s="44"/>
      <c r="M434" s="44"/>
      <c r="N434" s="44"/>
      <c r="O434" s="44"/>
      <c r="P434" s="44"/>
      <c r="Q434" s="44"/>
      <c r="R434" s="44"/>
      <c r="S434" s="44"/>
      <c r="T434" s="44"/>
      <c r="U434" s="44"/>
      <c r="V434" s="44"/>
    </row>
    <row r="435" spans="1:22" ht="15.75" customHeight="1" x14ac:dyDescent="0.35">
      <c r="A435" s="47"/>
      <c r="I435" s="44"/>
      <c r="J435" s="44"/>
      <c r="K435" s="44"/>
      <c r="L435" s="44"/>
      <c r="M435" s="44"/>
      <c r="N435" s="44"/>
      <c r="O435" s="44"/>
      <c r="P435" s="44"/>
      <c r="Q435" s="44"/>
      <c r="R435" s="44"/>
      <c r="S435" s="44"/>
      <c r="T435" s="44"/>
      <c r="U435" s="44"/>
      <c r="V435" s="44"/>
    </row>
    <row r="436" spans="1:22" ht="15.75" customHeight="1" x14ac:dyDescent="0.35">
      <c r="A436" s="47"/>
      <c r="I436" s="44"/>
      <c r="J436" s="44"/>
      <c r="K436" s="44"/>
      <c r="L436" s="44"/>
      <c r="M436" s="44"/>
      <c r="N436" s="44"/>
      <c r="O436" s="44"/>
      <c r="P436" s="44"/>
      <c r="Q436" s="44"/>
      <c r="R436" s="44"/>
      <c r="S436" s="44"/>
      <c r="T436" s="44"/>
      <c r="U436" s="44"/>
      <c r="V436" s="44"/>
    </row>
    <row r="437" spans="1:22" ht="15.75" customHeight="1" x14ac:dyDescent="0.35">
      <c r="A437" s="47"/>
      <c r="I437" s="44"/>
      <c r="J437" s="44"/>
      <c r="K437" s="44"/>
      <c r="L437" s="44"/>
      <c r="M437" s="44"/>
      <c r="N437" s="44"/>
      <c r="O437" s="44"/>
      <c r="P437" s="44"/>
      <c r="Q437" s="44"/>
      <c r="R437" s="44"/>
      <c r="S437" s="44"/>
      <c r="T437" s="44"/>
      <c r="U437" s="44"/>
      <c r="V437" s="44"/>
    </row>
    <row r="438" spans="1:22" ht="15.75" customHeight="1" x14ac:dyDescent="0.35">
      <c r="A438" s="47"/>
      <c r="I438" s="44"/>
      <c r="J438" s="44"/>
      <c r="K438" s="44"/>
      <c r="L438" s="44"/>
      <c r="M438" s="44"/>
      <c r="N438" s="44"/>
      <c r="O438" s="44"/>
      <c r="P438" s="44"/>
      <c r="Q438" s="44"/>
      <c r="R438" s="44"/>
      <c r="S438" s="44"/>
      <c r="T438" s="44"/>
      <c r="U438" s="44"/>
      <c r="V438" s="44"/>
    </row>
    <row r="439" spans="1:22" ht="15.75" customHeight="1" x14ac:dyDescent="0.35">
      <c r="A439" s="47"/>
      <c r="I439" s="44"/>
      <c r="J439" s="44"/>
      <c r="K439" s="44"/>
      <c r="L439" s="44"/>
      <c r="M439" s="44"/>
      <c r="N439" s="44"/>
      <c r="O439" s="44"/>
      <c r="P439" s="44"/>
      <c r="Q439" s="44"/>
      <c r="R439" s="44"/>
      <c r="S439" s="44"/>
      <c r="T439" s="44"/>
      <c r="U439" s="44"/>
      <c r="V439" s="44"/>
    </row>
    <row r="440" spans="1:22" ht="15.75" customHeight="1" x14ac:dyDescent="0.35">
      <c r="A440" s="47"/>
      <c r="I440" s="44"/>
      <c r="J440" s="44"/>
      <c r="K440" s="44"/>
      <c r="L440" s="44"/>
      <c r="M440" s="44"/>
      <c r="N440" s="44"/>
      <c r="O440" s="44"/>
      <c r="P440" s="44"/>
      <c r="Q440" s="44"/>
      <c r="R440" s="44"/>
      <c r="S440" s="44"/>
      <c r="T440" s="44"/>
      <c r="U440" s="44"/>
      <c r="V440" s="44"/>
    </row>
    <row r="441" spans="1:22" ht="15.75" customHeight="1" x14ac:dyDescent="0.35">
      <c r="A441" s="47"/>
      <c r="I441" s="44"/>
      <c r="J441" s="44"/>
      <c r="K441" s="44"/>
      <c r="L441" s="44"/>
      <c r="M441" s="44"/>
      <c r="N441" s="44"/>
      <c r="O441" s="44"/>
      <c r="P441" s="44"/>
      <c r="Q441" s="44"/>
      <c r="R441" s="44"/>
      <c r="S441" s="44"/>
      <c r="T441" s="44"/>
      <c r="U441" s="44"/>
      <c r="V441" s="44"/>
    </row>
    <row r="442" spans="1:22" ht="15.75" customHeight="1" x14ac:dyDescent="0.35">
      <c r="A442" s="47"/>
      <c r="I442" s="44"/>
      <c r="J442" s="44"/>
      <c r="K442" s="44"/>
      <c r="L442" s="44"/>
      <c r="M442" s="44"/>
      <c r="N442" s="44"/>
      <c r="O442" s="44"/>
      <c r="P442" s="44"/>
      <c r="Q442" s="44"/>
      <c r="R442" s="44"/>
      <c r="S442" s="44"/>
      <c r="T442" s="44"/>
      <c r="U442" s="44"/>
      <c r="V442" s="44"/>
    </row>
    <row r="443" spans="1:22" ht="15.75" customHeight="1" x14ac:dyDescent="0.35">
      <c r="A443" s="47"/>
      <c r="I443" s="44"/>
      <c r="J443" s="44"/>
      <c r="K443" s="44"/>
      <c r="L443" s="44"/>
      <c r="M443" s="44"/>
      <c r="N443" s="44"/>
      <c r="O443" s="44"/>
      <c r="P443" s="44"/>
      <c r="Q443" s="44"/>
      <c r="R443" s="44"/>
      <c r="S443" s="44"/>
      <c r="T443" s="44"/>
      <c r="U443" s="44"/>
      <c r="V443" s="44"/>
    </row>
    <row r="444" spans="1:22" ht="15.75" customHeight="1" x14ac:dyDescent="0.35">
      <c r="A444" s="47"/>
      <c r="I444" s="44"/>
      <c r="J444" s="44"/>
      <c r="K444" s="44"/>
      <c r="L444" s="44"/>
      <c r="M444" s="44"/>
      <c r="N444" s="44"/>
      <c r="O444" s="44"/>
      <c r="P444" s="44"/>
      <c r="Q444" s="44"/>
      <c r="R444" s="44"/>
      <c r="S444" s="44"/>
      <c r="T444" s="44"/>
      <c r="U444" s="44"/>
      <c r="V444" s="44"/>
    </row>
    <row r="445" spans="1:22" ht="15.75" customHeight="1" x14ac:dyDescent="0.35">
      <c r="A445" s="47"/>
      <c r="I445" s="44"/>
      <c r="J445" s="44"/>
      <c r="K445" s="44"/>
      <c r="L445" s="44"/>
      <c r="M445" s="44"/>
      <c r="N445" s="44"/>
      <c r="O445" s="44"/>
      <c r="P445" s="44"/>
      <c r="Q445" s="44"/>
      <c r="R445" s="44"/>
      <c r="S445" s="44"/>
      <c r="T445" s="44"/>
      <c r="U445" s="44"/>
      <c r="V445" s="44"/>
    </row>
    <row r="446" spans="1:22" ht="15.75" customHeight="1" x14ac:dyDescent="0.35">
      <c r="A446" s="47"/>
      <c r="I446" s="44"/>
      <c r="J446" s="44"/>
      <c r="K446" s="44"/>
      <c r="L446" s="44"/>
      <c r="M446" s="44"/>
      <c r="N446" s="44"/>
      <c r="O446" s="44"/>
      <c r="P446" s="44"/>
      <c r="Q446" s="44"/>
      <c r="R446" s="44"/>
      <c r="S446" s="44"/>
      <c r="T446" s="44"/>
      <c r="U446" s="44"/>
      <c r="V446" s="44"/>
    </row>
    <row r="447" spans="1:22" ht="15.75" customHeight="1" x14ac:dyDescent="0.35">
      <c r="A447" s="47"/>
      <c r="I447" s="44"/>
      <c r="J447" s="44"/>
      <c r="K447" s="44"/>
      <c r="L447" s="44"/>
      <c r="M447" s="44"/>
      <c r="N447" s="44"/>
      <c r="O447" s="44"/>
      <c r="P447" s="44"/>
      <c r="Q447" s="44"/>
      <c r="R447" s="44"/>
      <c r="S447" s="44"/>
      <c r="T447" s="44"/>
      <c r="U447" s="44"/>
      <c r="V447" s="44"/>
    </row>
    <row r="448" spans="1:22" ht="15.75" customHeight="1" x14ac:dyDescent="0.35">
      <c r="A448" s="47"/>
      <c r="I448" s="44"/>
      <c r="J448" s="44"/>
      <c r="K448" s="44"/>
      <c r="L448" s="44"/>
      <c r="M448" s="44"/>
      <c r="N448" s="44"/>
      <c r="O448" s="44"/>
      <c r="P448" s="44"/>
      <c r="Q448" s="44"/>
      <c r="R448" s="44"/>
      <c r="S448" s="44"/>
      <c r="T448" s="44"/>
      <c r="U448" s="44"/>
      <c r="V448" s="44"/>
    </row>
    <row r="449" spans="1:22" ht="15.75" customHeight="1" x14ac:dyDescent="0.35">
      <c r="A449" s="47"/>
      <c r="I449" s="44"/>
      <c r="J449" s="44"/>
      <c r="K449" s="44"/>
      <c r="L449" s="44"/>
      <c r="M449" s="44"/>
      <c r="N449" s="44"/>
      <c r="O449" s="44"/>
      <c r="P449" s="44"/>
      <c r="Q449" s="44"/>
      <c r="R449" s="44"/>
      <c r="S449" s="44"/>
      <c r="T449" s="44"/>
      <c r="U449" s="44"/>
      <c r="V449" s="44"/>
    </row>
    <row r="450" spans="1:22" ht="15.75" customHeight="1" x14ac:dyDescent="0.35">
      <c r="A450" s="47"/>
      <c r="I450" s="44"/>
      <c r="J450" s="44"/>
      <c r="K450" s="44"/>
      <c r="L450" s="44"/>
      <c r="M450" s="44"/>
      <c r="N450" s="44"/>
      <c r="O450" s="44"/>
      <c r="P450" s="44"/>
      <c r="Q450" s="44"/>
      <c r="R450" s="44"/>
      <c r="S450" s="44"/>
      <c r="T450" s="44"/>
      <c r="U450" s="44"/>
      <c r="V450" s="44"/>
    </row>
    <row r="451" spans="1:22" ht="15.75" customHeight="1" x14ac:dyDescent="0.35">
      <c r="A451" s="47"/>
      <c r="I451" s="44"/>
      <c r="J451" s="44"/>
      <c r="K451" s="44"/>
      <c r="L451" s="44"/>
      <c r="M451" s="44"/>
      <c r="N451" s="44"/>
      <c r="O451" s="44"/>
      <c r="P451" s="44"/>
      <c r="Q451" s="44"/>
      <c r="R451" s="44"/>
      <c r="S451" s="44"/>
      <c r="T451" s="44"/>
      <c r="U451" s="44"/>
      <c r="V451" s="44"/>
    </row>
    <row r="452" spans="1:22" ht="15.75" customHeight="1" x14ac:dyDescent="0.35">
      <c r="A452" s="47"/>
      <c r="I452" s="44"/>
      <c r="J452" s="44"/>
      <c r="K452" s="44"/>
      <c r="L452" s="44"/>
      <c r="M452" s="44"/>
      <c r="N452" s="44"/>
      <c r="O452" s="44"/>
      <c r="P452" s="44"/>
      <c r="Q452" s="44"/>
      <c r="R452" s="44"/>
      <c r="S452" s="44"/>
      <c r="T452" s="44"/>
      <c r="U452" s="44"/>
      <c r="V452" s="44"/>
    </row>
    <row r="453" spans="1:22" ht="15.75" customHeight="1" x14ac:dyDescent="0.35">
      <c r="A453" s="47"/>
      <c r="I453" s="44"/>
      <c r="J453" s="44"/>
      <c r="K453" s="44"/>
      <c r="L453" s="44"/>
      <c r="M453" s="44"/>
      <c r="N453" s="44"/>
      <c r="O453" s="44"/>
      <c r="P453" s="44"/>
      <c r="Q453" s="44"/>
      <c r="R453" s="44"/>
      <c r="S453" s="44"/>
      <c r="T453" s="44"/>
      <c r="U453" s="44"/>
      <c r="V453" s="44"/>
    </row>
    <row r="454" spans="1:22" ht="15.75" customHeight="1" x14ac:dyDescent="0.35">
      <c r="A454" s="47"/>
      <c r="I454" s="44"/>
      <c r="J454" s="44"/>
      <c r="K454" s="44"/>
      <c r="L454" s="44"/>
      <c r="M454" s="44"/>
      <c r="N454" s="44"/>
      <c r="O454" s="44"/>
      <c r="P454" s="44"/>
      <c r="Q454" s="44"/>
      <c r="R454" s="44"/>
      <c r="S454" s="44"/>
      <c r="T454" s="44"/>
      <c r="U454" s="44"/>
      <c r="V454" s="44"/>
    </row>
    <row r="455" spans="1:22" ht="15.75" customHeight="1" x14ac:dyDescent="0.35">
      <c r="A455" s="47"/>
      <c r="I455" s="44"/>
      <c r="J455" s="44"/>
      <c r="K455" s="44"/>
      <c r="L455" s="44"/>
      <c r="M455" s="44"/>
      <c r="N455" s="44"/>
      <c r="O455" s="44"/>
      <c r="P455" s="44"/>
      <c r="Q455" s="44"/>
      <c r="R455" s="44"/>
      <c r="S455" s="44"/>
      <c r="T455" s="44"/>
      <c r="U455" s="44"/>
      <c r="V455" s="44"/>
    </row>
    <row r="456" spans="1:22" ht="15.75" customHeight="1" x14ac:dyDescent="0.35">
      <c r="A456" s="47"/>
      <c r="I456" s="44"/>
      <c r="J456" s="44"/>
      <c r="K456" s="44"/>
      <c r="L456" s="44"/>
      <c r="M456" s="44"/>
      <c r="N456" s="44"/>
      <c r="O456" s="44"/>
      <c r="P456" s="44"/>
      <c r="Q456" s="44"/>
      <c r="R456" s="44"/>
      <c r="S456" s="44"/>
      <c r="T456" s="44"/>
      <c r="U456" s="44"/>
      <c r="V456" s="44"/>
    </row>
    <row r="457" spans="1:22" ht="15.75" customHeight="1" x14ac:dyDescent="0.35">
      <c r="A457" s="47"/>
      <c r="I457" s="44"/>
      <c r="J457" s="44"/>
      <c r="K457" s="44"/>
      <c r="L457" s="44"/>
      <c r="M457" s="44"/>
      <c r="N457" s="44"/>
      <c r="O457" s="44"/>
      <c r="P457" s="44"/>
      <c r="Q457" s="44"/>
      <c r="R457" s="44"/>
      <c r="S457" s="44"/>
      <c r="T457" s="44"/>
      <c r="U457" s="44"/>
      <c r="V457" s="44"/>
    </row>
    <row r="458" spans="1:22" ht="15.75" customHeight="1" x14ac:dyDescent="0.35">
      <c r="A458" s="47"/>
      <c r="I458" s="44"/>
      <c r="J458" s="44"/>
      <c r="K458" s="44"/>
      <c r="L458" s="44"/>
      <c r="M458" s="44"/>
      <c r="N458" s="44"/>
      <c r="O458" s="44"/>
      <c r="P458" s="44"/>
      <c r="Q458" s="44"/>
      <c r="R458" s="44"/>
      <c r="S458" s="44"/>
      <c r="T458" s="44"/>
      <c r="U458" s="44"/>
      <c r="V458" s="44"/>
    </row>
    <row r="459" spans="1:22" ht="15.75" customHeight="1" x14ac:dyDescent="0.35">
      <c r="A459" s="47"/>
      <c r="I459" s="44"/>
      <c r="J459" s="44"/>
      <c r="K459" s="44"/>
      <c r="L459" s="44"/>
      <c r="M459" s="44"/>
      <c r="N459" s="44"/>
      <c r="O459" s="44"/>
      <c r="P459" s="44"/>
      <c r="Q459" s="44"/>
      <c r="R459" s="44"/>
      <c r="S459" s="44"/>
      <c r="T459" s="44"/>
      <c r="U459" s="44"/>
      <c r="V459" s="44"/>
    </row>
    <row r="460" spans="1:22" ht="15.75" customHeight="1" x14ac:dyDescent="0.35">
      <c r="A460" s="47"/>
      <c r="I460" s="44"/>
      <c r="J460" s="44"/>
      <c r="K460" s="44"/>
      <c r="L460" s="44"/>
      <c r="M460" s="44"/>
      <c r="N460" s="44"/>
      <c r="O460" s="44"/>
      <c r="P460" s="44"/>
      <c r="Q460" s="44"/>
      <c r="R460" s="44"/>
      <c r="S460" s="44"/>
      <c r="T460" s="44"/>
      <c r="U460" s="44"/>
      <c r="V460" s="44"/>
    </row>
    <row r="461" spans="1:22" ht="15.75" customHeight="1" x14ac:dyDescent="0.35">
      <c r="A461" s="47"/>
      <c r="I461" s="44"/>
      <c r="J461" s="44"/>
      <c r="K461" s="44"/>
      <c r="L461" s="44"/>
      <c r="M461" s="44"/>
      <c r="N461" s="44"/>
      <c r="O461" s="44"/>
      <c r="P461" s="44"/>
      <c r="Q461" s="44"/>
      <c r="R461" s="44"/>
      <c r="S461" s="44"/>
      <c r="T461" s="44"/>
      <c r="U461" s="44"/>
      <c r="V461" s="44"/>
    </row>
    <row r="462" spans="1:22" ht="15.75" customHeight="1" x14ac:dyDescent="0.35">
      <c r="A462" s="47"/>
      <c r="I462" s="44"/>
      <c r="J462" s="44"/>
      <c r="K462" s="44"/>
      <c r="L462" s="44"/>
      <c r="M462" s="44"/>
      <c r="N462" s="44"/>
      <c r="O462" s="44"/>
      <c r="P462" s="44"/>
      <c r="Q462" s="44"/>
      <c r="R462" s="44"/>
      <c r="S462" s="44"/>
      <c r="T462" s="44"/>
      <c r="U462" s="44"/>
      <c r="V462" s="44"/>
    </row>
    <row r="463" spans="1:22" ht="15.75" customHeight="1" x14ac:dyDescent="0.35">
      <c r="A463" s="47"/>
      <c r="I463" s="44"/>
      <c r="J463" s="44"/>
      <c r="K463" s="44"/>
      <c r="L463" s="44"/>
      <c r="M463" s="44"/>
      <c r="N463" s="44"/>
      <c r="O463" s="44"/>
      <c r="P463" s="44"/>
      <c r="Q463" s="44"/>
      <c r="R463" s="44"/>
      <c r="S463" s="44"/>
      <c r="T463" s="44"/>
      <c r="U463" s="44"/>
      <c r="V463" s="44"/>
    </row>
    <row r="464" spans="1:22" ht="15.75" customHeight="1" x14ac:dyDescent="0.35">
      <c r="A464" s="47"/>
      <c r="I464" s="44"/>
      <c r="J464" s="44"/>
      <c r="K464" s="44"/>
      <c r="L464" s="44"/>
      <c r="M464" s="44"/>
      <c r="N464" s="44"/>
      <c r="O464" s="44"/>
      <c r="P464" s="44"/>
      <c r="Q464" s="44"/>
      <c r="R464" s="44"/>
      <c r="S464" s="44"/>
      <c r="T464" s="44"/>
      <c r="U464" s="44"/>
      <c r="V464" s="44"/>
    </row>
    <row r="465" spans="1:22" ht="15.75" customHeight="1" x14ac:dyDescent="0.35">
      <c r="A465" s="47"/>
      <c r="I465" s="44"/>
      <c r="J465" s="44"/>
      <c r="K465" s="44"/>
      <c r="L465" s="44"/>
      <c r="M465" s="44"/>
      <c r="N465" s="44"/>
      <c r="O465" s="44"/>
      <c r="P465" s="44"/>
      <c r="Q465" s="44"/>
      <c r="R465" s="44"/>
      <c r="S465" s="44"/>
      <c r="T465" s="44"/>
      <c r="U465" s="44"/>
      <c r="V465" s="44"/>
    </row>
    <row r="466" spans="1:22" ht="15.75" customHeight="1" x14ac:dyDescent="0.35">
      <c r="A466" s="47"/>
      <c r="I466" s="44"/>
      <c r="J466" s="44"/>
      <c r="K466" s="44"/>
      <c r="L466" s="44"/>
      <c r="M466" s="44"/>
      <c r="N466" s="44"/>
      <c r="O466" s="44"/>
      <c r="P466" s="44"/>
      <c r="Q466" s="44"/>
      <c r="R466" s="44"/>
      <c r="S466" s="44"/>
      <c r="T466" s="44"/>
      <c r="U466" s="44"/>
      <c r="V466" s="44"/>
    </row>
    <row r="467" spans="1:22" ht="15.75" customHeight="1" x14ac:dyDescent="0.35">
      <c r="A467" s="47"/>
      <c r="I467" s="44"/>
      <c r="J467" s="44"/>
      <c r="K467" s="44"/>
      <c r="L467" s="44"/>
      <c r="M467" s="44"/>
      <c r="N467" s="44"/>
      <c r="O467" s="44"/>
      <c r="P467" s="44"/>
      <c r="Q467" s="44"/>
      <c r="R467" s="44"/>
      <c r="S467" s="44"/>
      <c r="T467" s="44"/>
      <c r="U467" s="44"/>
      <c r="V467" s="44"/>
    </row>
    <row r="468" spans="1:22" ht="15.75" customHeight="1" x14ac:dyDescent="0.35">
      <c r="A468" s="47"/>
      <c r="I468" s="44"/>
      <c r="J468" s="44"/>
      <c r="K468" s="44"/>
      <c r="L468" s="44"/>
      <c r="M468" s="44"/>
      <c r="N468" s="44"/>
      <c r="O468" s="44"/>
      <c r="P468" s="44"/>
      <c r="Q468" s="44"/>
      <c r="R468" s="44"/>
      <c r="S468" s="44"/>
      <c r="T468" s="44"/>
      <c r="U468" s="44"/>
      <c r="V468" s="44"/>
    </row>
    <row r="469" spans="1:22" ht="15.75" customHeight="1" x14ac:dyDescent="0.35">
      <c r="A469" s="47"/>
      <c r="I469" s="44"/>
      <c r="J469" s="44"/>
      <c r="K469" s="44"/>
      <c r="L469" s="44"/>
      <c r="M469" s="44"/>
      <c r="N469" s="44"/>
      <c r="O469" s="44"/>
      <c r="P469" s="44"/>
      <c r="Q469" s="44"/>
      <c r="R469" s="44"/>
      <c r="S469" s="44"/>
      <c r="T469" s="44"/>
      <c r="U469" s="44"/>
      <c r="V469" s="44"/>
    </row>
    <row r="470" spans="1:22" ht="15.75" customHeight="1" x14ac:dyDescent="0.35">
      <c r="A470" s="47"/>
      <c r="I470" s="44"/>
      <c r="J470" s="44"/>
      <c r="K470" s="44"/>
      <c r="L470" s="44"/>
      <c r="M470" s="44"/>
      <c r="N470" s="44"/>
      <c r="O470" s="44"/>
      <c r="P470" s="44"/>
      <c r="Q470" s="44"/>
      <c r="R470" s="44"/>
      <c r="S470" s="44"/>
      <c r="T470" s="44"/>
      <c r="U470" s="44"/>
      <c r="V470" s="44"/>
    </row>
    <row r="471" spans="1:22" ht="15.75" customHeight="1" x14ac:dyDescent="0.35">
      <c r="A471" s="47"/>
      <c r="I471" s="44"/>
      <c r="J471" s="44"/>
      <c r="K471" s="44"/>
      <c r="L471" s="44"/>
      <c r="M471" s="44"/>
      <c r="N471" s="44"/>
      <c r="O471" s="44"/>
      <c r="P471" s="44"/>
      <c r="Q471" s="44"/>
      <c r="R471" s="44"/>
      <c r="S471" s="44"/>
      <c r="T471" s="44"/>
      <c r="U471" s="44"/>
      <c r="V471" s="44"/>
    </row>
    <row r="472" spans="1:22" ht="15.75" customHeight="1" x14ac:dyDescent="0.35">
      <c r="A472" s="47"/>
      <c r="I472" s="44"/>
      <c r="J472" s="44"/>
      <c r="K472" s="44"/>
      <c r="L472" s="44"/>
      <c r="M472" s="44"/>
      <c r="N472" s="44"/>
      <c r="O472" s="44"/>
      <c r="P472" s="44"/>
      <c r="Q472" s="44"/>
      <c r="R472" s="44"/>
      <c r="S472" s="44"/>
      <c r="T472" s="44"/>
      <c r="U472" s="44"/>
      <c r="V472" s="44"/>
    </row>
    <row r="473" spans="1:22" ht="15.75" customHeight="1" x14ac:dyDescent="0.35">
      <c r="A473" s="47"/>
      <c r="I473" s="44"/>
      <c r="J473" s="44"/>
      <c r="K473" s="44"/>
      <c r="L473" s="44"/>
      <c r="M473" s="44"/>
      <c r="N473" s="44"/>
      <c r="O473" s="44"/>
      <c r="P473" s="44"/>
      <c r="Q473" s="44"/>
      <c r="R473" s="44"/>
      <c r="S473" s="44"/>
      <c r="T473" s="44"/>
      <c r="U473" s="44"/>
      <c r="V473" s="44"/>
    </row>
    <row r="474" spans="1:22" ht="15.75" customHeight="1" x14ac:dyDescent="0.35">
      <c r="A474" s="47"/>
      <c r="I474" s="44"/>
      <c r="J474" s="44"/>
      <c r="K474" s="44"/>
      <c r="L474" s="44"/>
      <c r="M474" s="44"/>
      <c r="N474" s="44"/>
      <c r="O474" s="44"/>
      <c r="P474" s="44"/>
      <c r="Q474" s="44"/>
      <c r="R474" s="44"/>
      <c r="S474" s="44"/>
      <c r="T474" s="44"/>
      <c r="U474" s="44"/>
      <c r="V474" s="44"/>
    </row>
    <row r="475" spans="1:22" ht="15.75" customHeight="1" x14ac:dyDescent="0.35">
      <c r="A475" s="47"/>
      <c r="I475" s="44"/>
      <c r="J475" s="44"/>
      <c r="K475" s="44"/>
      <c r="L475" s="44"/>
      <c r="M475" s="44"/>
      <c r="N475" s="44"/>
      <c r="O475" s="44"/>
      <c r="P475" s="44"/>
      <c r="Q475" s="44"/>
      <c r="R475" s="44"/>
      <c r="S475" s="44"/>
      <c r="T475" s="44"/>
      <c r="U475" s="44"/>
      <c r="V475" s="44"/>
    </row>
    <row r="476" spans="1:22" ht="15.75" customHeight="1" x14ac:dyDescent="0.35">
      <c r="A476" s="47"/>
      <c r="I476" s="44"/>
      <c r="J476" s="44"/>
      <c r="K476" s="44"/>
      <c r="L476" s="44"/>
      <c r="M476" s="44"/>
      <c r="N476" s="44"/>
      <c r="O476" s="44"/>
      <c r="P476" s="44"/>
      <c r="Q476" s="44"/>
      <c r="R476" s="44"/>
      <c r="S476" s="44"/>
      <c r="T476" s="44"/>
      <c r="U476" s="44"/>
      <c r="V476" s="44"/>
    </row>
    <row r="477" spans="1:22" ht="15.75" customHeight="1" x14ac:dyDescent="0.35">
      <c r="A477" s="47"/>
      <c r="I477" s="44"/>
      <c r="J477" s="44"/>
      <c r="K477" s="44"/>
      <c r="L477" s="44"/>
      <c r="M477" s="44"/>
      <c r="N477" s="44"/>
      <c r="O477" s="44"/>
      <c r="P477" s="44"/>
      <c r="Q477" s="44"/>
      <c r="R477" s="44"/>
      <c r="S477" s="44"/>
      <c r="T477" s="44"/>
      <c r="U477" s="44"/>
      <c r="V477" s="44"/>
    </row>
    <row r="478" spans="1:22" ht="15.75" customHeight="1" x14ac:dyDescent="0.35">
      <c r="A478" s="47"/>
      <c r="I478" s="44"/>
      <c r="J478" s="44"/>
      <c r="K478" s="44"/>
      <c r="L478" s="44"/>
      <c r="M478" s="44"/>
      <c r="N478" s="44"/>
      <c r="O478" s="44"/>
      <c r="P478" s="44"/>
      <c r="Q478" s="44"/>
      <c r="R478" s="44"/>
      <c r="S478" s="44"/>
      <c r="T478" s="44"/>
      <c r="U478" s="44"/>
      <c r="V478" s="44"/>
    </row>
    <row r="479" spans="1:22" ht="15.75" customHeight="1" x14ac:dyDescent="0.35">
      <c r="A479" s="47"/>
      <c r="I479" s="44"/>
      <c r="J479" s="44"/>
      <c r="K479" s="44"/>
      <c r="L479" s="44"/>
      <c r="M479" s="44"/>
      <c r="N479" s="44"/>
      <c r="O479" s="44"/>
      <c r="P479" s="44"/>
      <c r="Q479" s="44"/>
      <c r="R479" s="44"/>
      <c r="S479" s="44"/>
      <c r="T479" s="44"/>
      <c r="U479" s="44"/>
      <c r="V479" s="44"/>
    </row>
    <row r="480" spans="1:22" ht="15.75" customHeight="1" x14ac:dyDescent="0.35">
      <c r="A480" s="47"/>
      <c r="I480" s="44"/>
      <c r="J480" s="44"/>
      <c r="K480" s="44"/>
      <c r="L480" s="44"/>
      <c r="M480" s="44"/>
      <c r="N480" s="44"/>
      <c r="O480" s="44"/>
      <c r="P480" s="44"/>
      <c r="Q480" s="44"/>
      <c r="R480" s="44"/>
      <c r="S480" s="44"/>
      <c r="T480" s="44"/>
      <c r="U480" s="44"/>
      <c r="V480" s="44"/>
    </row>
    <row r="481" spans="1:22" ht="15.75" customHeight="1" x14ac:dyDescent="0.35">
      <c r="A481" s="47"/>
      <c r="I481" s="44"/>
      <c r="J481" s="44"/>
      <c r="K481" s="44"/>
      <c r="L481" s="44"/>
      <c r="M481" s="44"/>
      <c r="N481" s="44"/>
      <c r="O481" s="44"/>
      <c r="P481" s="44"/>
      <c r="Q481" s="44"/>
      <c r="R481" s="44"/>
      <c r="S481" s="44"/>
      <c r="T481" s="44"/>
      <c r="U481" s="44"/>
      <c r="V481" s="44"/>
    </row>
    <row r="482" spans="1:22" ht="15.75" customHeight="1" x14ac:dyDescent="0.35">
      <c r="A482" s="47"/>
      <c r="I482" s="44"/>
      <c r="J482" s="44"/>
      <c r="K482" s="44"/>
      <c r="L482" s="44"/>
      <c r="M482" s="44"/>
      <c r="N482" s="44"/>
      <c r="O482" s="44"/>
      <c r="P482" s="44"/>
      <c r="Q482" s="44"/>
      <c r="R482" s="44"/>
      <c r="S482" s="44"/>
      <c r="T482" s="44"/>
      <c r="U482" s="44"/>
      <c r="V482" s="44"/>
    </row>
    <row r="483" spans="1:22" ht="15.75" customHeight="1" x14ac:dyDescent="0.35">
      <c r="A483" s="47"/>
      <c r="I483" s="44"/>
      <c r="J483" s="44"/>
      <c r="K483" s="44"/>
      <c r="L483" s="44"/>
      <c r="M483" s="44"/>
      <c r="N483" s="44"/>
      <c r="O483" s="44"/>
      <c r="P483" s="44"/>
      <c r="Q483" s="44"/>
      <c r="R483" s="44"/>
      <c r="S483" s="44"/>
      <c r="T483" s="44"/>
      <c r="U483" s="44"/>
      <c r="V483" s="44"/>
    </row>
    <row r="484" spans="1:22" ht="15.75" customHeight="1" x14ac:dyDescent="0.35">
      <c r="A484" s="47"/>
      <c r="I484" s="44"/>
      <c r="J484" s="44"/>
      <c r="K484" s="44"/>
      <c r="L484" s="44"/>
      <c r="M484" s="44"/>
      <c r="N484" s="44"/>
      <c r="O484" s="44"/>
      <c r="P484" s="44"/>
      <c r="Q484" s="44"/>
      <c r="R484" s="44"/>
      <c r="S484" s="44"/>
      <c r="T484" s="44"/>
      <c r="U484" s="44"/>
      <c r="V484" s="44"/>
    </row>
    <row r="485" spans="1:22" ht="15.75" customHeight="1" x14ac:dyDescent="0.35">
      <c r="A485" s="47"/>
      <c r="I485" s="44"/>
      <c r="J485" s="44"/>
      <c r="K485" s="44"/>
      <c r="L485" s="44"/>
      <c r="M485" s="44"/>
      <c r="N485" s="44"/>
      <c r="O485" s="44"/>
      <c r="P485" s="44"/>
      <c r="Q485" s="44"/>
      <c r="R485" s="44"/>
      <c r="S485" s="44"/>
      <c r="T485" s="44"/>
      <c r="U485" s="44"/>
      <c r="V485" s="44"/>
    </row>
    <row r="486" spans="1:22" ht="15.75" customHeight="1" x14ac:dyDescent="0.35">
      <c r="A486" s="47"/>
      <c r="I486" s="44"/>
      <c r="J486" s="44"/>
      <c r="K486" s="44"/>
      <c r="L486" s="44"/>
      <c r="M486" s="44"/>
      <c r="N486" s="44"/>
      <c r="O486" s="44"/>
      <c r="P486" s="44"/>
      <c r="Q486" s="44"/>
      <c r="R486" s="44"/>
      <c r="S486" s="44"/>
      <c r="T486" s="44"/>
      <c r="U486" s="44"/>
      <c r="V486" s="44"/>
    </row>
    <row r="487" spans="1:22" ht="15.75" customHeight="1" x14ac:dyDescent="0.35">
      <c r="A487" s="47"/>
      <c r="I487" s="44"/>
      <c r="J487" s="44"/>
      <c r="K487" s="44"/>
      <c r="L487" s="44"/>
      <c r="M487" s="44"/>
      <c r="N487" s="44"/>
      <c r="O487" s="44"/>
      <c r="P487" s="44"/>
      <c r="Q487" s="44"/>
      <c r="R487" s="44"/>
      <c r="S487" s="44"/>
      <c r="T487" s="44"/>
      <c r="U487" s="44"/>
      <c r="V487" s="44"/>
    </row>
    <row r="488" spans="1:22" ht="15.75" customHeight="1" x14ac:dyDescent="0.35">
      <c r="A488" s="47"/>
      <c r="I488" s="44"/>
      <c r="J488" s="44"/>
      <c r="K488" s="44"/>
      <c r="L488" s="44"/>
      <c r="M488" s="44"/>
      <c r="N488" s="44"/>
      <c r="O488" s="44"/>
      <c r="P488" s="44"/>
      <c r="Q488" s="44"/>
      <c r="R488" s="44"/>
      <c r="S488" s="44"/>
      <c r="T488" s="44"/>
      <c r="U488" s="44"/>
      <c r="V488" s="44"/>
    </row>
    <row r="489" spans="1:22" ht="15.75" customHeight="1" x14ac:dyDescent="0.35">
      <c r="A489" s="47"/>
      <c r="I489" s="44"/>
      <c r="J489" s="44"/>
      <c r="K489" s="44"/>
      <c r="L489" s="44"/>
      <c r="M489" s="44"/>
      <c r="N489" s="44"/>
      <c r="O489" s="44"/>
      <c r="P489" s="44"/>
      <c r="Q489" s="44"/>
      <c r="R489" s="44"/>
      <c r="S489" s="44"/>
      <c r="T489" s="44"/>
      <c r="U489" s="44"/>
      <c r="V489" s="44"/>
    </row>
    <row r="490" spans="1:22" ht="15.75" customHeight="1" x14ac:dyDescent="0.35">
      <c r="A490" s="47"/>
      <c r="I490" s="44"/>
      <c r="J490" s="44"/>
      <c r="K490" s="44"/>
      <c r="L490" s="44"/>
      <c r="M490" s="44"/>
      <c r="N490" s="44"/>
      <c r="O490" s="44"/>
      <c r="P490" s="44"/>
      <c r="Q490" s="44"/>
      <c r="R490" s="44"/>
      <c r="S490" s="44"/>
      <c r="T490" s="44"/>
      <c r="U490" s="44"/>
      <c r="V490" s="44"/>
    </row>
    <row r="491" spans="1:22" ht="15.75" customHeight="1" x14ac:dyDescent="0.35">
      <c r="A491" s="47"/>
      <c r="I491" s="44"/>
      <c r="J491" s="44"/>
      <c r="K491" s="44"/>
      <c r="L491" s="44"/>
      <c r="M491" s="44"/>
      <c r="N491" s="44"/>
      <c r="O491" s="44"/>
      <c r="P491" s="44"/>
      <c r="Q491" s="44"/>
      <c r="R491" s="44"/>
      <c r="S491" s="44"/>
      <c r="T491" s="44"/>
      <c r="U491" s="44"/>
      <c r="V491" s="44"/>
    </row>
    <row r="492" spans="1:22" ht="15.75" customHeight="1" x14ac:dyDescent="0.35">
      <c r="A492" s="47"/>
      <c r="I492" s="44"/>
      <c r="J492" s="44"/>
      <c r="K492" s="44"/>
      <c r="L492" s="44"/>
      <c r="M492" s="44"/>
      <c r="N492" s="44"/>
      <c r="O492" s="44"/>
      <c r="P492" s="44"/>
      <c r="Q492" s="44"/>
      <c r="R492" s="44"/>
      <c r="S492" s="44"/>
      <c r="T492" s="44"/>
      <c r="U492" s="44"/>
      <c r="V492" s="44"/>
    </row>
    <row r="493" spans="1:22" ht="15.75" customHeight="1" x14ac:dyDescent="0.35">
      <c r="A493" s="47"/>
      <c r="I493" s="44"/>
      <c r="J493" s="44"/>
      <c r="K493" s="44"/>
      <c r="L493" s="44"/>
      <c r="M493" s="44"/>
      <c r="N493" s="44"/>
      <c r="O493" s="44"/>
      <c r="P493" s="44"/>
      <c r="Q493" s="44"/>
      <c r="R493" s="44"/>
      <c r="S493" s="44"/>
      <c r="T493" s="44"/>
      <c r="U493" s="44"/>
      <c r="V493" s="44"/>
    </row>
    <row r="494" spans="1:22" ht="15.75" customHeight="1" x14ac:dyDescent="0.35">
      <c r="A494" s="47"/>
      <c r="I494" s="44"/>
      <c r="J494" s="44"/>
      <c r="K494" s="44"/>
      <c r="L494" s="44"/>
      <c r="M494" s="44"/>
      <c r="N494" s="44"/>
      <c r="O494" s="44"/>
      <c r="P494" s="44"/>
      <c r="Q494" s="44"/>
      <c r="R494" s="44"/>
      <c r="S494" s="44"/>
      <c r="T494" s="44"/>
      <c r="U494" s="44"/>
      <c r="V494" s="44"/>
    </row>
    <row r="495" spans="1:22" ht="15.75" customHeight="1" x14ac:dyDescent="0.35">
      <c r="A495" s="47"/>
      <c r="I495" s="44"/>
      <c r="J495" s="44"/>
      <c r="K495" s="44"/>
      <c r="L495" s="44"/>
      <c r="M495" s="44"/>
      <c r="N495" s="44"/>
      <c r="O495" s="44"/>
      <c r="P495" s="44"/>
      <c r="Q495" s="44"/>
      <c r="R495" s="44"/>
      <c r="S495" s="44"/>
      <c r="T495" s="44"/>
      <c r="U495" s="44"/>
      <c r="V495" s="44"/>
    </row>
    <row r="496" spans="1:22" ht="15.75" customHeight="1" x14ac:dyDescent="0.35">
      <c r="A496" s="47"/>
      <c r="I496" s="44"/>
      <c r="J496" s="44"/>
      <c r="K496" s="44"/>
      <c r="L496" s="44"/>
      <c r="M496" s="44"/>
      <c r="N496" s="44"/>
      <c r="O496" s="44"/>
      <c r="P496" s="44"/>
      <c r="Q496" s="44"/>
      <c r="R496" s="44"/>
      <c r="S496" s="44"/>
      <c r="T496" s="44"/>
      <c r="U496" s="44"/>
      <c r="V496" s="44"/>
    </row>
    <row r="497" spans="1:22" ht="15.75" customHeight="1" x14ac:dyDescent="0.35">
      <c r="A497" s="47"/>
      <c r="I497" s="44"/>
      <c r="J497" s="44"/>
      <c r="K497" s="44"/>
      <c r="L497" s="44"/>
      <c r="M497" s="44"/>
      <c r="N497" s="44"/>
      <c r="O497" s="44"/>
      <c r="P497" s="44"/>
      <c r="Q497" s="44"/>
      <c r="R497" s="44"/>
      <c r="S497" s="44"/>
      <c r="T497" s="44"/>
      <c r="U497" s="44"/>
      <c r="V497" s="44"/>
    </row>
    <row r="498" spans="1:22" ht="15.75" customHeight="1" x14ac:dyDescent="0.35">
      <c r="A498" s="47"/>
      <c r="I498" s="44"/>
      <c r="J498" s="44"/>
      <c r="K498" s="44"/>
      <c r="L498" s="44"/>
      <c r="M498" s="44"/>
      <c r="N498" s="44"/>
      <c r="O498" s="44"/>
      <c r="P498" s="44"/>
      <c r="Q498" s="44"/>
      <c r="R498" s="44"/>
      <c r="S498" s="44"/>
      <c r="T498" s="44"/>
      <c r="U498" s="44"/>
      <c r="V498" s="44"/>
    </row>
    <row r="499" spans="1:22" ht="15.75" customHeight="1" x14ac:dyDescent="0.35">
      <c r="A499" s="47"/>
      <c r="I499" s="44"/>
      <c r="J499" s="44"/>
      <c r="K499" s="44"/>
      <c r="L499" s="44"/>
      <c r="M499" s="44"/>
      <c r="N499" s="44"/>
      <c r="O499" s="44"/>
      <c r="P499" s="44"/>
      <c r="Q499" s="44"/>
      <c r="R499" s="44"/>
      <c r="S499" s="44"/>
      <c r="T499" s="44"/>
      <c r="U499" s="44"/>
      <c r="V499" s="44"/>
    </row>
    <row r="500" spans="1:22" ht="15.75" customHeight="1" x14ac:dyDescent="0.35">
      <c r="A500" s="47"/>
      <c r="I500" s="44"/>
      <c r="J500" s="44"/>
      <c r="K500" s="44"/>
      <c r="L500" s="44"/>
      <c r="M500" s="44"/>
      <c r="N500" s="44"/>
      <c r="O500" s="44"/>
      <c r="P500" s="44"/>
      <c r="Q500" s="44"/>
      <c r="R500" s="44"/>
      <c r="S500" s="44"/>
      <c r="T500" s="44"/>
      <c r="U500" s="44"/>
      <c r="V500" s="44"/>
    </row>
    <row r="501" spans="1:22" ht="15.75" customHeight="1" x14ac:dyDescent="0.35">
      <c r="A501" s="47"/>
      <c r="I501" s="44"/>
      <c r="J501" s="44"/>
      <c r="K501" s="44"/>
      <c r="L501" s="44"/>
      <c r="M501" s="44"/>
      <c r="N501" s="44"/>
      <c r="O501" s="44"/>
      <c r="P501" s="44"/>
      <c r="Q501" s="44"/>
      <c r="R501" s="44"/>
      <c r="S501" s="44"/>
      <c r="T501" s="44"/>
      <c r="U501" s="44"/>
      <c r="V501" s="44"/>
    </row>
    <row r="502" spans="1:22" ht="15.75" customHeight="1" x14ac:dyDescent="0.35">
      <c r="A502" s="47"/>
      <c r="I502" s="44"/>
      <c r="J502" s="44"/>
      <c r="K502" s="44"/>
      <c r="L502" s="44"/>
      <c r="M502" s="44"/>
      <c r="N502" s="44"/>
      <c r="O502" s="44"/>
      <c r="P502" s="44"/>
      <c r="Q502" s="44"/>
      <c r="R502" s="44"/>
      <c r="S502" s="44"/>
      <c r="T502" s="44"/>
      <c r="U502" s="44"/>
      <c r="V502" s="44"/>
    </row>
    <row r="503" spans="1:22" ht="15.75" customHeight="1" x14ac:dyDescent="0.35">
      <c r="A503" s="47"/>
      <c r="I503" s="44"/>
      <c r="J503" s="44"/>
      <c r="K503" s="44"/>
      <c r="L503" s="44"/>
      <c r="M503" s="44"/>
      <c r="N503" s="44"/>
      <c r="O503" s="44"/>
      <c r="P503" s="44"/>
      <c r="Q503" s="44"/>
      <c r="R503" s="44"/>
      <c r="S503" s="44"/>
      <c r="T503" s="44"/>
      <c r="U503" s="44"/>
      <c r="V503" s="44"/>
    </row>
    <row r="504" spans="1:22" ht="15.75" customHeight="1" x14ac:dyDescent="0.35">
      <c r="A504" s="47"/>
      <c r="I504" s="44"/>
      <c r="J504" s="44"/>
      <c r="K504" s="44"/>
      <c r="L504" s="44"/>
      <c r="M504" s="44"/>
      <c r="N504" s="44"/>
      <c r="O504" s="44"/>
      <c r="P504" s="44"/>
      <c r="Q504" s="44"/>
      <c r="R504" s="44"/>
      <c r="S504" s="44"/>
      <c r="T504" s="44"/>
      <c r="U504" s="44"/>
      <c r="V504" s="44"/>
    </row>
    <row r="505" spans="1:22" ht="15.75" customHeight="1" x14ac:dyDescent="0.35">
      <c r="A505" s="47"/>
      <c r="I505" s="44"/>
      <c r="J505" s="44"/>
      <c r="K505" s="44"/>
      <c r="L505" s="44"/>
      <c r="M505" s="44"/>
      <c r="N505" s="44"/>
      <c r="O505" s="44"/>
      <c r="P505" s="44"/>
      <c r="Q505" s="44"/>
      <c r="R505" s="44"/>
      <c r="S505" s="44"/>
      <c r="T505" s="44"/>
      <c r="U505" s="44"/>
      <c r="V505" s="44"/>
    </row>
    <row r="506" spans="1:22" ht="15.75" customHeight="1" x14ac:dyDescent="0.35">
      <c r="A506" s="47"/>
      <c r="I506" s="44"/>
      <c r="J506" s="44"/>
      <c r="K506" s="44"/>
      <c r="L506" s="44"/>
      <c r="M506" s="44"/>
      <c r="N506" s="44"/>
      <c r="O506" s="44"/>
      <c r="P506" s="44"/>
      <c r="Q506" s="44"/>
      <c r="R506" s="44"/>
      <c r="S506" s="44"/>
      <c r="T506" s="44"/>
      <c r="U506" s="44"/>
      <c r="V506" s="44"/>
    </row>
    <row r="507" spans="1:22" ht="15.75" customHeight="1" x14ac:dyDescent="0.35">
      <c r="A507" s="47"/>
      <c r="I507" s="44"/>
      <c r="J507" s="44"/>
      <c r="K507" s="44"/>
      <c r="L507" s="44"/>
      <c r="M507" s="44"/>
      <c r="N507" s="44"/>
      <c r="O507" s="44"/>
      <c r="P507" s="44"/>
      <c r="Q507" s="44"/>
      <c r="R507" s="44"/>
      <c r="S507" s="44"/>
      <c r="T507" s="44"/>
      <c r="U507" s="44"/>
      <c r="V507" s="44"/>
    </row>
    <row r="508" spans="1:22" ht="15.75" customHeight="1" x14ac:dyDescent="0.35">
      <c r="A508" s="47"/>
      <c r="I508" s="44"/>
      <c r="J508" s="44"/>
      <c r="K508" s="44"/>
      <c r="L508" s="44"/>
      <c r="M508" s="44"/>
      <c r="N508" s="44"/>
      <c r="O508" s="44"/>
      <c r="P508" s="44"/>
      <c r="Q508" s="44"/>
      <c r="R508" s="44"/>
      <c r="S508" s="44"/>
      <c r="T508" s="44"/>
      <c r="U508" s="44"/>
      <c r="V508" s="44"/>
    </row>
    <row r="509" spans="1:22" ht="15.75" customHeight="1" x14ac:dyDescent="0.35">
      <c r="A509" s="47"/>
      <c r="I509" s="44"/>
      <c r="J509" s="44"/>
      <c r="K509" s="44"/>
      <c r="L509" s="44"/>
      <c r="M509" s="44"/>
      <c r="N509" s="44"/>
      <c r="O509" s="44"/>
      <c r="P509" s="44"/>
      <c r="Q509" s="44"/>
      <c r="R509" s="44"/>
      <c r="S509" s="44"/>
      <c r="T509" s="44"/>
      <c r="U509" s="44"/>
      <c r="V509" s="44"/>
    </row>
    <row r="510" spans="1:22" ht="15.75" customHeight="1" x14ac:dyDescent="0.35">
      <c r="A510" s="47"/>
      <c r="I510" s="44"/>
      <c r="J510" s="44"/>
      <c r="K510" s="44"/>
      <c r="L510" s="44"/>
      <c r="M510" s="44"/>
      <c r="N510" s="44"/>
      <c r="O510" s="44"/>
      <c r="P510" s="44"/>
      <c r="Q510" s="44"/>
      <c r="R510" s="44"/>
      <c r="S510" s="44"/>
      <c r="T510" s="44"/>
      <c r="U510" s="44"/>
      <c r="V510" s="44"/>
    </row>
    <row r="511" spans="1:22" ht="15.75" customHeight="1" x14ac:dyDescent="0.35">
      <c r="A511" s="47"/>
      <c r="I511" s="44"/>
      <c r="J511" s="44"/>
      <c r="K511" s="44"/>
      <c r="L511" s="44"/>
      <c r="M511" s="44"/>
      <c r="N511" s="44"/>
      <c r="O511" s="44"/>
      <c r="P511" s="44"/>
      <c r="Q511" s="44"/>
      <c r="R511" s="44"/>
      <c r="S511" s="44"/>
      <c r="T511" s="44"/>
      <c r="U511" s="44"/>
      <c r="V511" s="44"/>
    </row>
    <row r="512" spans="1:22" ht="15.75" customHeight="1" x14ac:dyDescent="0.35">
      <c r="A512" s="47"/>
      <c r="I512" s="44"/>
      <c r="J512" s="44"/>
      <c r="K512" s="44"/>
      <c r="L512" s="44"/>
      <c r="M512" s="44"/>
      <c r="N512" s="44"/>
      <c r="O512" s="44"/>
      <c r="P512" s="44"/>
      <c r="Q512" s="44"/>
      <c r="R512" s="44"/>
      <c r="S512" s="44"/>
      <c r="T512" s="44"/>
      <c r="U512" s="44"/>
      <c r="V512" s="44"/>
    </row>
    <row r="513" spans="1:22" ht="15.75" customHeight="1" x14ac:dyDescent="0.35">
      <c r="A513" s="47"/>
      <c r="I513" s="44"/>
      <c r="J513" s="44"/>
      <c r="K513" s="44"/>
      <c r="L513" s="44"/>
      <c r="M513" s="44"/>
      <c r="N513" s="44"/>
      <c r="O513" s="44"/>
      <c r="P513" s="44"/>
      <c r="Q513" s="44"/>
      <c r="R513" s="44"/>
      <c r="S513" s="44"/>
      <c r="T513" s="44"/>
      <c r="U513" s="44"/>
      <c r="V513" s="44"/>
    </row>
    <row r="514" spans="1:22" ht="15.75" customHeight="1" x14ac:dyDescent="0.35">
      <c r="A514" s="47"/>
      <c r="I514" s="44"/>
      <c r="J514" s="44"/>
      <c r="K514" s="44"/>
      <c r="L514" s="44"/>
      <c r="M514" s="44"/>
      <c r="N514" s="44"/>
      <c r="O514" s="44"/>
      <c r="P514" s="44"/>
      <c r="Q514" s="44"/>
      <c r="R514" s="44"/>
      <c r="S514" s="44"/>
      <c r="T514" s="44"/>
      <c r="U514" s="44"/>
      <c r="V514" s="44"/>
    </row>
    <row r="515" spans="1:22" ht="15.75" customHeight="1" x14ac:dyDescent="0.35">
      <c r="A515" s="47"/>
      <c r="I515" s="44"/>
      <c r="J515" s="44"/>
      <c r="K515" s="44"/>
      <c r="L515" s="44"/>
      <c r="M515" s="44"/>
      <c r="N515" s="44"/>
      <c r="O515" s="44"/>
      <c r="P515" s="44"/>
      <c r="Q515" s="44"/>
      <c r="R515" s="44"/>
      <c r="S515" s="44"/>
      <c r="T515" s="44"/>
      <c r="U515" s="44"/>
      <c r="V515" s="44"/>
    </row>
    <row r="516" spans="1:22" ht="15.75" customHeight="1" x14ac:dyDescent="0.35">
      <c r="A516" s="47"/>
      <c r="I516" s="44"/>
      <c r="J516" s="44"/>
      <c r="K516" s="44"/>
      <c r="L516" s="44"/>
      <c r="M516" s="44"/>
      <c r="N516" s="44"/>
      <c r="O516" s="44"/>
      <c r="P516" s="44"/>
      <c r="Q516" s="44"/>
      <c r="R516" s="44"/>
      <c r="S516" s="44"/>
      <c r="T516" s="44"/>
      <c r="U516" s="44"/>
      <c r="V516" s="44"/>
    </row>
    <row r="517" spans="1:22" ht="15.75" customHeight="1" x14ac:dyDescent="0.35">
      <c r="A517" s="47"/>
      <c r="I517" s="44"/>
      <c r="J517" s="44"/>
      <c r="K517" s="44"/>
      <c r="L517" s="44"/>
      <c r="M517" s="44"/>
      <c r="N517" s="44"/>
      <c r="O517" s="44"/>
      <c r="P517" s="44"/>
      <c r="Q517" s="44"/>
      <c r="R517" s="44"/>
      <c r="S517" s="44"/>
      <c r="T517" s="44"/>
      <c r="U517" s="44"/>
      <c r="V517" s="44"/>
    </row>
    <row r="518" spans="1:22" ht="15.75" customHeight="1" x14ac:dyDescent="0.35">
      <c r="A518" s="47"/>
      <c r="I518" s="44"/>
      <c r="J518" s="44"/>
      <c r="K518" s="44"/>
      <c r="L518" s="44"/>
      <c r="M518" s="44"/>
      <c r="N518" s="44"/>
      <c r="O518" s="44"/>
      <c r="P518" s="44"/>
      <c r="Q518" s="44"/>
      <c r="R518" s="44"/>
      <c r="S518" s="44"/>
      <c r="T518" s="44"/>
      <c r="U518" s="44"/>
      <c r="V518" s="44"/>
    </row>
    <row r="519" spans="1:22" ht="15.75" customHeight="1" x14ac:dyDescent="0.35">
      <c r="A519" s="47"/>
      <c r="I519" s="44"/>
      <c r="J519" s="44"/>
      <c r="K519" s="44"/>
      <c r="L519" s="44"/>
      <c r="M519" s="44"/>
      <c r="N519" s="44"/>
      <c r="O519" s="44"/>
      <c r="P519" s="44"/>
      <c r="Q519" s="44"/>
      <c r="R519" s="44"/>
      <c r="S519" s="44"/>
      <c r="T519" s="44"/>
      <c r="U519" s="44"/>
      <c r="V519" s="44"/>
    </row>
    <row r="520" spans="1:22" ht="15.75" customHeight="1" x14ac:dyDescent="0.35">
      <c r="A520" s="47"/>
      <c r="I520" s="44"/>
      <c r="J520" s="44"/>
      <c r="K520" s="44"/>
      <c r="L520" s="44"/>
      <c r="M520" s="44"/>
      <c r="N520" s="44"/>
      <c r="O520" s="44"/>
      <c r="P520" s="44"/>
      <c r="Q520" s="44"/>
      <c r="R520" s="44"/>
      <c r="S520" s="44"/>
      <c r="T520" s="44"/>
      <c r="U520" s="44"/>
      <c r="V520" s="44"/>
    </row>
    <row r="521" spans="1:22" ht="15.75" customHeight="1" x14ac:dyDescent="0.35">
      <c r="A521" s="47"/>
      <c r="I521" s="44"/>
      <c r="J521" s="44"/>
      <c r="K521" s="44"/>
      <c r="L521" s="44"/>
      <c r="M521" s="44"/>
      <c r="N521" s="44"/>
      <c r="O521" s="44"/>
      <c r="P521" s="44"/>
      <c r="Q521" s="44"/>
      <c r="R521" s="44"/>
      <c r="S521" s="44"/>
      <c r="T521" s="44"/>
      <c r="U521" s="44"/>
      <c r="V521" s="44"/>
    </row>
    <row r="522" spans="1:22" ht="15.75" customHeight="1" x14ac:dyDescent="0.35">
      <c r="A522" s="47"/>
      <c r="I522" s="44"/>
      <c r="J522" s="44"/>
      <c r="K522" s="44"/>
      <c r="L522" s="44"/>
      <c r="M522" s="44"/>
      <c r="N522" s="44"/>
      <c r="O522" s="44"/>
      <c r="P522" s="44"/>
      <c r="Q522" s="44"/>
      <c r="R522" s="44"/>
      <c r="S522" s="44"/>
      <c r="T522" s="44"/>
      <c r="U522" s="44"/>
      <c r="V522" s="44"/>
    </row>
    <row r="523" spans="1:22" ht="15.75" customHeight="1" x14ac:dyDescent="0.35">
      <c r="A523" s="47"/>
      <c r="I523" s="44"/>
      <c r="J523" s="44"/>
      <c r="K523" s="44"/>
      <c r="L523" s="44"/>
      <c r="M523" s="44"/>
      <c r="N523" s="44"/>
      <c r="O523" s="44"/>
      <c r="P523" s="44"/>
      <c r="Q523" s="44"/>
      <c r="R523" s="44"/>
      <c r="S523" s="44"/>
      <c r="T523" s="44"/>
      <c r="U523" s="44"/>
      <c r="V523" s="44"/>
    </row>
    <row r="524" spans="1:22" ht="15.75" customHeight="1" x14ac:dyDescent="0.35">
      <c r="A524" s="47"/>
      <c r="I524" s="44"/>
      <c r="J524" s="44"/>
      <c r="K524" s="44"/>
      <c r="L524" s="44"/>
      <c r="M524" s="44"/>
      <c r="N524" s="44"/>
      <c r="O524" s="44"/>
      <c r="P524" s="44"/>
      <c r="Q524" s="44"/>
      <c r="R524" s="44"/>
      <c r="S524" s="44"/>
      <c r="T524" s="44"/>
      <c r="U524" s="44"/>
      <c r="V524" s="44"/>
    </row>
    <row r="525" spans="1:22" ht="15.75" customHeight="1" x14ac:dyDescent="0.35">
      <c r="A525" s="47"/>
      <c r="I525" s="44"/>
      <c r="J525" s="44"/>
      <c r="K525" s="44"/>
      <c r="L525" s="44"/>
      <c r="M525" s="44"/>
      <c r="N525" s="44"/>
      <c r="O525" s="44"/>
      <c r="P525" s="44"/>
      <c r="Q525" s="44"/>
      <c r="R525" s="44"/>
      <c r="S525" s="44"/>
      <c r="T525" s="44"/>
      <c r="U525" s="44"/>
      <c r="V525" s="44"/>
    </row>
    <row r="526" spans="1:22" ht="15.75" customHeight="1" x14ac:dyDescent="0.35">
      <c r="A526" s="47"/>
      <c r="I526" s="44"/>
      <c r="J526" s="44"/>
      <c r="K526" s="44"/>
      <c r="L526" s="44"/>
      <c r="M526" s="44"/>
      <c r="N526" s="44"/>
      <c r="O526" s="44"/>
      <c r="P526" s="44"/>
      <c r="Q526" s="44"/>
      <c r="R526" s="44"/>
      <c r="S526" s="44"/>
      <c r="T526" s="44"/>
      <c r="U526" s="44"/>
      <c r="V526" s="44"/>
    </row>
    <row r="527" spans="1:22" ht="15.75" customHeight="1" x14ac:dyDescent="0.35">
      <c r="A527" s="47"/>
      <c r="I527" s="44"/>
      <c r="J527" s="44"/>
      <c r="K527" s="44"/>
      <c r="L527" s="44"/>
      <c r="M527" s="44"/>
      <c r="N527" s="44"/>
      <c r="O527" s="44"/>
      <c r="P527" s="44"/>
      <c r="Q527" s="44"/>
      <c r="R527" s="44"/>
      <c r="S527" s="44"/>
      <c r="T527" s="44"/>
      <c r="U527" s="44"/>
      <c r="V527" s="44"/>
    </row>
    <row r="528" spans="1:22" ht="15.75" customHeight="1" x14ac:dyDescent="0.35">
      <c r="A528" s="47"/>
      <c r="I528" s="44"/>
      <c r="J528" s="44"/>
      <c r="K528" s="44"/>
      <c r="L528" s="44"/>
      <c r="M528" s="44"/>
      <c r="N528" s="44"/>
      <c r="O528" s="44"/>
      <c r="P528" s="44"/>
      <c r="Q528" s="44"/>
      <c r="R528" s="44"/>
      <c r="S528" s="44"/>
      <c r="T528" s="44"/>
      <c r="U528" s="44"/>
      <c r="V528" s="44"/>
    </row>
    <row r="529" spans="1:22" ht="15.75" customHeight="1" x14ac:dyDescent="0.35">
      <c r="A529" s="47"/>
      <c r="I529" s="44"/>
      <c r="J529" s="44"/>
      <c r="K529" s="44"/>
      <c r="L529" s="44"/>
      <c r="M529" s="44"/>
      <c r="N529" s="44"/>
      <c r="O529" s="44"/>
      <c r="P529" s="44"/>
      <c r="Q529" s="44"/>
      <c r="R529" s="44"/>
      <c r="S529" s="44"/>
      <c r="T529" s="44"/>
      <c r="U529" s="44"/>
      <c r="V529" s="44"/>
    </row>
    <row r="530" spans="1:22" ht="15.75" customHeight="1" x14ac:dyDescent="0.35">
      <c r="A530" s="47"/>
      <c r="I530" s="44"/>
      <c r="J530" s="44"/>
      <c r="K530" s="44"/>
      <c r="L530" s="44"/>
      <c r="M530" s="44"/>
      <c r="N530" s="44"/>
      <c r="O530" s="44"/>
      <c r="P530" s="44"/>
      <c r="Q530" s="44"/>
      <c r="R530" s="44"/>
      <c r="S530" s="44"/>
      <c r="T530" s="44"/>
      <c r="U530" s="44"/>
      <c r="V530" s="44"/>
    </row>
    <row r="531" spans="1:22" ht="15.75" customHeight="1" x14ac:dyDescent="0.35">
      <c r="A531" s="47"/>
      <c r="I531" s="44"/>
      <c r="J531" s="44"/>
      <c r="K531" s="44"/>
      <c r="L531" s="44"/>
      <c r="M531" s="44"/>
      <c r="N531" s="44"/>
      <c r="O531" s="44"/>
      <c r="P531" s="44"/>
      <c r="Q531" s="44"/>
      <c r="R531" s="44"/>
      <c r="S531" s="44"/>
      <c r="T531" s="44"/>
      <c r="U531" s="44"/>
      <c r="V531" s="44"/>
    </row>
    <row r="532" spans="1:22" ht="15.75" customHeight="1" x14ac:dyDescent="0.35">
      <c r="A532" s="47"/>
      <c r="I532" s="44"/>
      <c r="J532" s="44"/>
      <c r="K532" s="44"/>
      <c r="L532" s="44"/>
      <c r="M532" s="44"/>
      <c r="N532" s="44"/>
      <c r="O532" s="44"/>
      <c r="P532" s="44"/>
      <c r="Q532" s="44"/>
      <c r="R532" s="44"/>
      <c r="S532" s="44"/>
      <c r="T532" s="44"/>
      <c r="U532" s="44"/>
      <c r="V532" s="44"/>
    </row>
    <row r="533" spans="1:22" ht="15.75" customHeight="1" x14ac:dyDescent="0.35">
      <c r="A533" s="47"/>
      <c r="I533" s="44"/>
      <c r="J533" s="44"/>
      <c r="K533" s="44"/>
      <c r="L533" s="44"/>
      <c r="M533" s="44"/>
      <c r="N533" s="44"/>
      <c r="O533" s="44"/>
      <c r="P533" s="44"/>
      <c r="Q533" s="44"/>
      <c r="R533" s="44"/>
      <c r="S533" s="44"/>
      <c r="T533" s="44"/>
      <c r="U533" s="44"/>
      <c r="V533" s="44"/>
    </row>
    <row r="534" spans="1:22" ht="15.75" customHeight="1" x14ac:dyDescent="0.35">
      <c r="A534" s="47"/>
      <c r="I534" s="44"/>
      <c r="J534" s="44"/>
      <c r="K534" s="44"/>
      <c r="L534" s="44"/>
      <c r="M534" s="44"/>
      <c r="N534" s="44"/>
      <c r="O534" s="44"/>
      <c r="P534" s="44"/>
      <c r="Q534" s="44"/>
      <c r="R534" s="44"/>
      <c r="S534" s="44"/>
      <c r="T534" s="44"/>
      <c r="U534" s="44"/>
      <c r="V534" s="44"/>
    </row>
    <row r="535" spans="1:22" ht="15.75" customHeight="1" x14ac:dyDescent="0.35">
      <c r="A535" s="47"/>
      <c r="I535" s="44"/>
      <c r="J535" s="44"/>
      <c r="K535" s="44"/>
      <c r="L535" s="44"/>
      <c r="M535" s="44"/>
      <c r="N535" s="44"/>
      <c r="O535" s="44"/>
      <c r="P535" s="44"/>
      <c r="Q535" s="44"/>
      <c r="R535" s="44"/>
      <c r="S535" s="44"/>
      <c r="T535" s="44"/>
      <c r="U535" s="44"/>
      <c r="V535" s="44"/>
    </row>
    <row r="536" spans="1:22" ht="15.75" customHeight="1" x14ac:dyDescent="0.35">
      <c r="A536" s="47"/>
      <c r="I536" s="44"/>
      <c r="J536" s="44"/>
      <c r="K536" s="44"/>
      <c r="L536" s="44"/>
      <c r="M536" s="44"/>
      <c r="N536" s="44"/>
      <c r="O536" s="44"/>
      <c r="P536" s="44"/>
      <c r="Q536" s="44"/>
      <c r="R536" s="44"/>
      <c r="S536" s="44"/>
      <c r="T536" s="44"/>
      <c r="U536" s="44"/>
      <c r="V536" s="44"/>
    </row>
    <row r="537" spans="1:22" ht="15.75" customHeight="1" x14ac:dyDescent="0.35">
      <c r="A537" s="47"/>
      <c r="I537" s="44"/>
      <c r="J537" s="44"/>
      <c r="K537" s="44"/>
      <c r="L537" s="44"/>
      <c r="M537" s="44"/>
      <c r="N537" s="44"/>
      <c r="O537" s="44"/>
      <c r="P537" s="44"/>
      <c r="Q537" s="44"/>
      <c r="R537" s="44"/>
      <c r="S537" s="44"/>
      <c r="T537" s="44"/>
      <c r="U537" s="44"/>
      <c r="V537" s="44"/>
    </row>
    <row r="538" spans="1:22" ht="15.75" customHeight="1" x14ac:dyDescent="0.35">
      <c r="A538" s="47"/>
      <c r="I538" s="44"/>
      <c r="J538" s="44"/>
      <c r="K538" s="44"/>
      <c r="L538" s="44"/>
      <c r="M538" s="44"/>
      <c r="N538" s="44"/>
      <c r="O538" s="44"/>
      <c r="P538" s="44"/>
      <c r="Q538" s="44"/>
      <c r="R538" s="44"/>
      <c r="S538" s="44"/>
      <c r="T538" s="44"/>
      <c r="U538" s="44"/>
      <c r="V538" s="44"/>
    </row>
    <row r="539" spans="1:22" ht="15.75" customHeight="1" x14ac:dyDescent="0.35">
      <c r="A539" s="47"/>
      <c r="I539" s="44"/>
      <c r="J539" s="44"/>
      <c r="K539" s="44"/>
      <c r="L539" s="44"/>
      <c r="M539" s="44"/>
      <c r="N539" s="44"/>
      <c r="O539" s="44"/>
      <c r="P539" s="44"/>
      <c r="Q539" s="44"/>
      <c r="R539" s="44"/>
      <c r="S539" s="44"/>
      <c r="T539" s="44"/>
      <c r="U539" s="44"/>
      <c r="V539" s="44"/>
    </row>
    <row r="540" spans="1:22" ht="15.75" customHeight="1" x14ac:dyDescent="0.35">
      <c r="A540" s="47"/>
      <c r="I540" s="44"/>
      <c r="J540" s="44"/>
      <c r="K540" s="44"/>
      <c r="L540" s="44"/>
      <c r="M540" s="44"/>
      <c r="N540" s="44"/>
      <c r="O540" s="44"/>
      <c r="P540" s="44"/>
      <c r="Q540" s="44"/>
      <c r="R540" s="44"/>
      <c r="S540" s="44"/>
      <c r="T540" s="44"/>
      <c r="U540" s="44"/>
      <c r="V540" s="44"/>
    </row>
    <row r="541" spans="1:22" ht="15.75" customHeight="1" x14ac:dyDescent="0.35">
      <c r="A541" s="47"/>
      <c r="I541" s="44"/>
      <c r="J541" s="44"/>
      <c r="K541" s="44"/>
      <c r="L541" s="44"/>
      <c r="M541" s="44"/>
      <c r="N541" s="44"/>
      <c r="O541" s="44"/>
      <c r="P541" s="44"/>
      <c r="Q541" s="44"/>
      <c r="R541" s="44"/>
      <c r="S541" s="44"/>
      <c r="T541" s="44"/>
      <c r="U541" s="44"/>
      <c r="V541" s="44"/>
    </row>
    <row r="542" spans="1:22" ht="15.75" customHeight="1" x14ac:dyDescent="0.35">
      <c r="A542" s="47"/>
      <c r="I542" s="44"/>
      <c r="J542" s="44"/>
      <c r="K542" s="44"/>
      <c r="L542" s="44"/>
      <c r="M542" s="44"/>
      <c r="N542" s="44"/>
      <c r="O542" s="44"/>
      <c r="P542" s="44"/>
      <c r="Q542" s="44"/>
      <c r="R542" s="44"/>
      <c r="S542" s="44"/>
      <c r="T542" s="44"/>
      <c r="U542" s="44"/>
      <c r="V542" s="44"/>
    </row>
    <row r="543" spans="1:22" ht="15.75" customHeight="1" x14ac:dyDescent="0.35">
      <c r="A543" s="47"/>
      <c r="I543" s="44"/>
      <c r="J543" s="44"/>
      <c r="K543" s="44"/>
      <c r="L543" s="44"/>
      <c r="M543" s="44"/>
      <c r="N543" s="44"/>
      <c r="O543" s="44"/>
      <c r="P543" s="44"/>
      <c r="Q543" s="44"/>
      <c r="R543" s="44"/>
      <c r="S543" s="44"/>
      <c r="T543" s="44"/>
      <c r="U543" s="44"/>
      <c r="V543" s="44"/>
    </row>
    <row r="544" spans="1:22" ht="15.75" customHeight="1" x14ac:dyDescent="0.35">
      <c r="A544" s="47"/>
      <c r="I544" s="44"/>
      <c r="J544" s="44"/>
      <c r="K544" s="44"/>
      <c r="L544" s="44"/>
      <c r="M544" s="44"/>
      <c r="N544" s="44"/>
      <c r="O544" s="44"/>
      <c r="P544" s="44"/>
      <c r="Q544" s="44"/>
      <c r="R544" s="44"/>
      <c r="S544" s="44"/>
      <c r="T544" s="44"/>
      <c r="U544" s="44"/>
      <c r="V544" s="44"/>
    </row>
    <row r="545" spans="1:22" ht="15.75" customHeight="1" x14ac:dyDescent="0.35">
      <c r="A545" s="47"/>
      <c r="I545" s="44"/>
      <c r="J545" s="44"/>
      <c r="K545" s="44"/>
      <c r="L545" s="44"/>
      <c r="M545" s="44"/>
      <c r="N545" s="44"/>
      <c r="O545" s="44"/>
      <c r="P545" s="44"/>
      <c r="Q545" s="44"/>
      <c r="R545" s="44"/>
      <c r="S545" s="44"/>
      <c r="T545" s="44"/>
      <c r="U545" s="44"/>
      <c r="V545" s="44"/>
    </row>
    <row r="546" spans="1:22" ht="15.75" customHeight="1" x14ac:dyDescent="0.35">
      <c r="A546" s="47"/>
      <c r="I546" s="44"/>
      <c r="J546" s="44"/>
      <c r="K546" s="44"/>
      <c r="L546" s="44"/>
      <c r="M546" s="44"/>
      <c r="N546" s="44"/>
      <c r="O546" s="44"/>
      <c r="P546" s="44"/>
      <c r="Q546" s="44"/>
      <c r="R546" s="44"/>
      <c r="S546" s="44"/>
      <c r="T546" s="44"/>
      <c r="U546" s="44"/>
      <c r="V546" s="44"/>
    </row>
    <row r="547" spans="1:22" ht="15.75" customHeight="1" x14ac:dyDescent="0.35">
      <c r="A547" s="47"/>
      <c r="I547" s="44"/>
      <c r="J547" s="44"/>
      <c r="K547" s="44"/>
      <c r="L547" s="44"/>
      <c r="M547" s="44"/>
      <c r="N547" s="44"/>
      <c r="O547" s="44"/>
      <c r="P547" s="44"/>
      <c r="Q547" s="44"/>
      <c r="R547" s="44"/>
      <c r="S547" s="44"/>
      <c r="T547" s="44"/>
      <c r="U547" s="44"/>
      <c r="V547" s="44"/>
    </row>
    <row r="548" spans="1:22" ht="15.75" customHeight="1" x14ac:dyDescent="0.35">
      <c r="A548" s="47"/>
      <c r="I548" s="44"/>
      <c r="J548" s="44"/>
      <c r="K548" s="44"/>
      <c r="L548" s="44"/>
      <c r="M548" s="44"/>
      <c r="N548" s="44"/>
      <c r="O548" s="44"/>
      <c r="P548" s="44"/>
      <c r="Q548" s="44"/>
      <c r="R548" s="44"/>
      <c r="S548" s="44"/>
      <c r="T548" s="44"/>
      <c r="U548" s="44"/>
      <c r="V548" s="44"/>
    </row>
    <row r="549" spans="1:22" ht="15.75" customHeight="1" x14ac:dyDescent="0.35">
      <c r="A549" s="47"/>
      <c r="I549" s="44"/>
      <c r="J549" s="44"/>
      <c r="K549" s="44"/>
      <c r="L549" s="44"/>
      <c r="M549" s="44"/>
      <c r="N549" s="44"/>
      <c r="O549" s="44"/>
      <c r="P549" s="44"/>
      <c r="Q549" s="44"/>
      <c r="R549" s="44"/>
      <c r="S549" s="44"/>
      <c r="T549" s="44"/>
      <c r="U549" s="44"/>
      <c r="V549" s="44"/>
    </row>
    <row r="550" spans="1:22" ht="15.75" customHeight="1" x14ac:dyDescent="0.35">
      <c r="A550" s="47"/>
      <c r="I550" s="44"/>
      <c r="J550" s="44"/>
      <c r="K550" s="44"/>
      <c r="L550" s="44"/>
      <c r="M550" s="44"/>
      <c r="N550" s="44"/>
      <c r="O550" s="44"/>
      <c r="P550" s="44"/>
      <c r="Q550" s="44"/>
      <c r="R550" s="44"/>
      <c r="S550" s="44"/>
      <c r="T550" s="44"/>
      <c r="U550" s="44"/>
      <c r="V550" s="44"/>
    </row>
    <row r="551" spans="1:22" ht="15.75" customHeight="1" x14ac:dyDescent="0.35">
      <c r="A551" s="47"/>
      <c r="I551" s="44"/>
      <c r="J551" s="44"/>
      <c r="K551" s="44"/>
      <c r="L551" s="44"/>
      <c r="M551" s="44"/>
      <c r="N551" s="44"/>
      <c r="O551" s="44"/>
      <c r="P551" s="44"/>
      <c r="Q551" s="44"/>
      <c r="R551" s="44"/>
      <c r="S551" s="44"/>
      <c r="T551" s="44"/>
      <c r="U551" s="44"/>
      <c r="V551" s="44"/>
    </row>
    <row r="552" spans="1:22" ht="15.75" customHeight="1" x14ac:dyDescent="0.35">
      <c r="A552" s="47"/>
      <c r="I552" s="44"/>
      <c r="J552" s="44"/>
      <c r="K552" s="44"/>
      <c r="L552" s="44"/>
      <c r="M552" s="44"/>
      <c r="N552" s="44"/>
      <c r="O552" s="44"/>
      <c r="P552" s="44"/>
      <c r="Q552" s="44"/>
      <c r="R552" s="44"/>
      <c r="S552" s="44"/>
      <c r="T552" s="44"/>
      <c r="U552" s="44"/>
      <c r="V552" s="44"/>
    </row>
    <row r="553" spans="1:22" ht="15.75" customHeight="1" x14ac:dyDescent="0.35">
      <c r="A553" s="47"/>
      <c r="I553" s="44"/>
      <c r="J553" s="44"/>
      <c r="K553" s="44"/>
      <c r="L553" s="44"/>
      <c r="M553" s="44"/>
      <c r="N553" s="44"/>
      <c r="O553" s="44"/>
      <c r="P553" s="44"/>
      <c r="Q553" s="44"/>
      <c r="R553" s="44"/>
      <c r="S553" s="44"/>
      <c r="T553" s="44"/>
      <c r="U553" s="44"/>
      <c r="V553" s="44"/>
    </row>
    <row r="554" spans="1:22" ht="15.75" customHeight="1" x14ac:dyDescent="0.35">
      <c r="A554" s="47"/>
      <c r="I554" s="44"/>
      <c r="J554" s="44"/>
      <c r="K554" s="44"/>
      <c r="L554" s="44"/>
      <c r="M554" s="44"/>
      <c r="N554" s="44"/>
      <c r="O554" s="44"/>
      <c r="P554" s="44"/>
      <c r="Q554" s="44"/>
      <c r="R554" s="44"/>
      <c r="S554" s="44"/>
      <c r="T554" s="44"/>
      <c r="U554" s="44"/>
      <c r="V554" s="44"/>
    </row>
    <row r="555" spans="1:22" ht="15.75" customHeight="1" x14ac:dyDescent="0.35">
      <c r="A555" s="47"/>
      <c r="I555" s="44"/>
      <c r="J555" s="44"/>
      <c r="K555" s="44"/>
      <c r="L555" s="44"/>
      <c r="M555" s="44"/>
      <c r="N555" s="44"/>
      <c r="O555" s="44"/>
      <c r="P555" s="44"/>
      <c r="Q555" s="44"/>
      <c r="R555" s="44"/>
      <c r="S555" s="44"/>
      <c r="T555" s="44"/>
      <c r="U555" s="44"/>
      <c r="V555" s="44"/>
    </row>
    <row r="556" spans="1:22" ht="15.75" customHeight="1" x14ac:dyDescent="0.35">
      <c r="A556" s="47"/>
      <c r="I556" s="44"/>
      <c r="J556" s="44"/>
      <c r="K556" s="44"/>
      <c r="L556" s="44"/>
      <c r="M556" s="44"/>
      <c r="N556" s="44"/>
      <c r="O556" s="44"/>
      <c r="P556" s="44"/>
      <c r="Q556" s="44"/>
      <c r="R556" s="44"/>
      <c r="S556" s="44"/>
      <c r="T556" s="44"/>
      <c r="U556" s="44"/>
      <c r="V556" s="44"/>
    </row>
    <row r="557" spans="1:22" ht="15.75" customHeight="1" x14ac:dyDescent="0.35">
      <c r="A557" s="47"/>
      <c r="I557" s="44"/>
      <c r="J557" s="44"/>
      <c r="K557" s="44"/>
      <c r="L557" s="44"/>
      <c r="M557" s="44"/>
      <c r="N557" s="44"/>
      <c r="O557" s="44"/>
      <c r="P557" s="44"/>
      <c r="Q557" s="44"/>
      <c r="R557" s="44"/>
      <c r="S557" s="44"/>
      <c r="T557" s="44"/>
      <c r="U557" s="44"/>
      <c r="V557" s="44"/>
    </row>
    <row r="558" spans="1:22" ht="15.75" customHeight="1" x14ac:dyDescent="0.35">
      <c r="A558" s="47"/>
      <c r="I558" s="44"/>
      <c r="J558" s="44"/>
      <c r="K558" s="44"/>
      <c r="L558" s="44"/>
      <c r="M558" s="44"/>
      <c r="N558" s="44"/>
      <c r="O558" s="44"/>
      <c r="P558" s="44"/>
      <c r="Q558" s="44"/>
      <c r="R558" s="44"/>
      <c r="S558" s="44"/>
      <c r="T558" s="44"/>
      <c r="U558" s="44"/>
      <c r="V558" s="44"/>
    </row>
    <row r="559" spans="1:22" ht="15.75" customHeight="1" x14ac:dyDescent="0.35">
      <c r="A559" s="47"/>
      <c r="I559" s="44"/>
      <c r="J559" s="44"/>
      <c r="K559" s="44"/>
      <c r="L559" s="44"/>
      <c r="M559" s="44"/>
      <c r="N559" s="44"/>
      <c r="O559" s="44"/>
      <c r="P559" s="44"/>
      <c r="Q559" s="44"/>
      <c r="R559" s="44"/>
      <c r="S559" s="44"/>
      <c r="T559" s="44"/>
      <c r="U559" s="44"/>
      <c r="V559" s="44"/>
    </row>
    <row r="560" spans="1:22" ht="15.75" customHeight="1" x14ac:dyDescent="0.35">
      <c r="A560" s="47"/>
      <c r="I560" s="44"/>
      <c r="J560" s="44"/>
      <c r="K560" s="44"/>
      <c r="L560" s="44"/>
      <c r="M560" s="44"/>
      <c r="N560" s="44"/>
      <c r="O560" s="44"/>
      <c r="P560" s="44"/>
      <c r="Q560" s="44"/>
      <c r="R560" s="44"/>
      <c r="S560" s="44"/>
      <c r="T560" s="44"/>
      <c r="U560" s="44"/>
      <c r="V560" s="44"/>
    </row>
    <row r="561" spans="1:22" ht="15.75" customHeight="1" x14ac:dyDescent="0.35">
      <c r="A561" s="47"/>
      <c r="I561" s="44"/>
      <c r="J561" s="44"/>
      <c r="K561" s="44"/>
      <c r="L561" s="44"/>
      <c r="M561" s="44"/>
      <c r="N561" s="44"/>
      <c r="O561" s="44"/>
      <c r="P561" s="44"/>
      <c r="Q561" s="44"/>
      <c r="R561" s="44"/>
      <c r="S561" s="44"/>
      <c r="T561" s="44"/>
      <c r="U561" s="44"/>
      <c r="V561" s="44"/>
    </row>
    <row r="562" spans="1:22" ht="15.75" customHeight="1" x14ac:dyDescent="0.35">
      <c r="A562" s="47"/>
      <c r="I562" s="44"/>
      <c r="J562" s="44"/>
      <c r="K562" s="44"/>
      <c r="L562" s="44"/>
      <c r="M562" s="44"/>
      <c r="N562" s="44"/>
      <c r="O562" s="44"/>
      <c r="P562" s="44"/>
      <c r="Q562" s="44"/>
      <c r="R562" s="44"/>
      <c r="S562" s="44"/>
      <c r="T562" s="44"/>
      <c r="U562" s="44"/>
      <c r="V562" s="44"/>
    </row>
    <row r="563" spans="1:22" ht="15.75" customHeight="1" x14ac:dyDescent="0.35">
      <c r="A563" s="47"/>
      <c r="I563" s="44"/>
      <c r="J563" s="44"/>
      <c r="K563" s="44"/>
      <c r="L563" s="44"/>
      <c r="M563" s="44"/>
      <c r="N563" s="44"/>
      <c r="O563" s="44"/>
      <c r="P563" s="44"/>
      <c r="Q563" s="44"/>
      <c r="R563" s="44"/>
      <c r="S563" s="44"/>
      <c r="T563" s="44"/>
      <c r="U563" s="44"/>
      <c r="V563" s="44"/>
    </row>
    <row r="564" spans="1:22" ht="15.75" customHeight="1" x14ac:dyDescent="0.35">
      <c r="A564" s="47"/>
      <c r="I564" s="44"/>
      <c r="J564" s="44"/>
      <c r="K564" s="44"/>
      <c r="L564" s="44"/>
      <c r="M564" s="44"/>
      <c r="N564" s="44"/>
      <c r="O564" s="44"/>
      <c r="P564" s="44"/>
      <c r="Q564" s="44"/>
      <c r="R564" s="44"/>
      <c r="S564" s="44"/>
      <c r="T564" s="44"/>
      <c r="U564" s="44"/>
      <c r="V564" s="44"/>
    </row>
    <row r="565" spans="1:22" ht="15.75" customHeight="1" x14ac:dyDescent="0.35">
      <c r="A565" s="47"/>
      <c r="I565" s="44"/>
      <c r="J565" s="44"/>
      <c r="K565" s="44"/>
      <c r="L565" s="44"/>
      <c r="M565" s="44"/>
      <c r="N565" s="44"/>
      <c r="O565" s="44"/>
      <c r="P565" s="44"/>
      <c r="Q565" s="44"/>
      <c r="R565" s="44"/>
      <c r="S565" s="44"/>
      <c r="T565" s="44"/>
      <c r="U565" s="44"/>
      <c r="V565" s="44"/>
    </row>
    <row r="566" spans="1:22" ht="15.75" customHeight="1" x14ac:dyDescent="0.35">
      <c r="A566" s="47"/>
      <c r="I566" s="44"/>
      <c r="J566" s="44"/>
      <c r="K566" s="44"/>
      <c r="L566" s="44"/>
      <c r="M566" s="44"/>
      <c r="N566" s="44"/>
      <c r="O566" s="44"/>
      <c r="P566" s="44"/>
      <c r="Q566" s="44"/>
      <c r="R566" s="44"/>
      <c r="S566" s="44"/>
      <c r="T566" s="44"/>
      <c r="U566" s="44"/>
      <c r="V566" s="44"/>
    </row>
    <row r="567" spans="1:22" ht="15.75" customHeight="1" x14ac:dyDescent="0.35">
      <c r="A567" s="47"/>
      <c r="I567" s="44"/>
      <c r="J567" s="44"/>
      <c r="K567" s="44"/>
      <c r="L567" s="44"/>
      <c r="M567" s="44"/>
      <c r="N567" s="44"/>
      <c r="O567" s="44"/>
      <c r="P567" s="44"/>
      <c r="Q567" s="44"/>
      <c r="R567" s="44"/>
      <c r="S567" s="44"/>
      <c r="T567" s="44"/>
      <c r="U567" s="44"/>
      <c r="V567" s="44"/>
    </row>
    <row r="568" spans="1:22" ht="15.75" customHeight="1" x14ac:dyDescent="0.35">
      <c r="A568" s="47"/>
      <c r="I568" s="44"/>
      <c r="J568" s="44"/>
      <c r="K568" s="44"/>
      <c r="L568" s="44"/>
      <c r="M568" s="44"/>
      <c r="N568" s="44"/>
      <c r="O568" s="44"/>
      <c r="P568" s="44"/>
      <c r="Q568" s="44"/>
      <c r="R568" s="44"/>
      <c r="S568" s="44"/>
      <c r="T568" s="44"/>
      <c r="U568" s="44"/>
      <c r="V568" s="44"/>
    </row>
    <row r="569" spans="1:22" ht="15.75" customHeight="1" x14ac:dyDescent="0.35">
      <c r="A569" s="47"/>
      <c r="I569" s="44"/>
      <c r="J569" s="44"/>
      <c r="K569" s="44"/>
      <c r="L569" s="44"/>
      <c r="M569" s="44"/>
      <c r="N569" s="44"/>
      <c r="O569" s="44"/>
      <c r="P569" s="44"/>
      <c r="Q569" s="44"/>
      <c r="R569" s="44"/>
      <c r="S569" s="44"/>
      <c r="T569" s="44"/>
      <c r="U569" s="44"/>
      <c r="V569" s="44"/>
    </row>
    <row r="570" spans="1:22" ht="15.75" customHeight="1" x14ac:dyDescent="0.35">
      <c r="A570" s="47"/>
      <c r="I570" s="44"/>
      <c r="J570" s="44"/>
      <c r="K570" s="44"/>
      <c r="L570" s="44"/>
      <c r="M570" s="44"/>
      <c r="N570" s="44"/>
      <c r="O570" s="44"/>
      <c r="P570" s="44"/>
      <c r="Q570" s="44"/>
      <c r="R570" s="44"/>
      <c r="S570" s="44"/>
      <c r="T570" s="44"/>
      <c r="U570" s="44"/>
      <c r="V570" s="44"/>
    </row>
    <row r="571" spans="1:22" ht="15.75" customHeight="1" x14ac:dyDescent="0.35">
      <c r="A571" s="47"/>
      <c r="I571" s="44"/>
      <c r="J571" s="44"/>
      <c r="K571" s="44"/>
      <c r="L571" s="44"/>
      <c r="M571" s="44"/>
      <c r="N571" s="44"/>
      <c r="O571" s="44"/>
      <c r="P571" s="44"/>
      <c r="Q571" s="44"/>
      <c r="R571" s="44"/>
      <c r="S571" s="44"/>
      <c r="T571" s="44"/>
      <c r="U571" s="44"/>
      <c r="V571" s="44"/>
    </row>
    <row r="572" spans="1:22" ht="15.75" customHeight="1" x14ac:dyDescent="0.35">
      <c r="A572" s="47"/>
      <c r="I572" s="44"/>
      <c r="J572" s="44"/>
      <c r="K572" s="44"/>
      <c r="L572" s="44"/>
      <c r="M572" s="44"/>
      <c r="N572" s="44"/>
      <c r="O572" s="44"/>
      <c r="P572" s="44"/>
      <c r="Q572" s="44"/>
      <c r="R572" s="44"/>
      <c r="S572" s="44"/>
      <c r="T572" s="44"/>
      <c r="U572" s="44"/>
      <c r="V572" s="44"/>
    </row>
    <row r="573" spans="1:22" ht="15.75" customHeight="1" x14ac:dyDescent="0.35">
      <c r="A573" s="47"/>
      <c r="I573" s="44"/>
      <c r="J573" s="44"/>
      <c r="K573" s="44"/>
      <c r="L573" s="44"/>
      <c r="M573" s="44"/>
      <c r="N573" s="44"/>
      <c r="O573" s="44"/>
      <c r="P573" s="44"/>
      <c r="Q573" s="44"/>
      <c r="R573" s="44"/>
      <c r="S573" s="44"/>
      <c r="T573" s="44"/>
      <c r="U573" s="44"/>
      <c r="V573" s="44"/>
    </row>
    <row r="574" spans="1:22" ht="15.75" customHeight="1" x14ac:dyDescent="0.35">
      <c r="A574" s="47"/>
      <c r="I574" s="44"/>
      <c r="J574" s="44"/>
      <c r="K574" s="44"/>
      <c r="L574" s="44"/>
      <c r="M574" s="44"/>
      <c r="N574" s="44"/>
      <c r="O574" s="44"/>
      <c r="P574" s="44"/>
      <c r="Q574" s="44"/>
      <c r="R574" s="44"/>
      <c r="S574" s="44"/>
      <c r="T574" s="44"/>
      <c r="U574" s="44"/>
      <c r="V574" s="44"/>
    </row>
    <row r="575" spans="1:22" ht="15.75" customHeight="1" x14ac:dyDescent="0.35">
      <c r="A575" s="47"/>
      <c r="I575" s="44"/>
      <c r="J575" s="44"/>
      <c r="K575" s="44"/>
      <c r="L575" s="44"/>
      <c r="M575" s="44"/>
      <c r="N575" s="44"/>
      <c r="O575" s="44"/>
      <c r="P575" s="44"/>
      <c r="Q575" s="44"/>
      <c r="R575" s="44"/>
      <c r="S575" s="44"/>
      <c r="T575" s="44"/>
      <c r="U575" s="44"/>
      <c r="V575" s="44"/>
    </row>
    <row r="576" spans="1:22" ht="15.75" customHeight="1" x14ac:dyDescent="0.35">
      <c r="A576" s="47"/>
      <c r="I576" s="44"/>
      <c r="J576" s="44"/>
      <c r="K576" s="44"/>
      <c r="L576" s="44"/>
      <c r="M576" s="44"/>
      <c r="N576" s="44"/>
      <c r="O576" s="44"/>
      <c r="P576" s="44"/>
      <c r="Q576" s="44"/>
      <c r="R576" s="44"/>
      <c r="S576" s="44"/>
      <c r="T576" s="44"/>
      <c r="U576" s="44"/>
      <c r="V576" s="44"/>
    </row>
    <row r="577" spans="1:22" ht="15.75" customHeight="1" x14ac:dyDescent="0.35">
      <c r="A577" s="47"/>
      <c r="I577" s="44"/>
      <c r="J577" s="44"/>
      <c r="K577" s="44"/>
      <c r="L577" s="44"/>
      <c r="M577" s="44"/>
      <c r="N577" s="44"/>
      <c r="O577" s="44"/>
      <c r="P577" s="44"/>
      <c r="Q577" s="44"/>
      <c r="R577" s="44"/>
      <c r="S577" s="44"/>
      <c r="T577" s="44"/>
      <c r="U577" s="44"/>
      <c r="V577" s="44"/>
    </row>
    <row r="578" spans="1:22" ht="15.75" customHeight="1" x14ac:dyDescent="0.35">
      <c r="A578" s="47"/>
      <c r="I578" s="44"/>
      <c r="J578" s="44"/>
      <c r="K578" s="44"/>
      <c r="L578" s="44"/>
      <c r="M578" s="44"/>
      <c r="N578" s="44"/>
      <c r="O578" s="44"/>
      <c r="P578" s="44"/>
      <c r="Q578" s="44"/>
      <c r="R578" s="44"/>
      <c r="S578" s="44"/>
      <c r="T578" s="44"/>
      <c r="U578" s="44"/>
      <c r="V578" s="44"/>
    </row>
    <row r="579" spans="1:22" ht="15.75" customHeight="1" x14ac:dyDescent="0.35">
      <c r="A579" s="47"/>
      <c r="I579" s="44"/>
      <c r="J579" s="44"/>
      <c r="K579" s="44"/>
      <c r="L579" s="44"/>
      <c r="M579" s="44"/>
      <c r="N579" s="44"/>
      <c r="O579" s="44"/>
      <c r="P579" s="44"/>
      <c r="Q579" s="44"/>
      <c r="R579" s="44"/>
      <c r="S579" s="44"/>
      <c r="T579" s="44"/>
      <c r="U579" s="44"/>
      <c r="V579" s="44"/>
    </row>
    <row r="580" spans="1:22" ht="15.75" customHeight="1" x14ac:dyDescent="0.35">
      <c r="A580" s="47"/>
      <c r="I580" s="44"/>
      <c r="J580" s="44"/>
      <c r="K580" s="44"/>
      <c r="L580" s="44"/>
      <c r="M580" s="44"/>
      <c r="N580" s="44"/>
      <c r="O580" s="44"/>
      <c r="P580" s="44"/>
      <c r="Q580" s="44"/>
      <c r="R580" s="44"/>
      <c r="S580" s="44"/>
      <c r="T580" s="44"/>
      <c r="U580" s="44"/>
      <c r="V580" s="44"/>
    </row>
    <row r="581" spans="1:22" ht="15.75" customHeight="1" x14ac:dyDescent="0.35">
      <c r="A581" s="47"/>
      <c r="I581" s="44"/>
      <c r="J581" s="44"/>
      <c r="K581" s="44"/>
      <c r="L581" s="44"/>
      <c r="M581" s="44"/>
      <c r="N581" s="44"/>
      <c r="O581" s="44"/>
      <c r="P581" s="44"/>
      <c r="Q581" s="44"/>
      <c r="R581" s="44"/>
      <c r="S581" s="44"/>
      <c r="T581" s="44"/>
      <c r="U581" s="44"/>
      <c r="V581" s="44"/>
    </row>
    <row r="582" spans="1:22" ht="15.75" customHeight="1" x14ac:dyDescent="0.35">
      <c r="A582" s="47"/>
      <c r="I582" s="44"/>
      <c r="J582" s="44"/>
      <c r="K582" s="44"/>
      <c r="L582" s="44"/>
      <c r="M582" s="44"/>
      <c r="N582" s="44"/>
      <c r="O582" s="44"/>
      <c r="P582" s="44"/>
      <c r="Q582" s="44"/>
      <c r="R582" s="44"/>
      <c r="S582" s="44"/>
      <c r="T582" s="44"/>
      <c r="U582" s="44"/>
      <c r="V582" s="44"/>
    </row>
    <row r="583" spans="1:22" ht="15.75" customHeight="1" x14ac:dyDescent="0.35">
      <c r="A583" s="47"/>
      <c r="I583" s="44"/>
      <c r="J583" s="44"/>
      <c r="K583" s="44"/>
      <c r="L583" s="44"/>
      <c r="M583" s="44"/>
      <c r="N583" s="44"/>
      <c r="O583" s="44"/>
      <c r="P583" s="44"/>
      <c r="Q583" s="44"/>
      <c r="R583" s="44"/>
      <c r="S583" s="44"/>
      <c r="T583" s="44"/>
      <c r="U583" s="44"/>
      <c r="V583" s="44"/>
    </row>
    <row r="584" spans="1:22" ht="15.75" customHeight="1" x14ac:dyDescent="0.35">
      <c r="A584" s="47"/>
      <c r="I584" s="44"/>
      <c r="J584" s="44"/>
      <c r="K584" s="44"/>
      <c r="L584" s="44"/>
      <c r="M584" s="44"/>
      <c r="N584" s="44"/>
      <c r="O584" s="44"/>
      <c r="P584" s="44"/>
      <c r="Q584" s="44"/>
      <c r="R584" s="44"/>
      <c r="S584" s="44"/>
      <c r="T584" s="44"/>
      <c r="U584" s="44"/>
      <c r="V584" s="44"/>
    </row>
    <row r="585" spans="1:22" ht="15.75" customHeight="1" x14ac:dyDescent="0.35">
      <c r="A585" s="47"/>
      <c r="I585" s="44"/>
      <c r="J585" s="44"/>
      <c r="K585" s="44"/>
      <c r="L585" s="44"/>
      <c r="M585" s="44"/>
      <c r="N585" s="44"/>
      <c r="O585" s="44"/>
      <c r="P585" s="44"/>
      <c r="Q585" s="44"/>
      <c r="R585" s="44"/>
      <c r="S585" s="44"/>
      <c r="T585" s="44"/>
      <c r="U585" s="44"/>
      <c r="V585" s="44"/>
    </row>
    <row r="586" spans="1:22" ht="15.75" customHeight="1" x14ac:dyDescent="0.35">
      <c r="A586" s="47"/>
      <c r="I586" s="44"/>
      <c r="J586" s="44"/>
      <c r="K586" s="44"/>
      <c r="L586" s="44"/>
      <c r="M586" s="44"/>
      <c r="N586" s="44"/>
      <c r="O586" s="44"/>
      <c r="P586" s="44"/>
      <c r="Q586" s="44"/>
      <c r="R586" s="44"/>
      <c r="S586" s="44"/>
      <c r="T586" s="44"/>
      <c r="U586" s="44"/>
      <c r="V586" s="44"/>
    </row>
    <row r="587" spans="1:22" ht="15.75" customHeight="1" x14ac:dyDescent="0.35">
      <c r="A587" s="47"/>
      <c r="I587" s="44"/>
      <c r="J587" s="44"/>
      <c r="K587" s="44"/>
      <c r="L587" s="44"/>
      <c r="M587" s="44"/>
      <c r="N587" s="44"/>
      <c r="O587" s="44"/>
      <c r="P587" s="44"/>
      <c r="Q587" s="44"/>
      <c r="R587" s="44"/>
      <c r="S587" s="44"/>
      <c r="T587" s="44"/>
      <c r="U587" s="44"/>
      <c r="V587" s="44"/>
    </row>
    <row r="588" spans="1:22" ht="15.75" customHeight="1" x14ac:dyDescent="0.35">
      <c r="A588" s="47"/>
      <c r="I588" s="44"/>
      <c r="J588" s="44"/>
      <c r="K588" s="44"/>
      <c r="L588" s="44"/>
      <c r="M588" s="44"/>
      <c r="N588" s="44"/>
      <c r="O588" s="44"/>
      <c r="P588" s="44"/>
      <c r="Q588" s="44"/>
      <c r="R588" s="44"/>
      <c r="S588" s="44"/>
      <c r="T588" s="44"/>
      <c r="U588" s="44"/>
      <c r="V588" s="44"/>
    </row>
    <row r="589" spans="1:22" ht="15.75" customHeight="1" x14ac:dyDescent="0.35">
      <c r="A589" s="47"/>
      <c r="I589" s="44"/>
      <c r="J589" s="44"/>
      <c r="K589" s="44"/>
      <c r="L589" s="44"/>
      <c r="M589" s="44"/>
      <c r="N589" s="44"/>
      <c r="O589" s="44"/>
      <c r="P589" s="44"/>
      <c r="Q589" s="44"/>
      <c r="R589" s="44"/>
      <c r="S589" s="44"/>
      <c r="T589" s="44"/>
      <c r="U589" s="44"/>
      <c r="V589" s="44"/>
    </row>
    <row r="590" spans="1:22" ht="15.75" customHeight="1" x14ac:dyDescent="0.35">
      <c r="A590" s="47"/>
      <c r="I590" s="44"/>
      <c r="J590" s="44"/>
      <c r="K590" s="44"/>
      <c r="L590" s="44"/>
      <c r="M590" s="44"/>
      <c r="N590" s="44"/>
      <c r="O590" s="44"/>
      <c r="P590" s="44"/>
      <c r="Q590" s="44"/>
      <c r="R590" s="44"/>
      <c r="S590" s="44"/>
      <c r="T590" s="44"/>
      <c r="U590" s="44"/>
      <c r="V590" s="44"/>
    </row>
    <row r="591" spans="1:22" ht="15.75" customHeight="1" x14ac:dyDescent="0.35">
      <c r="A591" s="47"/>
      <c r="I591" s="44"/>
      <c r="J591" s="44"/>
      <c r="K591" s="44"/>
      <c r="L591" s="44"/>
      <c r="M591" s="44"/>
      <c r="N591" s="44"/>
      <c r="O591" s="44"/>
      <c r="P591" s="44"/>
      <c r="Q591" s="44"/>
      <c r="R591" s="44"/>
      <c r="S591" s="44"/>
      <c r="T591" s="44"/>
      <c r="U591" s="44"/>
      <c r="V591" s="44"/>
    </row>
    <row r="592" spans="1:22" ht="15.75" customHeight="1" x14ac:dyDescent="0.35">
      <c r="A592" s="47"/>
      <c r="I592" s="44"/>
      <c r="J592" s="44"/>
      <c r="K592" s="44"/>
      <c r="L592" s="44"/>
      <c r="M592" s="44"/>
      <c r="N592" s="44"/>
      <c r="O592" s="44"/>
      <c r="P592" s="44"/>
      <c r="Q592" s="44"/>
      <c r="R592" s="44"/>
      <c r="S592" s="44"/>
      <c r="T592" s="44"/>
      <c r="U592" s="44"/>
      <c r="V592" s="44"/>
    </row>
    <row r="593" spans="1:22" ht="15.75" customHeight="1" x14ac:dyDescent="0.35">
      <c r="A593" s="47"/>
      <c r="I593" s="44"/>
      <c r="J593" s="44"/>
      <c r="K593" s="44"/>
      <c r="L593" s="44"/>
      <c r="M593" s="44"/>
      <c r="N593" s="44"/>
      <c r="O593" s="44"/>
      <c r="P593" s="44"/>
      <c r="Q593" s="44"/>
      <c r="R593" s="44"/>
      <c r="S593" s="44"/>
      <c r="T593" s="44"/>
      <c r="U593" s="44"/>
      <c r="V593" s="44"/>
    </row>
    <row r="594" spans="1:22" ht="15.75" customHeight="1" x14ac:dyDescent="0.35">
      <c r="A594" s="47"/>
      <c r="I594" s="44"/>
      <c r="J594" s="44"/>
      <c r="K594" s="44"/>
      <c r="L594" s="44"/>
      <c r="M594" s="44"/>
      <c r="N594" s="44"/>
      <c r="O594" s="44"/>
      <c r="P594" s="44"/>
      <c r="Q594" s="44"/>
      <c r="R594" s="44"/>
      <c r="S594" s="44"/>
      <c r="T594" s="44"/>
      <c r="U594" s="44"/>
      <c r="V594" s="44"/>
    </row>
    <row r="595" spans="1:22" ht="15.75" customHeight="1" x14ac:dyDescent="0.35">
      <c r="A595" s="47"/>
      <c r="I595" s="44"/>
      <c r="J595" s="44"/>
      <c r="K595" s="44"/>
      <c r="L595" s="44"/>
      <c r="M595" s="44"/>
      <c r="N595" s="44"/>
      <c r="O595" s="44"/>
      <c r="P595" s="44"/>
      <c r="Q595" s="44"/>
      <c r="R595" s="44"/>
      <c r="S595" s="44"/>
      <c r="T595" s="44"/>
      <c r="U595" s="44"/>
      <c r="V595" s="44"/>
    </row>
    <row r="596" spans="1:22" ht="15.75" customHeight="1" x14ac:dyDescent="0.35">
      <c r="A596" s="47"/>
      <c r="I596" s="44"/>
      <c r="J596" s="44"/>
      <c r="K596" s="44"/>
      <c r="L596" s="44"/>
      <c r="M596" s="44"/>
      <c r="N596" s="44"/>
      <c r="O596" s="44"/>
      <c r="P596" s="44"/>
      <c r="Q596" s="44"/>
      <c r="R596" s="44"/>
      <c r="S596" s="44"/>
      <c r="T596" s="44"/>
      <c r="U596" s="44"/>
      <c r="V596" s="44"/>
    </row>
    <row r="597" spans="1:22" ht="15.75" customHeight="1" x14ac:dyDescent="0.35">
      <c r="A597" s="47"/>
      <c r="I597" s="44"/>
      <c r="J597" s="44"/>
      <c r="K597" s="44"/>
      <c r="L597" s="44"/>
      <c r="M597" s="44"/>
      <c r="N597" s="44"/>
      <c r="O597" s="44"/>
      <c r="P597" s="44"/>
      <c r="Q597" s="44"/>
      <c r="R597" s="44"/>
      <c r="S597" s="44"/>
      <c r="T597" s="44"/>
      <c r="U597" s="44"/>
      <c r="V597" s="44"/>
    </row>
    <row r="598" spans="1:22" ht="15.75" customHeight="1" x14ac:dyDescent="0.35">
      <c r="A598" s="47"/>
      <c r="I598" s="44"/>
      <c r="J598" s="44"/>
      <c r="K598" s="44"/>
      <c r="L598" s="44"/>
      <c r="M598" s="44"/>
      <c r="N598" s="44"/>
      <c r="O598" s="44"/>
      <c r="P598" s="44"/>
      <c r="Q598" s="44"/>
      <c r="R598" s="44"/>
      <c r="S598" s="44"/>
      <c r="T598" s="44"/>
      <c r="U598" s="44"/>
      <c r="V598" s="44"/>
    </row>
    <row r="599" spans="1:22" ht="15.75" customHeight="1" x14ac:dyDescent="0.35">
      <c r="A599" s="47"/>
      <c r="I599" s="44"/>
      <c r="J599" s="44"/>
      <c r="K599" s="44"/>
      <c r="L599" s="44"/>
      <c r="M599" s="44"/>
      <c r="N599" s="44"/>
      <c r="O599" s="44"/>
      <c r="P599" s="44"/>
      <c r="Q599" s="44"/>
      <c r="R599" s="44"/>
      <c r="S599" s="44"/>
      <c r="T599" s="44"/>
      <c r="U599" s="44"/>
      <c r="V599" s="44"/>
    </row>
    <row r="600" spans="1:22" ht="15.75" customHeight="1" x14ac:dyDescent="0.35">
      <c r="A600" s="47"/>
      <c r="I600" s="44"/>
      <c r="J600" s="44"/>
      <c r="K600" s="44"/>
      <c r="L600" s="44"/>
      <c r="M600" s="44"/>
      <c r="N600" s="44"/>
      <c r="O600" s="44"/>
      <c r="P600" s="44"/>
      <c r="Q600" s="44"/>
      <c r="R600" s="44"/>
      <c r="S600" s="44"/>
      <c r="T600" s="44"/>
      <c r="U600" s="44"/>
      <c r="V600" s="44"/>
    </row>
    <row r="601" spans="1:22" ht="15.75" customHeight="1" x14ac:dyDescent="0.35">
      <c r="A601" s="47"/>
      <c r="I601" s="44"/>
      <c r="J601" s="44"/>
      <c r="K601" s="44"/>
      <c r="L601" s="44"/>
      <c r="M601" s="44"/>
      <c r="N601" s="44"/>
      <c r="O601" s="44"/>
      <c r="P601" s="44"/>
      <c r="Q601" s="44"/>
      <c r="R601" s="44"/>
      <c r="S601" s="44"/>
      <c r="T601" s="44"/>
      <c r="U601" s="44"/>
      <c r="V601" s="44"/>
    </row>
    <row r="602" spans="1:22" ht="15.75" customHeight="1" x14ac:dyDescent="0.35">
      <c r="A602" s="47"/>
      <c r="I602" s="44"/>
      <c r="J602" s="44"/>
      <c r="K602" s="44"/>
      <c r="L602" s="44"/>
      <c r="M602" s="44"/>
      <c r="N602" s="44"/>
      <c r="O602" s="44"/>
      <c r="P602" s="44"/>
      <c r="Q602" s="44"/>
      <c r="R602" s="44"/>
      <c r="S602" s="44"/>
      <c r="T602" s="44"/>
      <c r="U602" s="44"/>
      <c r="V602" s="44"/>
    </row>
    <row r="603" spans="1:22" ht="15.75" customHeight="1" x14ac:dyDescent="0.35">
      <c r="A603" s="47"/>
      <c r="I603" s="44"/>
      <c r="J603" s="44"/>
      <c r="K603" s="44"/>
      <c r="L603" s="44"/>
      <c r="M603" s="44"/>
      <c r="N603" s="44"/>
      <c r="O603" s="44"/>
      <c r="P603" s="44"/>
      <c r="Q603" s="44"/>
      <c r="R603" s="44"/>
      <c r="S603" s="44"/>
      <c r="T603" s="44"/>
      <c r="U603" s="44"/>
      <c r="V603" s="44"/>
    </row>
    <row r="604" spans="1:22" ht="15.75" customHeight="1" x14ac:dyDescent="0.35">
      <c r="A604" s="47"/>
      <c r="I604" s="44"/>
      <c r="J604" s="44"/>
      <c r="K604" s="44"/>
      <c r="L604" s="44"/>
      <c r="M604" s="44"/>
      <c r="N604" s="44"/>
      <c r="O604" s="44"/>
      <c r="P604" s="44"/>
      <c r="Q604" s="44"/>
      <c r="R604" s="44"/>
      <c r="S604" s="44"/>
      <c r="T604" s="44"/>
      <c r="U604" s="44"/>
      <c r="V604" s="44"/>
    </row>
    <row r="605" spans="1:22" ht="15.75" customHeight="1" x14ac:dyDescent="0.35">
      <c r="A605" s="47"/>
      <c r="I605" s="44"/>
      <c r="J605" s="44"/>
      <c r="K605" s="44"/>
      <c r="L605" s="44"/>
      <c r="M605" s="44"/>
      <c r="N605" s="44"/>
      <c r="O605" s="44"/>
      <c r="P605" s="44"/>
      <c r="Q605" s="44"/>
      <c r="R605" s="44"/>
      <c r="S605" s="44"/>
      <c r="T605" s="44"/>
      <c r="U605" s="44"/>
      <c r="V605" s="44"/>
    </row>
    <row r="606" spans="1:22" ht="15.75" customHeight="1" x14ac:dyDescent="0.35">
      <c r="A606" s="47"/>
      <c r="I606" s="44"/>
      <c r="J606" s="44"/>
      <c r="K606" s="44"/>
      <c r="L606" s="44"/>
      <c r="M606" s="44"/>
      <c r="N606" s="44"/>
      <c r="O606" s="44"/>
      <c r="P606" s="44"/>
      <c r="Q606" s="44"/>
      <c r="R606" s="44"/>
      <c r="S606" s="44"/>
      <c r="T606" s="44"/>
      <c r="U606" s="44"/>
      <c r="V606" s="44"/>
    </row>
    <row r="607" spans="1:22" ht="15.75" customHeight="1" x14ac:dyDescent="0.35">
      <c r="A607" s="47"/>
      <c r="I607" s="44"/>
      <c r="J607" s="44"/>
      <c r="K607" s="44"/>
      <c r="L607" s="44"/>
      <c r="M607" s="44"/>
      <c r="N607" s="44"/>
      <c r="O607" s="44"/>
      <c r="P607" s="44"/>
      <c r="Q607" s="44"/>
      <c r="R607" s="44"/>
      <c r="S607" s="44"/>
      <c r="T607" s="44"/>
      <c r="U607" s="44"/>
      <c r="V607" s="44"/>
    </row>
    <row r="608" spans="1:22" ht="15.75" customHeight="1" x14ac:dyDescent="0.35">
      <c r="A608" s="47"/>
      <c r="I608" s="44"/>
      <c r="J608" s="44"/>
      <c r="K608" s="44"/>
      <c r="L608" s="44"/>
      <c r="M608" s="44"/>
      <c r="N608" s="44"/>
      <c r="O608" s="44"/>
      <c r="P608" s="44"/>
      <c r="Q608" s="44"/>
      <c r="R608" s="44"/>
      <c r="S608" s="44"/>
      <c r="T608" s="44"/>
      <c r="U608" s="44"/>
      <c r="V608" s="44"/>
    </row>
    <row r="609" spans="1:22" ht="15.75" customHeight="1" x14ac:dyDescent="0.35">
      <c r="A609" s="47"/>
      <c r="I609" s="44"/>
      <c r="J609" s="44"/>
      <c r="K609" s="44"/>
      <c r="L609" s="44"/>
      <c r="M609" s="44"/>
      <c r="N609" s="44"/>
      <c r="O609" s="44"/>
      <c r="P609" s="44"/>
      <c r="Q609" s="44"/>
      <c r="R609" s="44"/>
      <c r="S609" s="44"/>
      <c r="T609" s="44"/>
      <c r="U609" s="44"/>
      <c r="V609" s="44"/>
    </row>
    <row r="610" spans="1:22" ht="15.75" customHeight="1" x14ac:dyDescent="0.35">
      <c r="A610" s="47"/>
      <c r="I610" s="44"/>
      <c r="J610" s="44"/>
      <c r="K610" s="44"/>
      <c r="L610" s="44"/>
      <c r="M610" s="44"/>
      <c r="N610" s="44"/>
      <c r="O610" s="44"/>
      <c r="P610" s="44"/>
      <c r="Q610" s="44"/>
      <c r="R610" s="44"/>
      <c r="S610" s="44"/>
      <c r="T610" s="44"/>
      <c r="U610" s="44"/>
      <c r="V610" s="44"/>
    </row>
    <row r="611" spans="1:22" ht="15.75" customHeight="1" x14ac:dyDescent="0.35">
      <c r="A611" s="47"/>
      <c r="I611" s="44"/>
      <c r="J611" s="44"/>
      <c r="K611" s="44"/>
      <c r="L611" s="44"/>
      <c r="M611" s="44"/>
      <c r="N611" s="44"/>
      <c r="O611" s="44"/>
      <c r="P611" s="44"/>
      <c r="Q611" s="44"/>
      <c r="R611" s="44"/>
      <c r="S611" s="44"/>
      <c r="T611" s="44"/>
      <c r="U611" s="44"/>
      <c r="V611" s="44"/>
    </row>
    <row r="612" spans="1:22" ht="15.75" customHeight="1" x14ac:dyDescent="0.35">
      <c r="A612" s="47"/>
      <c r="I612" s="44"/>
      <c r="J612" s="44"/>
      <c r="K612" s="44"/>
      <c r="L612" s="44"/>
      <c r="M612" s="44"/>
      <c r="N612" s="44"/>
      <c r="O612" s="44"/>
      <c r="P612" s="44"/>
      <c r="Q612" s="44"/>
      <c r="R612" s="44"/>
      <c r="S612" s="44"/>
      <c r="T612" s="44"/>
      <c r="U612" s="44"/>
      <c r="V612" s="44"/>
    </row>
    <row r="613" spans="1:22" ht="15.75" customHeight="1" x14ac:dyDescent="0.35">
      <c r="A613" s="47"/>
      <c r="I613" s="44"/>
      <c r="J613" s="44"/>
      <c r="K613" s="44"/>
      <c r="L613" s="44"/>
      <c r="M613" s="44"/>
      <c r="N613" s="44"/>
      <c r="O613" s="44"/>
      <c r="P613" s="44"/>
      <c r="Q613" s="44"/>
      <c r="R613" s="44"/>
      <c r="S613" s="44"/>
      <c r="T613" s="44"/>
      <c r="U613" s="44"/>
      <c r="V613" s="44"/>
    </row>
    <row r="614" spans="1:22" ht="15.75" customHeight="1" x14ac:dyDescent="0.35">
      <c r="A614" s="47"/>
      <c r="I614" s="44"/>
      <c r="J614" s="44"/>
      <c r="K614" s="44"/>
      <c r="L614" s="44"/>
      <c r="M614" s="44"/>
      <c r="N614" s="44"/>
      <c r="O614" s="44"/>
      <c r="P614" s="44"/>
      <c r="Q614" s="44"/>
      <c r="R614" s="44"/>
      <c r="S614" s="44"/>
      <c r="T614" s="44"/>
      <c r="U614" s="44"/>
      <c r="V614" s="44"/>
    </row>
    <row r="615" spans="1:22" ht="15.75" customHeight="1" x14ac:dyDescent="0.35">
      <c r="A615" s="47"/>
      <c r="I615" s="44"/>
      <c r="J615" s="44"/>
      <c r="K615" s="44"/>
      <c r="L615" s="44"/>
      <c r="M615" s="44"/>
      <c r="N615" s="44"/>
      <c r="O615" s="44"/>
      <c r="P615" s="44"/>
      <c r="Q615" s="44"/>
      <c r="R615" s="44"/>
      <c r="S615" s="44"/>
      <c r="T615" s="44"/>
      <c r="U615" s="44"/>
      <c r="V615" s="44"/>
    </row>
    <row r="616" spans="1:22" ht="15.75" customHeight="1" x14ac:dyDescent="0.35">
      <c r="A616" s="47"/>
      <c r="I616" s="44"/>
      <c r="J616" s="44"/>
      <c r="K616" s="44"/>
      <c r="L616" s="44"/>
      <c r="M616" s="44"/>
      <c r="N616" s="44"/>
      <c r="O616" s="44"/>
      <c r="P616" s="44"/>
      <c r="Q616" s="44"/>
      <c r="R616" s="44"/>
      <c r="S616" s="44"/>
      <c r="T616" s="44"/>
      <c r="U616" s="44"/>
      <c r="V616" s="44"/>
    </row>
    <row r="617" spans="1:22" ht="15.75" customHeight="1" x14ac:dyDescent="0.35">
      <c r="A617" s="47"/>
      <c r="I617" s="44"/>
      <c r="J617" s="44"/>
      <c r="K617" s="44"/>
      <c r="L617" s="44"/>
      <c r="M617" s="44"/>
      <c r="N617" s="44"/>
      <c r="O617" s="44"/>
      <c r="P617" s="44"/>
      <c r="Q617" s="44"/>
      <c r="R617" s="44"/>
      <c r="S617" s="44"/>
      <c r="T617" s="44"/>
      <c r="U617" s="44"/>
      <c r="V617" s="44"/>
    </row>
    <row r="618" spans="1:22" ht="15.75" customHeight="1" x14ac:dyDescent="0.35">
      <c r="A618" s="47"/>
      <c r="I618" s="44"/>
      <c r="J618" s="44"/>
      <c r="K618" s="44"/>
      <c r="L618" s="44"/>
      <c r="M618" s="44"/>
      <c r="N618" s="44"/>
      <c r="O618" s="44"/>
      <c r="P618" s="44"/>
      <c r="Q618" s="44"/>
      <c r="R618" s="44"/>
      <c r="S618" s="44"/>
      <c r="T618" s="44"/>
      <c r="U618" s="44"/>
      <c r="V618" s="44"/>
    </row>
    <row r="619" spans="1:22" ht="15.75" customHeight="1" x14ac:dyDescent="0.35">
      <c r="A619" s="47"/>
      <c r="I619" s="44"/>
      <c r="J619" s="44"/>
      <c r="K619" s="44"/>
      <c r="L619" s="44"/>
      <c r="M619" s="44"/>
      <c r="N619" s="44"/>
      <c r="O619" s="44"/>
      <c r="P619" s="44"/>
      <c r="Q619" s="44"/>
      <c r="R619" s="44"/>
      <c r="S619" s="44"/>
      <c r="T619" s="44"/>
      <c r="U619" s="44"/>
      <c r="V619" s="44"/>
    </row>
    <row r="620" spans="1:22" ht="15.75" customHeight="1" x14ac:dyDescent="0.35">
      <c r="A620" s="47"/>
      <c r="I620" s="44"/>
      <c r="J620" s="44"/>
      <c r="K620" s="44"/>
      <c r="L620" s="44"/>
      <c r="M620" s="44"/>
      <c r="N620" s="44"/>
      <c r="O620" s="44"/>
      <c r="P620" s="44"/>
      <c r="Q620" s="44"/>
      <c r="R620" s="44"/>
      <c r="S620" s="44"/>
      <c r="T620" s="44"/>
      <c r="U620" s="44"/>
      <c r="V620" s="44"/>
    </row>
    <row r="621" spans="1:22" ht="15.75" customHeight="1" x14ac:dyDescent="0.35">
      <c r="A621" s="47"/>
      <c r="I621" s="44"/>
      <c r="J621" s="44"/>
      <c r="K621" s="44"/>
      <c r="L621" s="44"/>
      <c r="M621" s="44"/>
      <c r="N621" s="44"/>
      <c r="O621" s="44"/>
      <c r="P621" s="44"/>
      <c r="Q621" s="44"/>
      <c r="R621" s="44"/>
      <c r="S621" s="44"/>
      <c r="T621" s="44"/>
      <c r="U621" s="44"/>
      <c r="V621" s="44"/>
    </row>
    <row r="622" spans="1:22" ht="15.75" customHeight="1" x14ac:dyDescent="0.35">
      <c r="A622" s="47"/>
      <c r="I622" s="44"/>
      <c r="J622" s="44"/>
      <c r="K622" s="44"/>
      <c r="L622" s="44"/>
      <c r="M622" s="44"/>
      <c r="N622" s="44"/>
      <c r="O622" s="44"/>
      <c r="P622" s="44"/>
      <c r="Q622" s="44"/>
      <c r="R622" s="44"/>
      <c r="S622" s="44"/>
      <c r="T622" s="44"/>
      <c r="U622" s="44"/>
      <c r="V622" s="44"/>
    </row>
    <row r="623" spans="1:22" ht="15.75" customHeight="1" x14ac:dyDescent="0.35">
      <c r="A623" s="47"/>
      <c r="I623" s="44"/>
      <c r="J623" s="44"/>
      <c r="K623" s="44"/>
      <c r="L623" s="44"/>
      <c r="M623" s="44"/>
      <c r="N623" s="44"/>
      <c r="O623" s="44"/>
      <c r="P623" s="44"/>
      <c r="Q623" s="44"/>
      <c r="R623" s="44"/>
      <c r="S623" s="44"/>
      <c r="T623" s="44"/>
      <c r="U623" s="44"/>
      <c r="V623" s="44"/>
    </row>
    <row r="624" spans="1:22" ht="15.75" customHeight="1" x14ac:dyDescent="0.35">
      <c r="A624" s="47"/>
      <c r="I624" s="44"/>
      <c r="J624" s="44"/>
      <c r="K624" s="44"/>
      <c r="L624" s="44"/>
      <c r="M624" s="44"/>
      <c r="N624" s="44"/>
      <c r="O624" s="44"/>
      <c r="P624" s="44"/>
      <c r="Q624" s="44"/>
      <c r="R624" s="44"/>
      <c r="S624" s="44"/>
      <c r="T624" s="44"/>
      <c r="U624" s="44"/>
      <c r="V624" s="44"/>
    </row>
    <row r="625" spans="1:22" ht="15.75" customHeight="1" x14ac:dyDescent="0.35">
      <c r="A625" s="47"/>
      <c r="I625" s="44"/>
      <c r="J625" s="44"/>
      <c r="K625" s="44"/>
      <c r="L625" s="44"/>
      <c r="M625" s="44"/>
      <c r="N625" s="44"/>
      <c r="O625" s="44"/>
      <c r="P625" s="44"/>
      <c r="Q625" s="44"/>
      <c r="R625" s="44"/>
      <c r="S625" s="44"/>
      <c r="T625" s="44"/>
      <c r="U625" s="44"/>
      <c r="V625" s="44"/>
    </row>
    <row r="626" spans="1:22" ht="15.75" customHeight="1" x14ac:dyDescent="0.35">
      <c r="A626" s="47"/>
      <c r="I626" s="44"/>
      <c r="J626" s="44"/>
      <c r="K626" s="44"/>
      <c r="L626" s="44"/>
      <c r="M626" s="44"/>
      <c r="N626" s="44"/>
      <c r="O626" s="44"/>
      <c r="P626" s="44"/>
      <c r="Q626" s="44"/>
      <c r="R626" s="44"/>
      <c r="S626" s="44"/>
      <c r="T626" s="44"/>
      <c r="U626" s="44"/>
      <c r="V626" s="44"/>
    </row>
    <row r="627" spans="1:22" ht="15.75" customHeight="1" x14ac:dyDescent="0.35">
      <c r="A627" s="47"/>
      <c r="I627" s="44"/>
      <c r="J627" s="44"/>
      <c r="K627" s="44"/>
      <c r="L627" s="44"/>
      <c r="M627" s="44"/>
      <c r="N627" s="44"/>
      <c r="O627" s="44"/>
      <c r="P627" s="44"/>
      <c r="Q627" s="44"/>
      <c r="R627" s="44"/>
      <c r="S627" s="44"/>
      <c r="T627" s="44"/>
      <c r="U627" s="44"/>
      <c r="V627" s="44"/>
    </row>
    <row r="628" spans="1:22" ht="15.75" customHeight="1" x14ac:dyDescent="0.35">
      <c r="A628" s="47"/>
      <c r="I628" s="44"/>
      <c r="J628" s="44"/>
      <c r="K628" s="44"/>
      <c r="L628" s="44"/>
      <c r="M628" s="44"/>
      <c r="N628" s="44"/>
      <c r="O628" s="44"/>
      <c r="P628" s="44"/>
      <c r="Q628" s="44"/>
      <c r="R628" s="44"/>
      <c r="S628" s="44"/>
      <c r="T628" s="44"/>
      <c r="U628" s="44"/>
      <c r="V628" s="44"/>
    </row>
    <row r="629" spans="1:22" ht="15.75" customHeight="1" x14ac:dyDescent="0.35">
      <c r="A629" s="47"/>
      <c r="I629" s="44"/>
      <c r="J629" s="44"/>
      <c r="K629" s="44"/>
      <c r="L629" s="44"/>
      <c r="M629" s="44"/>
      <c r="N629" s="44"/>
      <c r="O629" s="44"/>
      <c r="P629" s="44"/>
      <c r="Q629" s="44"/>
      <c r="R629" s="44"/>
      <c r="S629" s="44"/>
      <c r="T629" s="44"/>
      <c r="U629" s="44"/>
      <c r="V629" s="44"/>
    </row>
    <row r="630" spans="1:22" ht="15.75" customHeight="1" x14ac:dyDescent="0.35">
      <c r="A630" s="47"/>
      <c r="I630" s="44"/>
      <c r="J630" s="44"/>
      <c r="K630" s="44"/>
      <c r="L630" s="44"/>
      <c r="M630" s="44"/>
      <c r="N630" s="44"/>
      <c r="O630" s="44"/>
      <c r="P630" s="44"/>
      <c r="Q630" s="44"/>
      <c r="R630" s="44"/>
      <c r="S630" s="44"/>
      <c r="T630" s="44"/>
      <c r="U630" s="44"/>
      <c r="V630" s="44"/>
    </row>
    <row r="631" spans="1:22" ht="15.75" customHeight="1" x14ac:dyDescent="0.35">
      <c r="A631" s="47"/>
      <c r="I631" s="44"/>
      <c r="J631" s="44"/>
      <c r="K631" s="44"/>
      <c r="L631" s="44"/>
      <c r="M631" s="44"/>
      <c r="N631" s="44"/>
      <c r="O631" s="44"/>
      <c r="P631" s="44"/>
      <c r="Q631" s="44"/>
      <c r="R631" s="44"/>
      <c r="S631" s="44"/>
      <c r="T631" s="44"/>
      <c r="U631" s="44"/>
      <c r="V631" s="44"/>
    </row>
    <row r="632" spans="1:22" ht="15.75" customHeight="1" x14ac:dyDescent="0.35">
      <c r="A632" s="47"/>
      <c r="I632" s="44"/>
      <c r="J632" s="44"/>
      <c r="K632" s="44"/>
      <c r="L632" s="44"/>
      <c r="M632" s="44"/>
      <c r="N632" s="44"/>
      <c r="O632" s="44"/>
      <c r="P632" s="44"/>
      <c r="Q632" s="44"/>
      <c r="R632" s="44"/>
      <c r="S632" s="44"/>
      <c r="T632" s="44"/>
      <c r="U632" s="44"/>
      <c r="V632" s="44"/>
    </row>
    <row r="633" spans="1:22" ht="15.75" customHeight="1" x14ac:dyDescent="0.35">
      <c r="A633" s="47"/>
      <c r="I633" s="44"/>
      <c r="J633" s="44"/>
      <c r="K633" s="44"/>
      <c r="L633" s="44"/>
      <c r="M633" s="44"/>
      <c r="N633" s="44"/>
      <c r="O633" s="44"/>
      <c r="P633" s="44"/>
      <c r="Q633" s="44"/>
      <c r="R633" s="44"/>
      <c r="S633" s="44"/>
      <c r="T633" s="44"/>
      <c r="U633" s="44"/>
      <c r="V633" s="44"/>
    </row>
    <row r="634" spans="1:22" ht="15.75" customHeight="1" x14ac:dyDescent="0.35">
      <c r="A634" s="47"/>
      <c r="I634" s="44"/>
      <c r="J634" s="44"/>
      <c r="K634" s="44"/>
      <c r="L634" s="44"/>
      <c r="M634" s="44"/>
      <c r="N634" s="44"/>
      <c r="O634" s="44"/>
      <c r="P634" s="44"/>
      <c r="Q634" s="44"/>
      <c r="R634" s="44"/>
      <c r="S634" s="44"/>
      <c r="T634" s="44"/>
      <c r="U634" s="44"/>
      <c r="V634" s="44"/>
    </row>
    <row r="635" spans="1:22" ht="15.75" customHeight="1" x14ac:dyDescent="0.35">
      <c r="A635" s="47"/>
      <c r="I635" s="44"/>
      <c r="J635" s="44"/>
      <c r="K635" s="44"/>
      <c r="L635" s="44"/>
      <c r="M635" s="44"/>
      <c r="N635" s="44"/>
      <c r="O635" s="44"/>
      <c r="P635" s="44"/>
      <c r="Q635" s="44"/>
      <c r="R635" s="44"/>
      <c r="S635" s="44"/>
      <c r="T635" s="44"/>
      <c r="U635" s="44"/>
      <c r="V635" s="44"/>
    </row>
    <row r="636" spans="1:22" ht="15.75" customHeight="1" x14ac:dyDescent="0.35">
      <c r="A636" s="47"/>
      <c r="I636" s="44"/>
      <c r="J636" s="44"/>
      <c r="K636" s="44"/>
      <c r="L636" s="44"/>
      <c r="M636" s="44"/>
      <c r="N636" s="44"/>
      <c r="O636" s="44"/>
      <c r="P636" s="44"/>
      <c r="Q636" s="44"/>
      <c r="R636" s="44"/>
      <c r="S636" s="44"/>
      <c r="T636" s="44"/>
      <c r="U636" s="44"/>
      <c r="V636" s="44"/>
    </row>
    <row r="637" spans="1:22" ht="15.75" customHeight="1" x14ac:dyDescent="0.35">
      <c r="A637" s="47"/>
      <c r="I637" s="44"/>
      <c r="J637" s="44"/>
      <c r="K637" s="44"/>
      <c r="L637" s="44"/>
      <c r="M637" s="44"/>
      <c r="N637" s="44"/>
      <c r="O637" s="44"/>
      <c r="P637" s="44"/>
      <c r="Q637" s="44"/>
      <c r="R637" s="44"/>
      <c r="S637" s="44"/>
      <c r="T637" s="44"/>
      <c r="U637" s="44"/>
      <c r="V637" s="44"/>
    </row>
    <row r="638" spans="1:22" ht="15.75" customHeight="1" x14ac:dyDescent="0.35">
      <c r="A638" s="47"/>
      <c r="I638" s="44"/>
      <c r="J638" s="44"/>
      <c r="K638" s="44"/>
      <c r="L638" s="44"/>
      <c r="M638" s="44"/>
      <c r="N638" s="44"/>
      <c r="O638" s="44"/>
      <c r="P638" s="44"/>
      <c r="Q638" s="44"/>
      <c r="R638" s="44"/>
      <c r="S638" s="44"/>
      <c r="T638" s="44"/>
      <c r="U638" s="44"/>
      <c r="V638" s="44"/>
    </row>
    <row r="639" spans="1:22" ht="15.75" customHeight="1" x14ac:dyDescent="0.35">
      <c r="A639" s="47"/>
      <c r="I639" s="44"/>
      <c r="J639" s="44"/>
      <c r="K639" s="44"/>
      <c r="L639" s="44"/>
      <c r="M639" s="44"/>
      <c r="N639" s="44"/>
      <c r="O639" s="44"/>
      <c r="P639" s="44"/>
      <c r="Q639" s="44"/>
      <c r="R639" s="44"/>
      <c r="S639" s="44"/>
      <c r="T639" s="44"/>
      <c r="U639" s="44"/>
      <c r="V639" s="44"/>
    </row>
    <row r="640" spans="1:22" ht="15.75" customHeight="1" x14ac:dyDescent="0.35">
      <c r="A640" s="47"/>
      <c r="I640" s="44"/>
      <c r="J640" s="44"/>
      <c r="K640" s="44"/>
      <c r="L640" s="44"/>
      <c r="M640" s="44"/>
      <c r="N640" s="44"/>
      <c r="O640" s="44"/>
      <c r="P640" s="44"/>
      <c r="Q640" s="44"/>
      <c r="R640" s="44"/>
      <c r="S640" s="44"/>
      <c r="T640" s="44"/>
      <c r="U640" s="44"/>
      <c r="V640" s="44"/>
    </row>
    <row r="641" spans="1:22" ht="15.75" customHeight="1" x14ac:dyDescent="0.35">
      <c r="A641" s="47"/>
      <c r="I641" s="44"/>
      <c r="J641" s="44"/>
      <c r="K641" s="44"/>
      <c r="L641" s="44"/>
      <c r="M641" s="44"/>
      <c r="N641" s="44"/>
      <c r="O641" s="44"/>
      <c r="P641" s="44"/>
      <c r="Q641" s="44"/>
      <c r="R641" s="44"/>
      <c r="S641" s="44"/>
      <c r="T641" s="44"/>
      <c r="U641" s="44"/>
      <c r="V641" s="44"/>
    </row>
    <row r="642" spans="1:22" ht="15.75" customHeight="1" x14ac:dyDescent="0.35">
      <c r="A642" s="47"/>
      <c r="I642" s="44"/>
      <c r="J642" s="44"/>
      <c r="K642" s="44"/>
      <c r="L642" s="44"/>
      <c r="M642" s="44"/>
      <c r="N642" s="44"/>
      <c r="O642" s="44"/>
      <c r="P642" s="44"/>
      <c r="Q642" s="44"/>
      <c r="R642" s="44"/>
      <c r="S642" s="44"/>
      <c r="T642" s="44"/>
      <c r="U642" s="44"/>
      <c r="V642" s="44"/>
    </row>
    <row r="643" spans="1:22" ht="15.75" customHeight="1" x14ac:dyDescent="0.35">
      <c r="A643" s="47"/>
      <c r="I643" s="44"/>
      <c r="J643" s="44"/>
      <c r="K643" s="44"/>
      <c r="L643" s="44"/>
      <c r="M643" s="44"/>
      <c r="N643" s="44"/>
      <c r="O643" s="44"/>
      <c r="P643" s="44"/>
      <c r="Q643" s="44"/>
      <c r="R643" s="44"/>
      <c r="S643" s="44"/>
      <c r="T643" s="44"/>
      <c r="U643" s="44"/>
      <c r="V643" s="44"/>
    </row>
    <row r="644" spans="1:22" ht="15.75" customHeight="1" x14ac:dyDescent="0.35">
      <c r="A644" s="47"/>
      <c r="I644" s="44"/>
      <c r="J644" s="44"/>
      <c r="K644" s="44"/>
      <c r="L644" s="44"/>
      <c r="M644" s="44"/>
      <c r="N644" s="44"/>
      <c r="O644" s="44"/>
      <c r="P644" s="44"/>
      <c r="Q644" s="44"/>
      <c r="R644" s="44"/>
      <c r="S644" s="44"/>
      <c r="T644" s="44"/>
      <c r="U644" s="44"/>
      <c r="V644" s="44"/>
    </row>
    <row r="645" spans="1:22" ht="15.75" customHeight="1" x14ac:dyDescent="0.35">
      <c r="A645" s="47"/>
      <c r="I645" s="44"/>
      <c r="J645" s="44"/>
      <c r="K645" s="44"/>
      <c r="L645" s="44"/>
      <c r="M645" s="44"/>
      <c r="N645" s="44"/>
      <c r="O645" s="44"/>
      <c r="P645" s="44"/>
      <c r="Q645" s="44"/>
      <c r="R645" s="44"/>
      <c r="S645" s="44"/>
      <c r="T645" s="44"/>
      <c r="U645" s="44"/>
      <c r="V645" s="44"/>
    </row>
    <row r="646" spans="1:22" ht="15.75" customHeight="1" x14ac:dyDescent="0.35">
      <c r="A646" s="47"/>
      <c r="I646" s="44"/>
      <c r="J646" s="44"/>
      <c r="K646" s="44"/>
      <c r="L646" s="44"/>
      <c r="M646" s="44"/>
      <c r="N646" s="44"/>
      <c r="O646" s="44"/>
      <c r="P646" s="44"/>
      <c r="Q646" s="44"/>
      <c r="R646" s="44"/>
      <c r="S646" s="44"/>
      <c r="T646" s="44"/>
      <c r="U646" s="44"/>
      <c r="V646" s="44"/>
    </row>
    <row r="647" spans="1:22" ht="15.75" customHeight="1" x14ac:dyDescent="0.35">
      <c r="A647" s="47"/>
      <c r="I647" s="44"/>
      <c r="J647" s="44"/>
      <c r="K647" s="44"/>
      <c r="L647" s="44"/>
      <c r="M647" s="44"/>
      <c r="N647" s="44"/>
      <c r="O647" s="44"/>
      <c r="P647" s="44"/>
      <c r="Q647" s="44"/>
      <c r="R647" s="44"/>
      <c r="S647" s="44"/>
      <c r="T647" s="44"/>
      <c r="U647" s="44"/>
      <c r="V647" s="44"/>
    </row>
    <row r="648" spans="1:22" ht="15.75" customHeight="1" x14ac:dyDescent="0.35">
      <c r="A648" s="47"/>
      <c r="I648" s="44"/>
      <c r="J648" s="44"/>
      <c r="K648" s="44"/>
      <c r="L648" s="44"/>
      <c r="M648" s="44"/>
      <c r="N648" s="44"/>
      <c r="O648" s="44"/>
      <c r="P648" s="44"/>
      <c r="Q648" s="44"/>
      <c r="R648" s="44"/>
      <c r="S648" s="44"/>
      <c r="T648" s="44"/>
      <c r="U648" s="44"/>
      <c r="V648" s="44"/>
    </row>
    <row r="649" spans="1:22" ht="15.75" customHeight="1" x14ac:dyDescent="0.35">
      <c r="A649" s="47"/>
      <c r="I649" s="44"/>
      <c r="J649" s="44"/>
      <c r="K649" s="44"/>
      <c r="L649" s="44"/>
      <c r="M649" s="44"/>
      <c r="N649" s="44"/>
      <c r="O649" s="44"/>
      <c r="P649" s="44"/>
      <c r="Q649" s="44"/>
      <c r="R649" s="44"/>
      <c r="S649" s="44"/>
      <c r="T649" s="44"/>
      <c r="U649" s="44"/>
      <c r="V649" s="44"/>
    </row>
    <row r="650" spans="1:22" ht="15.75" customHeight="1" x14ac:dyDescent="0.35">
      <c r="A650" s="47"/>
      <c r="I650" s="44"/>
      <c r="J650" s="44"/>
      <c r="K650" s="44"/>
      <c r="L650" s="44"/>
      <c r="M650" s="44"/>
      <c r="N650" s="44"/>
      <c r="O650" s="44"/>
      <c r="P650" s="44"/>
      <c r="Q650" s="44"/>
      <c r="R650" s="44"/>
      <c r="S650" s="44"/>
      <c r="T650" s="44"/>
      <c r="U650" s="44"/>
      <c r="V650" s="44"/>
    </row>
    <row r="651" spans="1:22" ht="15.75" customHeight="1" x14ac:dyDescent="0.35">
      <c r="A651" s="47"/>
      <c r="I651" s="44"/>
      <c r="J651" s="44"/>
      <c r="K651" s="44"/>
      <c r="L651" s="44"/>
      <c r="M651" s="44"/>
      <c r="N651" s="44"/>
      <c r="O651" s="44"/>
      <c r="P651" s="44"/>
      <c r="Q651" s="44"/>
      <c r="R651" s="44"/>
      <c r="S651" s="44"/>
      <c r="T651" s="44"/>
      <c r="U651" s="44"/>
      <c r="V651" s="44"/>
    </row>
    <row r="652" spans="1:22" ht="15.75" customHeight="1" x14ac:dyDescent="0.35">
      <c r="A652" s="47"/>
      <c r="I652" s="44"/>
      <c r="J652" s="44"/>
      <c r="K652" s="44"/>
      <c r="L652" s="44"/>
      <c r="M652" s="44"/>
      <c r="N652" s="44"/>
      <c r="O652" s="44"/>
      <c r="P652" s="44"/>
      <c r="Q652" s="44"/>
      <c r="R652" s="44"/>
      <c r="S652" s="44"/>
      <c r="T652" s="44"/>
      <c r="U652" s="44"/>
      <c r="V652" s="44"/>
    </row>
    <row r="653" spans="1:22" ht="15.75" customHeight="1" x14ac:dyDescent="0.35">
      <c r="A653" s="47"/>
      <c r="I653" s="44"/>
      <c r="J653" s="44"/>
      <c r="K653" s="44"/>
      <c r="L653" s="44"/>
      <c r="M653" s="44"/>
      <c r="N653" s="44"/>
      <c r="O653" s="44"/>
      <c r="P653" s="44"/>
      <c r="Q653" s="44"/>
      <c r="R653" s="44"/>
      <c r="S653" s="44"/>
      <c r="T653" s="44"/>
      <c r="U653" s="44"/>
      <c r="V653" s="44"/>
    </row>
    <row r="654" spans="1:22" ht="15.75" customHeight="1" x14ac:dyDescent="0.35">
      <c r="A654" s="47"/>
      <c r="I654" s="44"/>
      <c r="J654" s="44"/>
      <c r="K654" s="44"/>
      <c r="L654" s="44"/>
      <c r="M654" s="44"/>
      <c r="N654" s="44"/>
      <c r="O654" s="44"/>
      <c r="P654" s="44"/>
      <c r="Q654" s="44"/>
      <c r="R654" s="44"/>
      <c r="S654" s="44"/>
      <c r="T654" s="44"/>
      <c r="U654" s="44"/>
      <c r="V654" s="44"/>
    </row>
    <row r="655" spans="1:22" ht="15.75" customHeight="1" x14ac:dyDescent="0.35">
      <c r="A655" s="47"/>
      <c r="I655" s="44"/>
      <c r="J655" s="44"/>
      <c r="K655" s="44"/>
      <c r="L655" s="44"/>
      <c r="M655" s="44"/>
      <c r="N655" s="44"/>
      <c r="O655" s="44"/>
      <c r="P655" s="44"/>
      <c r="Q655" s="44"/>
      <c r="R655" s="44"/>
      <c r="S655" s="44"/>
      <c r="T655" s="44"/>
      <c r="U655" s="44"/>
      <c r="V655" s="44"/>
    </row>
    <row r="656" spans="1:22" ht="15.75" customHeight="1" x14ac:dyDescent="0.35">
      <c r="A656" s="47"/>
      <c r="I656" s="44"/>
      <c r="J656" s="44"/>
      <c r="K656" s="44"/>
      <c r="L656" s="44"/>
      <c r="M656" s="44"/>
      <c r="N656" s="44"/>
      <c r="O656" s="44"/>
      <c r="P656" s="44"/>
      <c r="Q656" s="44"/>
      <c r="R656" s="44"/>
      <c r="S656" s="44"/>
      <c r="T656" s="44"/>
      <c r="U656" s="44"/>
      <c r="V656" s="44"/>
    </row>
    <row r="657" spans="1:22" ht="15.75" customHeight="1" x14ac:dyDescent="0.35">
      <c r="A657" s="47"/>
      <c r="I657" s="44"/>
      <c r="J657" s="44"/>
      <c r="K657" s="44"/>
      <c r="L657" s="44"/>
      <c r="M657" s="44"/>
      <c r="N657" s="44"/>
      <c r="O657" s="44"/>
      <c r="P657" s="44"/>
      <c r="Q657" s="44"/>
      <c r="R657" s="44"/>
      <c r="S657" s="44"/>
      <c r="T657" s="44"/>
      <c r="U657" s="44"/>
      <c r="V657" s="44"/>
    </row>
    <row r="658" spans="1:22" ht="15.75" customHeight="1" x14ac:dyDescent="0.35">
      <c r="A658" s="47"/>
      <c r="I658" s="44"/>
      <c r="J658" s="44"/>
      <c r="K658" s="44"/>
      <c r="L658" s="44"/>
      <c r="M658" s="44"/>
      <c r="N658" s="44"/>
      <c r="O658" s="44"/>
      <c r="P658" s="44"/>
      <c r="Q658" s="44"/>
      <c r="R658" s="44"/>
      <c r="S658" s="44"/>
      <c r="T658" s="44"/>
      <c r="U658" s="44"/>
      <c r="V658" s="44"/>
    </row>
    <row r="659" spans="1:22" ht="15.75" customHeight="1" x14ac:dyDescent="0.35">
      <c r="A659" s="47"/>
      <c r="I659" s="44"/>
      <c r="J659" s="44"/>
      <c r="K659" s="44"/>
      <c r="L659" s="44"/>
      <c r="M659" s="44"/>
      <c r="N659" s="44"/>
      <c r="O659" s="44"/>
      <c r="P659" s="44"/>
      <c r="Q659" s="44"/>
      <c r="R659" s="44"/>
      <c r="S659" s="44"/>
      <c r="T659" s="44"/>
      <c r="U659" s="44"/>
      <c r="V659" s="44"/>
    </row>
    <row r="660" spans="1:22" ht="15.75" customHeight="1" x14ac:dyDescent="0.35">
      <c r="A660" s="47"/>
      <c r="I660" s="44"/>
      <c r="J660" s="44"/>
      <c r="K660" s="44"/>
      <c r="L660" s="44"/>
      <c r="M660" s="44"/>
      <c r="N660" s="44"/>
      <c r="O660" s="44"/>
      <c r="P660" s="44"/>
      <c r="Q660" s="44"/>
      <c r="R660" s="44"/>
      <c r="S660" s="44"/>
      <c r="T660" s="44"/>
      <c r="U660" s="44"/>
      <c r="V660" s="44"/>
    </row>
    <row r="661" spans="1:22" ht="15.75" customHeight="1" x14ac:dyDescent="0.35">
      <c r="A661" s="47"/>
      <c r="I661" s="44"/>
      <c r="J661" s="44"/>
      <c r="K661" s="44"/>
      <c r="L661" s="44"/>
      <c r="M661" s="44"/>
      <c r="N661" s="44"/>
      <c r="O661" s="44"/>
      <c r="P661" s="44"/>
      <c r="Q661" s="44"/>
      <c r="R661" s="44"/>
      <c r="S661" s="44"/>
      <c r="T661" s="44"/>
      <c r="U661" s="44"/>
      <c r="V661" s="44"/>
    </row>
    <row r="662" spans="1:22" ht="15.75" customHeight="1" x14ac:dyDescent="0.35">
      <c r="A662" s="47"/>
      <c r="I662" s="44"/>
      <c r="J662" s="44"/>
      <c r="K662" s="44"/>
      <c r="L662" s="44"/>
      <c r="M662" s="44"/>
      <c r="N662" s="44"/>
      <c r="O662" s="44"/>
      <c r="P662" s="44"/>
      <c r="Q662" s="44"/>
      <c r="R662" s="44"/>
      <c r="S662" s="44"/>
      <c r="T662" s="44"/>
      <c r="U662" s="44"/>
      <c r="V662" s="44"/>
    </row>
    <row r="663" spans="1:22" ht="15.75" customHeight="1" x14ac:dyDescent="0.35">
      <c r="A663" s="47"/>
      <c r="I663" s="44"/>
      <c r="J663" s="44"/>
      <c r="K663" s="44"/>
      <c r="L663" s="44"/>
      <c r="M663" s="44"/>
      <c r="N663" s="44"/>
      <c r="O663" s="44"/>
      <c r="P663" s="44"/>
      <c r="Q663" s="44"/>
      <c r="R663" s="44"/>
      <c r="S663" s="44"/>
      <c r="T663" s="44"/>
      <c r="U663" s="44"/>
      <c r="V663" s="44"/>
    </row>
    <row r="664" spans="1:22" ht="15.75" customHeight="1" x14ac:dyDescent="0.35">
      <c r="A664" s="47"/>
      <c r="I664" s="44"/>
      <c r="J664" s="44"/>
      <c r="K664" s="44"/>
      <c r="L664" s="44"/>
      <c r="M664" s="44"/>
      <c r="N664" s="44"/>
      <c r="O664" s="44"/>
      <c r="P664" s="44"/>
      <c r="Q664" s="44"/>
      <c r="R664" s="44"/>
      <c r="S664" s="44"/>
      <c r="T664" s="44"/>
      <c r="U664" s="44"/>
      <c r="V664" s="44"/>
    </row>
    <row r="665" spans="1:22" ht="15.75" customHeight="1" x14ac:dyDescent="0.35">
      <c r="A665" s="47"/>
      <c r="I665" s="44"/>
      <c r="J665" s="44"/>
      <c r="K665" s="44"/>
      <c r="L665" s="44"/>
      <c r="M665" s="44"/>
      <c r="N665" s="44"/>
      <c r="O665" s="44"/>
      <c r="P665" s="44"/>
      <c r="Q665" s="44"/>
      <c r="R665" s="44"/>
      <c r="S665" s="44"/>
      <c r="T665" s="44"/>
      <c r="U665" s="44"/>
      <c r="V665" s="44"/>
    </row>
    <row r="666" spans="1:22" ht="15.75" customHeight="1" x14ac:dyDescent="0.35">
      <c r="A666" s="47"/>
      <c r="I666" s="44"/>
      <c r="J666" s="44"/>
      <c r="K666" s="44"/>
      <c r="L666" s="44"/>
      <c r="M666" s="44"/>
      <c r="N666" s="44"/>
      <c r="O666" s="44"/>
      <c r="P666" s="44"/>
      <c r="Q666" s="44"/>
      <c r="R666" s="44"/>
      <c r="S666" s="44"/>
      <c r="T666" s="44"/>
      <c r="U666" s="44"/>
      <c r="V666" s="44"/>
    </row>
    <row r="667" spans="1:22" ht="15.75" customHeight="1" x14ac:dyDescent="0.35">
      <c r="A667" s="47"/>
      <c r="I667" s="44"/>
      <c r="J667" s="44"/>
      <c r="K667" s="44"/>
      <c r="L667" s="44"/>
      <c r="M667" s="44"/>
      <c r="N667" s="44"/>
      <c r="O667" s="44"/>
      <c r="P667" s="44"/>
      <c r="Q667" s="44"/>
      <c r="R667" s="44"/>
      <c r="S667" s="44"/>
      <c r="T667" s="44"/>
      <c r="U667" s="44"/>
      <c r="V667" s="44"/>
    </row>
    <row r="668" spans="1:22" ht="15.75" customHeight="1" x14ac:dyDescent="0.35">
      <c r="A668" s="47"/>
      <c r="I668" s="44"/>
      <c r="J668" s="44"/>
      <c r="K668" s="44"/>
      <c r="L668" s="44"/>
      <c r="M668" s="44"/>
      <c r="N668" s="44"/>
      <c r="O668" s="44"/>
      <c r="P668" s="44"/>
      <c r="Q668" s="44"/>
      <c r="R668" s="44"/>
      <c r="S668" s="44"/>
      <c r="T668" s="44"/>
      <c r="U668" s="44"/>
      <c r="V668" s="44"/>
    </row>
    <row r="669" spans="1:22" ht="15.75" customHeight="1" x14ac:dyDescent="0.35">
      <c r="A669" s="47"/>
      <c r="I669" s="44"/>
      <c r="J669" s="44"/>
      <c r="K669" s="44"/>
      <c r="L669" s="44"/>
      <c r="M669" s="44"/>
      <c r="N669" s="44"/>
      <c r="O669" s="44"/>
      <c r="P669" s="44"/>
      <c r="Q669" s="44"/>
      <c r="R669" s="44"/>
      <c r="S669" s="44"/>
      <c r="T669" s="44"/>
      <c r="U669" s="44"/>
      <c r="V669" s="44"/>
    </row>
    <row r="670" spans="1:22" ht="15.75" customHeight="1" x14ac:dyDescent="0.35">
      <c r="A670" s="47"/>
      <c r="I670" s="44"/>
      <c r="J670" s="44"/>
      <c r="K670" s="44"/>
      <c r="L670" s="44"/>
      <c r="M670" s="44"/>
      <c r="N670" s="44"/>
      <c r="O670" s="44"/>
      <c r="P670" s="44"/>
      <c r="Q670" s="44"/>
      <c r="R670" s="44"/>
      <c r="S670" s="44"/>
      <c r="T670" s="44"/>
      <c r="U670" s="44"/>
      <c r="V670" s="44"/>
    </row>
    <row r="671" spans="1:22" ht="15.75" customHeight="1" x14ac:dyDescent="0.35">
      <c r="A671" s="47"/>
      <c r="I671" s="44"/>
      <c r="J671" s="44"/>
      <c r="K671" s="44"/>
      <c r="L671" s="44"/>
      <c r="M671" s="44"/>
      <c r="N671" s="44"/>
      <c r="O671" s="44"/>
      <c r="P671" s="44"/>
      <c r="Q671" s="44"/>
      <c r="R671" s="44"/>
      <c r="S671" s="44"/>
      <c r="T671" s="44"/>
      <c r="U671" s="44"/>
      <c r="V671" s="44"/>
    </row>
    <row r="672" spans="1:22" ht="15.75" customHeight="1" x14ac:dyDescent="0.35">
      <c r="A672" s="47"/>
      <c r="I672" s="44"/>
      <c r="J672" s="44"/>
      <c r="K672" s="44"/>
      <c r="L672" s="44"/>
      <c r="M672" s="44"/>
      <c r="N672" s="44"/>
      <c r="O672" s="44"/>
      <c r="P672" s="44"/>
      <c r="Q672" s="44"/>
      <c r="R672" s="44"/>
      <c r="S672" s="44"/>
      <c r="T672" s="44"/>
      <c r="U672" s="44"/>
      <c r="V672" s="44"/>
    </row>
    <row r="673" spans="1:22" ht="15.75" customHeight="1" x14ac:dyDescent="0.35">
      <c r="A673" s="47"/>
      <c r="I673" s="44"/>
      <c r="J673" s="44"/>
      <c r="K673" s="44"/>
      <c r="L673" s="44"/>
      <c r="M673" s="44"/>
      <c r="N673" s="44"/>
      <c r="O673" s="44"/>
      <c r="P673" s="44"/>
      <c r="Q673" s="44"/>
      <c r="R673" s="44"/>
      <c r="S673" s="44"/>
      <c r="T673" s="44"/>
      <c r="U673" s="44"/>
      <c r="V673" s="44"/>
    </row>
    <row r="674" spans="1:22" ht="15.75" customHeight="1" x14ac:dyDescent="0.35">
      <c r="A674" s="47"/>
      <c r="I674" s="44"/>
      <c r="J674" s="44"/>
      <c r="K674" s="44"/>
      <c r="L674" s="44"/>
      <c r="M674" s="44"/>
      <c r="N674" s="44"/>
      <c r="O674" s="44"/>
      <c r="P674" s="44"/>
      <c r="Q674" s="44"/>
      <c r="R674" s="44"/>
      <c r="S674" s="44"/>
      <c r="T674" s="44"/>
      <c r="U674" s="44"/>
      <c r="V674" s="44"/>
    </row>
    <row r="675" spans="1:22" ht="15.75" customHeight="1" x14ac:dyDescent="0.35">
      <c r="A675" s="47"/>
      <c r="I675" s="44"/>
      <c r="J675" s="44"/>
      <c r="K675" s="44"/>
      <c r="L675" s="44"/>
      <c r="M675" s="44"/>
      <c r="N675" s="44"/>
      <c r="O675" s="44"/>
      <c r="P675" s="44"/>
      <c r="Q675" s="44"/>
      <c r="R675" s="44"/>
      <c r="S675" s="44"/>
      <c r="T675" s="44"/>
      <c r="U675" s="44"/>
      <c r="V675" s="44"/>
    </row>
    <row r="676" spans="1:22" ht="15.75" customHeight="1" x14ac:dyDescent="0.35">
      <c r="A676" s="47"/>
      <c r="I676" s="44"/>
      <c r="J676" s="44"/>
      <c r="K676" s="44"/>
      <c r="L676" s="44"/>
      <c r="M676" s="44"/>
      <c r="N676" s="44"/>
      <c r="O676" s="44"/>
      <c r="P676" s="44"/>
      <c r="Q676" s="44"/>
      <c r="R676" s="44"/>
      <c r="S676" s="44"/>
      <c r="T676" s="44"/>
      <c r="U676" s="44"/>
      <c r="V676" s="44"/>
    </row>
    <row r="677" spans="1:22" ht="15.75" customHeight="1" x14ac:dyDescent="0.35">
      <c r="A677" s="47"/>
      <c r="I677" s="44"/>
      <c r="J677" s="44"/>
      <c r="K677" s="44"/>
      <c r="L677" s="44"/>
      <c r="M677" s="44"/>
      <c r="N677" s="44"/>
      <c r="O677" s="44"/>
      <c r="P677" s="44"/>
      <c r="Q677" s="44"/>
      <c r="R677" s="44"/>
      <c r="S677" s="44"/>
      <c r="T677" s="44"/>
      <c r="U677" s="44"/>
      <c r="V677" s="44"/>
    </row>
    <row r="678" spans="1:22" ht="15.75" customHeight="1" x14ac:dyDescent="0.35">
      <c r="A678" s="47"/>
      <c r="I678" s="44"/>
      <c r="J678" s="44"/>
      <c r="K678" s="44"/>
      <c r="L678" s="44"/>
      <c r="M678" s="44"/>
      <c r="N678" s="44"/>
      <c r="O678" s="44"/>
      <c r="P678" s="44"/>
      <c r="Q678" s="44"/>
      <c r="R678" s="44"/>
      <c r="S678" s="44"/>
      <c r="T678" s="44"/>
      <c r="U678" s="44"/>
      <c r="V678" s="44"/>
    </row>
    <row r="679" spans="1:22" ht="15.75" customHeight="1" x14ac:dyDescent="0.35">
      <c r="A679" s="47"/>
      <c r="I679" s="44"/>
      <c r="J679" s="44"/>
      <c r="K679" s="44"/>
      <c r="L679" s="44"/>
      <c r="M679" s="44"/>
      <c r="N679" s="44"/>
      <c r="O679" s="44"/>
      <c r="P679" s="44"/>
      <c r="Q679" s="44"/>
      <c r="R679" s="44"/>
      <c r="S679" s="44"/>
      <c r="T679" s="44"/>
      <c r="U679" s="44"/>
      <c r="V679" s="44"/>
    </row>
    <row r="680" spans="1:22" ht="15.75" customHeight="1" x14ac:dyDescent="0.35">
      <c r="A680" s="47"/>
      <c r="I680" s="44"/>
      <c r="J680" s="44"/>
      <c r="K680" s="44"/>
      <c r="L680" s="44"/>
      <c r="M680" s="44"/>
      <c r="N680" s="44"/>
      <c r="O680" s="44"/>
      <c r="P680" s="44"/>
      <c r="Q680" s="44"/>
      <c r="R680" s="44"/>
      <c r="S680" s="44"/>
      <c r="T680" s="44"/>
      <c r="U680" s="44"/>
      <c r="V680" s="44"/>
    </row>
    <row r="681" spans="1:22" ht="15.75" customHeight="1" x14ac:dyDescent="0.35">
      <c r="A681" s="47"/>
      <c r="I681" s="44"/>
      <c r="J681" s="44"/>
      <c r="K681" s="44"/>
      <c r="L681" s="44"/>
      <c r="M681" s="44"/>
      <c r="N681" s="44"/>
      <c r="O681" s="44"/>
      <c r="P681" s="44"/>
      <c r="Q681" s="44"/>
      <c r="R681" s="44"/>
      <c r="S681" s="44"/>
      <c r="T681" s="44"/>
      <c r="U681" s="44"/>
      <c r="V681" s="44"/>
    </row>
    <row r="682" spans="1:22" ht="15.75" customHeight="1" x14ac:dyDescent="0.35">
      <c r="A682" s="47"/>
      <c r="I682" s="44"/>
      <c r="J682" s="44"/>
      <c r="K682" s="44"/>
      <c r="L682" s="44"/>
      <c r="M682" s="44"/>
      <c r="N682" s="44"/>
      <c r="O682" s="44"/>
      <c r="P682" s="44"/>
      <c r="Q682" s="44"/>
      <c r="R682" s="44"/>
      <c r="S682" s="44"/>
      <c r="T682" s="44"/>
      <c r="U682" s="44"/>
      <c r="V682" s="44"/>
    </row>
    <row r="683" spans="1:22" ht="15.75" customHeight="1" x14ac:dyDescent="0.35">
      <c r="A683" s="47"/>
      <c r="I683" s="44"/>
      <c r="J683" s="44"/>
      <c r="K683" s="44"/>
      <c r="L683" s="44"/>
      <c r="M683" s="44"/>
      <c r="N683" s="44"/>
      <c r="O683" s="44"/>
      <c r="P683" s="44"/>
      <c r="Q683" s="44"/>
      <c r="R683" s="44"/>
      <c r="S683" s="44"/>
      <c r="T683" s="44"/>
      <c r="U683" s="44"/>
      <c r="V683" s="44"/>
    </row>
    <row r="684" spans="1:22" ht="15.75" customHeight="1" x14ac:dyDescent="0.35">
      <c r="A684" s="47"/>
      <c r="I684" s="44"/>
      <c r="J684" s="44"/>
      <c r="K684" s="44"/>
      <c r="L684" s="44"/>
      <c r="M684" s="44"/>
      <c r="N684" s="44"/>
      <c r="O684" s="44"/>
      <c r="P684" s="44"/>
      <c r="Q684" s="44"/>
      <c r="R684" s="44"/>
      <c r="S684" s="44"/>
      <c r="T684" s="44"/>
      <c r="U684" s="44"/>
      <c r="V684" s="44"/>
    </row>
    <row r="685" spans="1:22" ht="15.75" customHeight="1" x14ac:dyDescent="0.35">
      <c r="A685" s="47"/>
      <c r="I685" s="44"/>
      <c r="J685" s="44"/>
      <c r="K685" s="44"/>
      <c r="L685" s="44"/>
      <c r="M685" s="44"/>
      <c r="N685" s="44"/>
      <c r="O685" s="44"/>
      <c r="P685" s="44"/>
      <c r="Q685" s="44"/>
      <c r="R685" s="44"/>
      <c r="S685" s="44"/>
      <c r="T685" s="44"/>
      <c r="U685" s="44"/>
      <c r="V685" s="44"/>
    </row>
    <row r="686" spans="1:22" ht="15.75" customHeight="1" x14ac:dyDescent="0.35">
      <c r="A686" s="47"/>
      <c r="I686" s="44"/>
      <c r="J686" s="44"/>
      <c r="K686" s="44"/>
      <c r="L686" s="44"/>
      <c r="M686" s="44"/>
      <c r="N686" s="44"/>
      <c r="O686" s="44"/>
      <c r="P686" s="44"/>
      <c r="Q686" s="44"/>
      <c r="R686" s="44"/>
      <c r="S686" s="44"/>
      <c r="T686" s="44"/>
      <c r="U686" s="44"/>
      <c r="V686" s="44"/>
    </row>
    <row r="687" spans="1:22" ht="15.75" customHeight="1" x14ac:dyDescent="0.35">
      <c r="A687" s="47"/>
      <c r="I687" s="44"/>
      <c r="J687" s="44"/>
      <c r="K687" s="44"/>
      <c r="L687" s="44"/>
      <c r="M687" s="44"/>
      <c r="N687" s="44"/>
      <c r="O687" s="44"/>
      <c r="P687" s="44"/>
      <c r="Q687" s="44"/>
      <c r="R687" s="44"/>
      <c r="S687" s="44"/>
      <c r="T687" s="44"/>
      <c r="U687" s="44"/>
      <c r="V687" s="44"/>
    </row>
    <row r="688" spans="1:22" ht="15.75" customHeight="1" x14ac:dyDescent="0.35">
      <c r="A688" s="47"/>
      <c r="I688" s="44"/>
      <c r="J688" s="44"/>
      <c r="K688" s="44"/>
      <c r="L688" s="44"/>
      <c r="M688" s="44"/>
      <c r="N688" s="44"/>
      <c r="O688" s="44"/>
      <c r="P688" s="44"/>
      <c r="Q688" s="44"/>
      <c r="R688" s="44"/>
      <c r="S688" s="44"/>
      <c r="T688" s="44"/>
      <c r="U688" s="44"/>
      <c r="V688" s="44"/>
    </row>
    <row r="689" spans="1:22" ht="15.75" customHeight="1" x14ac:dyDescent="0.35">
      <c r="A689" s="47"/>
      <c r="I689" s="44"/>
      <c r="J689" s="44"/>
      <c r="K689" s="44"/>
      <c r="L689" s="44"/>
      <c r="M689" s="44"/>
      <c r="N689" s="44"/>
      <c r="O689" s="44"/>
      <c r="P689" s="44"/>
      <c r="Q689" s="44"/>
      <c r="R689" s="44"/>
      <c r="S689" s="44"/>
      <c r="T689" s="44"/>
      <c r="U689" s="44"/>
      <c r="V689" s="44"/>
    </row>
    <row r="690" spans="1:22" ht="15.75" customHeight="1" x14ac:dyDescent="0.35">
      <c r="A690" s="47"/>
      <c r="I690" s="44"/>
      <c r="J690" s="44"/>
      <c r="K690" s="44"/>
      <c r="L690" s="44"/>
      <c r="M690" s="44"/>
      <c r="N690" s="44"/>
      <c r="O690" s="44"/>
      <c r="P690" s="44"/>
      <c r="Q690" s="44"/>
      <c r="R690" s="44"/>
      <c r="S690" s="44"/>
      <c r="T690" s="44"/>
      <c r="U690" s="44"/>
      <c r="V690" s="44"/>
    </row>
    <row r="691" spans="1:22" ht="15.75" customHeight="1" x14ac:dyDescent="0.35">
      <c r="A691" s="47"/>
      <c r="I691" s="44"/>
      <c r="J691" s="44"/>
      <c r="K691" s="44"/>
      <c r="L691" s="44"/>
      <c r="M691" s="44"/>
      <c r="N691" s="44"/>
      <c r="O691" s="44"/>
      <c r="P691" s="44"/>
      <c r="Q691" s="44"/>
      <c r="R691" s="44"/>
      <c r="S691" s="44"/>
      <c r="T691" s="44"/>
      <c r="U691" s="44"/>
      <c r="V691" s="44"/>
    </row>
    <row r="692" spans="1:22" ht="15.75" customHeight="1" x14ac:dyDescent="0.35">
      <c r="A692" s="47"/>
      <c r="I692" s="44"/>
      <c r="J692" s="44"/>
      <c r="K692" s="44"/>
      <c r="L692" s="44"/>
      <c r="M692" s="44"/>
      <c r="N692" s="44"/>
      <c r="O692" s="44"/>
      <c r="P692" s="44"/>
      <c r="Q692" s="44"/>
      <c r="R692" s="44"/>
      <c r="S692" s="44"/>
      <c r="T692" s="44"/>
      <c r="U692" s="44"/>
      <c r="V692" s="44"/>
    </row>
    <row r="693" spans="1:22" ht="15.75" customHeight="1" x14ac:dyDescent="0.35">
      <c r="A693" s="47"/>
      <c r="I693" s="44"/>
      <c r="J693" s="44"/>
      <c r="K693" s="44"/>
      <c r="L693" s="44"/>
      <c r="M693" s="44"/>
      <c r="N693" s="44"/>
      <c r="O693" s="44"/>
      <c r="P693" s="44"/>
      <c r="Q693" s="44"/>
      <c r="R693" s="44"/>
      <c r="S693" s="44"/>
      <c r="T693" s="44"/>
      <c r="U693" s="44"/>
      <c r="V693" s="44"/>
    </row>
    <row r="694" spans="1:22" ht="15.75" customHeight="1" x14ac:dyDescent="0.35">
      <c r="A694" s="47"/>
      <c r="I694" s="44"/>
      <c r="J694" s="44"/>
      <c r="K694" s="44"/>
      <c r="L694" s="44"/>
      <c r="M694" s="44"/>
      <c r="N694" s="44"/>
      <c r="O694" s="44"/>
      <c r="P694" s="44"/>
      <c r="Q694" s="44"/>
      <c r="R694" s="44"/>
      <c r="S694" s="44"/>
      <c r="T694" s="44"/>
      <c r="U694" s="44"/>
      <c r="V694" s="44"/>
    </row>
    <row r="695" spans="1:22" ht="15.75" customHeight="1" x14ac:dyDescent="0.35">
      <c r="A695" s="47"/>
      <c r="I695" s="44"/>
      <c r="J695" s="44"/>
      <c r="K695" s="44"/>
      <c r="L695" s="44"/>
      <c r="M695" s="44"/>
      <c r="N695" s="44"/>
      <c r="O695" s="44"/>
      <c r="P695" s="44"/>
      <c r="Q695" s="44"/>
      <c r="R695" s="44"/>
      <c r="S695" s="44"/>
      <c r="T695" s="44"/>
      <c r="U695" s="44"/>
      <c r="V695" s="44"/>
    </row>
    <row r="696" spans="1:22" ht="15.75" customHeight="1" x14ac:dyDescent="0.35">
      <c r="A696" s="47"/>
      <c r="I696" s="44"/>
      <c r="J696" s="44"/>
      <c r="K696" s="44"/>
      <c r="L696" s="44"/>
      <c r="M696" s="44"/>
      <c r="N696" s="44"/>
      <c r="O696" s="44"/>
      <c r="P696" s="44"/>
      <c r="Q696" s="44"/>
      <c r="R696" s="44"/>
      <c r="S696" s="44"/>
      <c r="T696" s="44"/>
      <c r="U696" s="44"/>
      <c r="V696" s="44"/>
    </row>
    <row r="697" spans="1:22" ht="15.75" customHeight="1" x14ac:dyDescent="0.35">
      <c r="A697" s="47"/>
      <c r="I697" s="44"/>
      <c r="J697" s="44"/>
      <c r="K697" s="44"/>
      <c r="L697" s="44"/>
      <c r="M697" s="44"/>
      <c r="N697" s="44"/>
      <c r="O697" s="44"/>
      <c r="P697" s="44"/>
      <c r="Q697" s="44"/>
      <c r="R697" s="44"/>
      <c r="S697" s="44"/>
      <c r="T697" s="44"/>
      <c r="U697" s="44"/>
      <c r="V697" s="44"/>
    </row>
    <row r="698" spans="1:22" ht="15.75" customHeight="1" x14ac:dyDescent="0.35">
      <c r="A698" s="47"/>
      <c r="I698" s="44"/>
      <c r="J698" s="44"/>
      <c r="K698" s="44"/>
      <c r="L698" s="44"/>
      <c r="M698" s="44"/>
      <c r="N698" s="44"/>
      <c r="O698" s="44"/>
      <c r="P698" s="44"/>
      <c r="Q698" s="44"/>
      <c r="R698" s="44"/>
      <c r="S698" s="44"/>
      <c r="T698" s="44"/>
      <c r="U698" s="44"/>
      <c r="V698" s="44"/>
    </row>
    <row r="699" spans="1:22" ht="15.75" customHeight="1" x14ac:dyDescent="0.35">
      <c r="A699" s="47"/>
      <c r="I699" s="44"/>
      <c r="J699" s="44"/>
      <c r="K699" s="44"/>
      <c r="L699" s="44"/>
      <c r="M699" s="44"/>
      <c r="N699" s="44"/>
      <c r="O699" s="44"/>
      <c r="P699" s="44"/>
      <c r="Q699" s="44"/>
      <c r="R699" s="44"/>
      <c r="S699" s="44"/>
      <c r="T699" s="44"/>
      <c r="U699" s="44"/>
      <c r="V699" s="44"/>
    </row>
    <row r="700" spans="1:22" ht="15.75" customHeight="1" x14ac:dyDescent="0.35">
      <c r="A700" s="47"/>
      <c r="I700" s="44"/>
      <c r="J700" s="44"/>
      <c r="K700" s="44"/>
      <c r="L700" s="44"/>
      <c r="M700" s="44"/>
      <c r="N700" s="44"/>
      <c r="O700" s="44"/>
      <c r="P700" s="44"/>
      <c r="Q700" s="44"/>
      <c r="R700" s="44"/>
      <c r="S700" s="44"/>
      <c r="T700" s="44"/>
      <c r="U700" s="44"/>
      <c r="V700" s="44"/>
    </row>
    <row r="701" spans="1:22" ht="15.75" customHeight="1" x14ac:dyDescent="0.35">
      <c r="A701" s="47"/>
      <c r="I701" s="44"/>
      <c r="J701" s="44"/>
      <c r="K701" s="44"/>
      <c r="L701" s="44"/>
      <c r="M701" s="44"/>
      <c r="N701" s="44"/>
      <c r="O701" s="44"/>
      <c r="P701" s="44"/>
      <c r="Q701" s="44"/>
      <c r="R701" s="44"/>
      <c r="S701" s="44"/>
      <c r="T701" s="44"/>
      <c r="U701" s="44"/>
      <c r="V701" s="44"/>
    </row>
    <row r="702" spans="1:22" ht="15.75" customHeight="1" x14ac:dyDescent="0.35">
      <c r="A702" s="47"/>
      <c r="I702" s="44"/>
      <c r="J702" s="44"/>
      <c r="K702" s="44"/>
      <c r="L702" s="44"/>
      <c r="M702" s="44"/>
      <c r="N702" s="44"/>
      <c r="O702" s="44"/>
      <c r="P702" s="44"/>
      <c r="Q702" s="44"/>
      <c r="R702" s="44"/>
      <c r="S702" s="44"/>
      <c r="T702" s="44"/>
      <c r="U702" s="44"/>
      <c r="V702" s="44"/>
    </row>
    <row r="703" spans="1:22" ht="15.75" customHeight="1" x14ac:dyDescent="0.35">
      <c r="A703" s="47"/>
      <c r="I703" s="44"/>
      <c r="J703" s="44"/>
      <c r="K703" s="44"/>
      <c r="L703" s="44"/>
      <c r="M703" s="44"/>
      <c r="N703" s="44"/>
      <c r="O703" s="44"/>
      <c r="P703" s="44"/>
      <c r="Q703" s="44"/>
      <c r="R703" s="44"/>
      <c r="S703" s="44"/>
      <c r="T703" s="44"/>
      <c r="U703" s="44"/>
      <c r="V703" s="44"/>
    </row>
    <row r="704" spans="1:22" ht="15.75" customHeight="1" x14ac:dyDescent="0.35">
      <c r="A704" s="47"/>
      <c r="I704" s="44"/>
      <c r="J704" s="44"/>
      <c r="K704" s="44"/>
      <c r="L704" s="44"/>
      <c r="M704" s="44"/>
      <c r="N704" s="44"/>
      <c r="O704" s="44"/>
      <c r="P704" s="44"/>
      <c r="Q704" s="44"/>
      <c r="R704" s="44"/>
      <c r="S704" s="44"/>
      <c r="T704" s="44"/>
      <c r="U704" s="44"/>
      <c r="V704" s="44"/>
    </row>
    <row r="705" spans="1:22" ht="15.75" customHeight="1" x14ac:dyDescent="0.35">
      <c r="A705" s="47"/>
      <c r="I705" s="44"/>
      <c r="J705" s="44"/>
      <c r="K705" s="44"/>
      <c r="L705" s="44"/>
      <c r="M705" s="44"/>
      <c r="N705" s="44"/>
      <c r="O705" s="44"/>
      <c r="P705" s="44"/>
      <c r="Q705" s="44"/>
      <c r="R705" s="44"/>
      <c r="S705" s="44"/>
      <c r="T705" s="44"/>
      <c r="U705" s="44"/>
      <c r="V705" s="44"/>
    </row>
    <row r="706" spans="1:22" ht="15.75" customHeight="1" x14ac:dyDescent="0.35">
      <c r="A706" s="47"/>
      <c r="I706" s="44"/>
      <c r="J706" s="44"/>
      <c r="K706" s="44"/>
      <c r="L706" s="44"/>
      <c r="M706" s="44"/>
      <c r="N706" s="44"/>
      <c r="O706" s="44"/>
      <c r="P706" s="44"/>
      <c r="Q706" s="44"/>
      <c r="R706" s="44"/>
      <c r="S706" s="44"/>
      <c r="T706" s="44"/>
      <c r="U706" s="44"/>
      <c r="V706" s="44"/>
    </row>
    <row r="707" spans="1:22" ht="15.75" customHeight="1" x14ac:dyDescent="0.35">
      <c r="A707" s="47"/>
      <c r="I707" s="44"/>
      <c r="J707" s="44"/>
      <c r="K707" s="44"/>
      <c r="L707" s="44"/>
      <c r="M707" s="44"/>
      <c r="N707" s="44"/>
      <c r="O707" s="44"/>
      <c r="P707" s="44"/>
      <c r="Q707" s="44"/>
      <c r="R707" s="44"/>
      <c r="S707" s="44"/>
      <c r="T707" s="44"/>
      <c r="U707" s="44"/>
      <c r="V707" s="44"/>
    </row>
    <row r="708" spans="1:22" ht="15.75" customHeight="1" x14ac:dyDescent="0.35">
      <c r="A708" s="47"/>
      <c r="I708" s="44"/>
      <c r="J708" s="44"/>
      <c r="K708" s="44"/>
      <c r="L708" s="44"/>
      <c r="M708" s="44"/>
      <c r="N708" s="44"/>
      <c r="O708" s="44"/>
      <c r="P708" s="44"/>
      <c r="Q708" s="44"/>
      <c r="R708" s="44"/>
      <c r="S708" s="44"/>
      <c r="T708" s="44"/>
      <c r="U708" s="44"/>
      <c r="V708" s="44"/>
    </row>
    <row r="709" spans="1:22" ht="15.75" customHeight="1" x14ac:dyDescent="0.35">
      <c r="A709" s="47"/>
      <c r="I709" s="44"/>
      <c r="J709" s="44"/>
      <c r="K709" s="44"/>
      <c r="L709" s="44"/>
      <c r="M709" s="44"/>
      <c r="N709" s="44"/>
      <c r="O709" s="44"/>
      <c r="P709" s="44"/>
      <c r="Q709" s="44"/>
      <c r="R709" s="44"/>
      <c r="S709" s="44"/>
      <c r="T709" s="44"/>
      <c r="U709" s="44"/>
      <c r="V709" s="44"/>
    </row>
    <row r="710" spans="1:22" ht="15.75" customHeight="1" x14ac:dyDescent="0.35">
      <c r="A710" s="47"/>
      <c r="I710" s="44"/>
      <c r="J710" s="44"/>
      <c r="K710" s="44"/>
      <c r="L710" s="44"/>
      <c r="M710" s="44"/>
      <c r="N710" s="44"/>
      <c r="O710" s="44"/>
      <c r="P710" s="44"/>
      <c r="Q710" s="44"/>
      <c r="R710" s="44"/>
      <c r="S710" s="44"/>
      <c r="T710" s="44"/>
      <c r="U710" s="44"/>
      <c r="V710" s="44"/>
    </row>
    <row r="711" spans="1:22" ht="15.75" customHeight="1" x14ac:dyDescent="0.35">
      <c r="A711" s="47"/>
      <c r="I711" s="44"/>
      <c r="J711" s="44"/>
      <c r="K711" s="44"/>
      <c r="L711" s="44"/>
      <c r="M711" s="44"/>
      <c r="N711" s="44"/>
      <c r="O711" s="44"/>
      <c r="P711" s="44"/>
      <c r="Q711" s="44"/>
      <c r="R711" s="44"/>
      <c r="S711" s="44"/>
      <c r="T711" s="44"/>
      <c r="U711" s="44"/>
      <c r="V711" s="44"/>
    </row>
    <row r="712" spans="1:22" ht="15.75" customHeight="1" x14ac:dyDescent="0.35">
      <c r="A712" s="47"/>
      <c r="I712" s="44"/>
      <c r="J712" s="44"/>
      <c r="K712" s="44"/>
      <c r="L712" s="44"/>
      <c r="M712" s="44"/>
      <c r="N712" s="44"/>
      <c r="O712" s="44"/>
      <c r="P712" s="44"/>
      <c r="Q712" s="44"/>
      <c r="R712" s="44"/>
      <c r="S712" s="44"/>
      <c r="T712" s="44"/>
      <c r="U712" s="44"/>
      <c r="V712" s="44"/>
    </row>
    <row r="713" spans="1:22" ht="15.75" customHeight="1" x14ac:dyDescent="0.35">
      <c r="A713" s="47"/>
      <c r="I713" s="44"/>
      <c r="J713" s="44"/>
      <c r="K713" s="44"/>
      <c r="L713" s="44"/>
      <c r="M713" s="44"/>
      <c r="N713" s="44"/>
      <c r="O713" s="44"/>
      <c r="P713" s="44"/>
      <c r="Q713" s="44"/>
      <c r="R713" s="44"/>
      <c r="S713" s="44"/>
      <c r="T713" s="44"/>
      <c r="U713" s="44"/>
      <c r="V713" s="44"/>
    </row>
    <row r="714" spans="1:22" ht="15.75" customHeight="1" x14ac:dyDescent="0.35">
      <c r="A714" s="47"/>
      <c r="I714" s="44"/>
      <c r="J714" s="44"/>
      <c r="K714" s="44"/>
      <c r="L714" s="44"/>
      <c r="M714" s="44"/>
      <c r="N714" s="44"/>
      <c r="O714" s="44"/>
      <c r="P714" s="44"/>
      <c r="Q714" s="44"/>
      <c r="R714" s="44"/>
      <c r="S714" s="44"/>
      <c r="T714" s="44"/>
      <c r="U714" s="44"/>
      <c r="V714" s="44"/>
    </row>
    <row r="715" spans="1:22" ht="15.75" customHeight="1" x14ac:dyDescent="0.35">
      <c r="A715" s="47"/>
      <c r="I715" s="44"/>
      <c r="J715" s="44"/>
      <c r="K715" s="44"/>
      <c r="L715" s="44"/>
      <c r="M715" s="44"/>
      <c r="N715" s="44"/>
      <c r="O715" s="44"/>
      <c r="P715" s="44"/>
      <c r="Q715" s="44"/>
      <c r="R715" s="44"/>
      <c r="S715" s="44"/>
      <c r="T715" s="44"/>
      <c r="U715" s="44"/>
      <c r="V715" s="44"/>
    </row>
    <row r="716" spans="1:22" ht="15.75" customHeight="1" x14ac:dyDescent="0.35">
      <c r="A716" s="47"/>
      <c r="I716" s="44"/>
      <c r="J716" s="44"/>
      <c r="K716" s="44"/>
      <c r="L716" s="44"/>
      <c r="M716" s="44"/>
      <c r="N716" s="44"/>
      <c r="O716" s="44"/>
      <c r="P716" s="44"/>
      <c r="Q716" s="44"/>
      <c r="R716" s="44"/>
      <c r="S716" s="44"/>
      <c r="T716" s="44"/>
      <c r="U716" s="44"/>
      <c r="V716" s="44"/>
    </row>
    <row r="717" spans="1:22" ht="15.75" customHeight="1" x14ac:dyDescent="0.35">
      <c r="A717" s="47"/>
      <c r="I717" s="44"/>
      <c r="J717" s="44"/>
      <c r="K717" s="44"/>
      <c r="L717" s="44"/>
      <c r="M717" s="44"/>
      <c r="N717" s="44"/>
      <c r="O717" s="44"/>
      <c r="P717" s="44"/>
      <c r="Q717" s="44"/>
      <c r="R717" s="44"/>
      <c r="S717" s="44"/>
      <c r="T717" s="44"/>
      <c r="U717" s="44"/>
      <c r="V717" s="44"/>
    </row>
    <row r="718" spans="1:22" ht="15.75" customHeight="1" x14ac:dyDescent="0.35">
      <c r="A718" s="47"/>
      <c r="I718" s="44"/>
      <c r="J718" s="44"/>
      <c r="K718" s="44"/>
      <c r="L718" s="44"/>
      <c r="M718" s="44"/>
      <c r="N718" s="44"/>
      <c r="O718" s="44"/>
      <c r="P718" s="44"/>
      <c r="Q718" s="44"/>
      <c r="R718" s="44"/>
      <c r="S718" s="44"/>
      <c r="T718" s="44"/>
      <c r="U718" s="44"/>
      <c r="V718" s="44"/>
    </row>
    <row r="719" spans="1:22" ht="15.75" customHeight="1" x14ac:dyDescent="0.35">
      <c r="A719" s="47"/>
      <c r="I719" s="44"/>
      <c r="J719" s="44"/>
      <c r="K719" s="44"/>
      <c r="L719" s="44"/>
      <c r="M719" s="44"/>
      <c r="N719" s="44"/>
      <c r="O719" s="44"/>
      <c r="P719" s="44"/>
      <c r="Q719" s="44"/>
      <c r="R719" s="44"/>
      <c r="S719" s="44"/>
      <c r="T719" s="44"/>
      <c r="U719" s="44"/>
      <c r="V719" s="44"/>
    </row>
    <row r="720" spans="1:22" ht="15.75" customHeight="1" x14ac:dyDescent="0.35">
      <c r="A720" s="47"/>
      <c r="I720" s="44"/>
      <c r="J720" s="44"/>
      <c r="K720" s="44"/>
      <c r="L720" s="44"/>
      <c r="M720" s="44"/>
      <c r="N720" s="44"/>
      <c r="O720" s="44"/>
      <c r="P720" s="44"/>
      <c r="Q720" s="44"/>
      <c r="R720" s="44"/>
      <c r="S720" s="44"/>
      <c r="T720" s="44"/>
      <c r="U720" s="44"/>
      <c r="V720" s="44"/>
    </row>
    <row r="721" spans="1:22" ht="15.75" customHeight="1" x14ac:dyDescent="0.35">
      <c r="A721" s="47"/>
      <c r="I721" s="44"/>
      <c r="J721" s="44"/>
      <c r="K721" s="44"/>
      <c r="L721" s="44"/>
      <c r="M721" s="44"/>
      <c r="N721" s="44"/>
      <c r="O721" s="44"/>
      <c r="P721" s="44"/>
      <c r="Q721" s="44"/>
      <c r="R721" s="44"/>
      <c r="S721" s="44"/>
      <c r="T721" s="44"/>
      <c r="U721" s="44"/>
      <c r="V721" s="44"/>
    </row>
    <row r="722" spans="1:22" ht="15.75" customHeight="1" x14ac:dyDescent="0.35">
      <c r="A722" s="47"/>
      <c r="I722" s="44"/>
      <c r="J722" s="44"/>
      <c r="K722" s="44"/>
      <c r="L722" s="44"/>
      <c r="M722" s="44"/>
      <c r="N722" s="44"/>
      <c r="O722" s="44"/>
      <c r="P722" s="44"/>
      <c r="Q722" s="44"/>
      <c r="R722" s="44"/>
      <c r="S722" s="44"/>
      <c r="T722" s="44"/>
      <c r="U722" s="44"/>
      <c r="V722" s="44"/>
    </row>
    <row r="723" spans="1:22" ht="15.75" customHeight="1" x14ac:dyDescent="0.35">
      <c r="A723" s="47"/>
      <c r="I723" s="44"/>
      <c r="J723" s="44"/>
      <c r="K723" s="44"/>
      <c r="L723" s="44"/>
      <c r="M723" s="44"/>
      <c r="N723" s="44"/>
      <c r="O723" s="44"/>
      <c r="P723" s="44"/>
      <c r="Q723" s="44"/>
      <c r="R723" s="44"/>
      <c r="S723" s="44"/>
      <c r="T723" s="44"/>
      <c r="U723" s="44"/>
      <c r="V723" s="44"/>
    </row>
    <row r="724" spans="1:22" ht="15.75" customHeight="1" x14ac:dyDescent="0.35">
      <c r="A724" s="47"/>
      <c r="I724" s="44"/>
      <c r="J724" s="44"/>
      <c r="K724" s="44"/>
      <c r="L724" s="44"/>
      <c r="M724" s="44"/>
      <c r="N724" s="44"/>
      <c r="O724" s="44"/>
      <c r="P724" s="44"/>
      <c r="Q724" s="44"/>
      <c r="R724" s="44"/>
      <c r="S724" s="44"/>
      <c r="T724" s="44"/>
      <c r="U724" s="44"/>
      <c r="V724" s="44"/>
    </row>
    <row r="725" spans="1:22" ht="15.75" customHeight="1" x14ac:dyDescent="0.35">
      <c r="A725" s="47"/>
      <c r="I725" s="44"/>
      <c r="J725" s="44"/>
      <c r="K725" s="44"/>
      <c r="L725" s="44"/>
      <c r="M725" s="44"/>
      <c r="N725" s="44"/>
      <c r="O725" s="44"/>
      <c r="P725" s="44"/>
      <c r="Q725" s="44"/>
      <c r="R725" s="44"/>
      <c r="S725" s="44"/>
      <c r="T725" s="44"/>
      <c r="U725" s="44"/>
      <c r="V725" s="44"/>
    </row>
    <row r="726" spans="1:22" ht="15.75" customHeight="1" x14ac:dyDescent="0.35">
      <c r="A726" s="47"/>
      <c r="I726" s="44"/>
      <c r="J726" s="44"/>
      <c r="K726" s="44"/>
      <c r="L726" s="44"/>
      <c r="M726" s="44"/>
      <c r="N726" s="44"/>
      <c r="O726" s="44"/>
      <c r="P726" s="44"/>
      <c r="Q726" s="44"/>
      <c r="R726" s="44"/>
      <c r="S726" s="44"/>
      <c r="T726" s="44"/>
      <c r="U726" s="44"/>
      <c r="V726" s="44"/>
    </row>
    <row r="727" spans="1:22" ht="15.75" customHeight="1" x14ac:dyDescent="0.35">
      <c r="A727" s="47"/>
      <c r="I727" s="44"/>
      <c r="J727" s="44"/>
      <c r="K727" s="44"/>
      <c r="L727" s="44"/>
      <c r="M727" s="44"/>
      <c r="N727" s="44"/>
      <c r="O727" s="44"/>
      <c r="P727" s="44"/>
      <c r="Q727" s="44"/>
      <c r="R727" s="44"/>
      <c r="S727" s="44"/>
      <c r="T727" s="44"/>
      <c r="U727" s="44"/>
      <c r="V727" s="44"/>
    </row>
    <row r="728" spans="1:22" ht="15.75" customHeight="1" x14ac:dyDescent="0.35">
      <c r="A728" s="47"/>
      <c r="I728" s="44"/>
      <c r="J728" s="44"/>
      <c r="K728" s="44"/>
      <c r="L728" s="44"/>
      <c r="M728" s="44"/>
      <c r="N728" s="44"/>
      <c r="O728" s="44"/>
      <c r="P728" s="44"/>
      <c r="Q728" s="44"/>
      <c r="R728" s="44"/>
      <c r="S728" s="44"/>
      <c r="T728" s="44"/>
      <c r="U728" s="44"/>
      <c r="V728" s="44"/>
    </row>
    <row r="729" spans="1:22" ht="15.75" customHeight="1" x14ac:dyDescent="0.35">
      <c r="A729" s="47"/>
      <c r="I729" s="44"/>
      <c r="J729" s="44"/>
      <c r="K729" s="44"/>
      <c r="L729" s="44"/>
      <c r="M729" s="44"/>
      <c r="N729" s="44"/>
      <c r="O729" s="44"/>
      <c r="P729" s="44"/>
      <c r="Q729" s="44"/>
      <c r="R729" s="44"/>
      <c r="S729" s="44"/>
      <c r="T729" s="44"/>
      <c r="U729" s="44"/>
      <c r="V729" s="44"/>
    </row>
    <row r="730" spans="1:22" ht="15.75" customHeight="1" x14ac:dyDescent="0.35">
      <c r="A730" s="47"/>
      <c r="I730" s="44"/>
      <c r="J730" s="44"/>
      <c r="K730" s="44"/>
      <c r="L730" s="44"/>
      <c r="M730" s="44"/>
      <c r="N730" s="44"/>
      <c r="O730" s="44"/>
      <c r="P730" s="44"/>
      <c r="Q730" s="44"/>
      <c r="R730" s="44"/>
      <c r="S730" s="44"/>
      <c r="T730" s="44"/>
      <c r="U730" s="44"/>
      <c r="V730" s="44"/>
    </row>
    <row r="731" spans="1:22" ht="15.75" customHeight="1" x14ac:dyDescent="0.35">
      <c r="A731" s="47"/>
      <c r="I731" s="44"/>
      <c r="J731" s="44"/>
      <c r="K731" s="44"/>
      <c r="L731" s="44"/>
      <c r="M731" s="44"/>
      <c r="N731" s="44"/>
      <c r="O731" s="44"/>
      <c r="P731" s="44"/>
      <c r="Q731" s="44"/>
      <c r="R731" s="44"/>
      <c r="S731" s="44"/>
      <c r="T731" s="44"/>
      <c r="U731" s="44"/>
      <c r="V731" s="44"/>
    </row>
    <row r="732" spans="1:22" ht="15.75" customHeight="1" x14ac:dyDescent="0.35">
      <c r="A732" s="47"/>
      <c r="I732" s="44"/>
      <c r="J732" s="44"/>
      <c r="K732" s="44"/>
      <c r="L732" s="44"/>
      <c r="M732" s="44"/>
      <c r="N732" s="44"/>
      <c r="O732" s="44"/>
      <c r="P732" s="44"/>
      <c r="Q732" s="44"/>
      <c r="R732" s="44"/>
      <c r="S732" s="44"/>
      <c r="T732" s="44"/>
      <c r="U732" s="44"/>
      <c r="V732" s="44"/>
    </row>
    <row r="733" spans="1:22" ht="15.75" customHeight="1" x14ac:dyDescent="0.35">
      <c r="A733" s="47"/>
      <c r="I733" s="44"/>
      <c r="J733" s="44"/>
      <c r="K733" s="44"/>
      <c r="L733" s="44"/>
      <c r="M733" s="44"/>
      <c r="N733" s="44"/>
      <c r="O733" s="44"/>
      <c r="P733" s="44"/>
      <c r="Q733" s="44"/>
      <c r="R733" s="44"/>
      <c r="S733" s="44"/>
      <c r="T733" s="44"/>
      <c r="U733" s="44"/>
      <c r="V733" s="44"/>
    </row>
    <row r="734" spans="1:22" ht="15.75" customHeight="1" x14ac:dyDescent="0.35">
      <c r="A734" s="47"/>
      <c r="I734" s="44"/>
      <c r="J734" s="44"/>
      <c r="K734" s="44"/>
      <c r="L734" s="44"/>
      <c r="M734" s="44"/>
      <c r="N734" s="44"/>
      <c r="O734" s="44"/>
      <c r="P734" s="44"/>
      <c r="Q734" s="44"/>
      <c r="R734" s="44"/>
      <c r="S734" s="44"/>
      <c r="T734" s="44"/>
      <c r="U734" s="44"/>
      <c r="V734" s="44"/>
    </row>
    <row r="735" spans="1:22" ht="15.75" customHeight="1" x14ac:dyDescent="0.35">
      <c r="A735" s="47"/>
      <c r="I735" s="44"/>
      <c r="J735" s="44"/>
      <c r="K735" s="44"/>
      <c r="L735" s="44"/>
      <c r="M735" s="44"/>
      <c r="N735" s="44"/>
      <c r="O735" s="44"/>
      <c r="P735" s="44"/>
      <c r="Q735" s="44"/>
      <c r="R735" s="44"/>
      <c r="S735" s="44"/>
      <c r="T735" s="44"/>
      <c r="U735" s="44"/>
      <c r="V735" s="44"/>
    </row>
    <row r="736" spans="1:22" ht="15.75" customHeight="1" x14ac:dyDescent="0.35">
      <c r="A736" s="47"/>
      <c r="I736" s="44"/>
      <c r="J736" s="44"/>
      <c r="K736" s="44"/>
      <c r="L736" s="44"/>
      <c r="M736" s="44"/>
      <c r="N736" s="44"/>
      <c r="O736" s="44"/>
      <c r="P736" s="44"/>
      <c r="Q736" s="44"/>
      <c r="R736" s="44"/>
      <c r="S736" s="44"/>
      <c r="T736" s="44"/>
      <c r="U736" s="44"/>
      <c r="V736" s="44"/>
    </row>
    <row r="737" spans="1:22" ht="15.75" customHeight="1" x14ac:dyDescent="0.35">
      <c r="A737" s="47"/>
      <c r="I737" s="44"/>
      <c r="J737" s="44"/>
      <c r="K737" s="44"/>
      <c r="L737" s="44"/>
      <c r="M737" s="44"/>
      <c r="N737" s="44"/>
      <c r="O737" s="44"/>
      <c r="P737" s="44"/>
      <c r="Q737" s="44"/>
      <c r="R737" s="44"/>
      <c r="S737" s="44"/>
      <c r="T737" s="44"/>
      <c r="U737" s="44"/>
      <c r="V737" s="44"/>
    </row>
    <row r="738" spans="1:22" ht="15.75" customHeight="1" x14ac:dyDescent="0.35">
      <c r="A738" s="47"/>
      <c r="I738" s="44"/>
      <c r="J738" s="44"/>
      <c r="K738" s="44"/>
      <c r="L738" s="44"/>
      <c r="M738" s="44"/>
      <c r="N738" s="44"/>
      <c r="O738" s="44"/>
      <c r="P738" s="44"/>
      <c r="Q738" s="44"/>
      <c r="R738" s="44"/>
      <c r="S738" s="44"/>
      <c r="T738" s="44"/>
      <c r="U738" s="44"/>
      <c r="V738" s="44"/>
    </row>
    <row r="739" spans="1:22" ht="15.75" customHeight="1" x14ac:dyDescent="0.35">
      <c r="A739" s="47"/>
      <c r="I739" s="44"/>
      <c r="J739" s="44"/>
      <c r="K739" s="44"/>
      <c r="L739" s="44"/>
      <c r="M739" s="44"/>
      <c r="N739" s="44"/>
      <c r="O739" s="44"/>
      <c r="P739" s="44"/>
      <c r="Q739" s="44"/>
      <c r="R739" s="44"/>
      <c r="S739" s="44"/>
      <c r="T739" s="44"/>
      <c r="U739" s="44"/>
      <c r="V739" s="44"/>
    </row>
    <row r="740" spans="1:22" ht="15.75" customHeight="1" x14ac:dyDescent="0.35">
      <c r="A740" s="47"/>
      <c r="I740" s="44"/>
      <c r="J740" s="44"/>
      <c r="K740" s="44"/>
      <c r="L740" s="44"/>
      <c r="M740" s="44"/>
      <c r="N740" s="44"/>
      <c r="O740" s="44"/>
      <c r="P740" s="44"/>
      <c r="Q740" s="44"/>
      <c r="R740" s="44"/>
      <c r="S740" s="44"/>
      <c r="T740" s="44"/>
      <c r="U740" s="44"/>
      <c r="V740" s="44"/>
    </row>
    <row r="741" spans="1:22" ht="15.75" customHeight="1" x14ac:dyDescent="0.35">
      <c r="A741" s="47"/>
      <c r="I741" s="44"/>
      <c r="J741" s="44"/>
      <c r="K741" s="44"/>
      <c r="L741" s="44"/>
      <c r="M741" s="44"/>
      <c r="N741" s="44"/>
      <c r="O741" s="44"/>
      <c r="P741" s="44"/>
      <c r="Q741" s="44"/>
      <c r="R741" s="44"/>
      <c r="S741" s="44"/>
      <c r="T741" s="44"/>
      <c r="U741" s="44"/>
      <c r="V741" s="44"/>
    </row>
    <row r="742" spans="1:22" ht="15.75" customHeight="1" x14ac:dyDescent="0.35">
      <c r="A742" s="47"/>
      <c r="I742" s="44"/>
      <c r="J742" s="44"/>
      <c r="K742" s="44"/>
      <c r="L742" s="44"/>
      <c r="M742" s="44"/>
      <c r="N742" s="44"/>
      <c r="O742" s="44"/>
      <c r="P742" s="44"/>
      <c r="Q742" s="44"/>
      <c r="R742" s="44"/>
      <c r="S742" s="44"/>
      <c r="T742" s="44"/>
      <c r="U742" s="44"/>
      <c r="V742" s="44"/>
    </row>
    <row r="743" spans="1:22" ht="15.75" customHeight="1" x14ac:dyDescent="0.35">
      <c r="A743" s="47"/>
      <c r="I743" s="44"/>
      <c r="J743" s="44"/>
      <c r="K743" s="44"/>
      <c r="L743" s="44"/>
      <c r="M743" s="44"/>
      <c r="N743" s="44"/>
      <c r="O743" s="44"/>
      <c r="P743" s="44"/>
      <c r="Q743" s="44"/>
      <c r="R743" s="44"/>
      <c r="S743" s="44"/>
      <c r="T743" s="44"/>
      <c r="U743" s="44"/>
      <c r="V743" s="44"/>
    </row>
    <row r="744" spans="1:22" ht="15.75" customHeight="1" x14ac:dyDescent="0.35">
      <c r="A744" s="47"/>
      <c r="I744" s="44"/>
      <c r="J744" s="44"/>
      <c r="K744" s="44"/>
      <c r="L744" s="44"/>
      <c r="M744" s="44"/>
      <c r="N744" s="44"/>
      <c r="O744" s="44"/>
      <c r="P744" s="44"/>
      <c r="Q744" s="44"/>
      <c r="R744" s="44"/>
      <c r="S744" s="44"/>
      <c r="T744" s="44"/>
      <c r="U744" s="44"/>
      <c r="V744" s="44"/>
    </row>
    <row r="745" spans="1:22" ht="15.75" customHeight="1" x14ac:dyDescent="0.35">
      <c r="A745" s="47"/>
      <c r="I745" s="44"/>
      <c r="J745" s="44"/>
      <c r="K745" s="44"/>
      <c r="L745" s="44"/>
      <c r="M745" s="44"/>
      <c r="N745" s="44"/>
      <c r="O745" s="44"/>
      <c r="P745" s="44"/>
      <c r="Q745" s="44"/>
      <c r="R745" s="44"/>
      <c r="S745" s="44"/>
      <c r="T745" s="44"/>
      <c r="U745" s="44"/>
      <c r="V745" s="44"/>
    </row>
    <row r="746" spans="1:22" ht="15.75" customHeight="1" x14ac:dyDescent="0.35">
      <c r="A746" s="47"/>
      <c r="I746" s="44"/>
      <c r="J746" s="44"/>
      <c r="K746" s="44"/>
      <c r="L746" s="44"/>
      <c r="M746" s="44"/>
      <c r="N746" s="44"/>
      <c r="O746" s="44"/>
      <c r="P746" s="44"/>
      <c r="Q746" s="44"/>
      <c r="R746" s="44"/>
      <c r="S746" s="44"/>
      <c r="T746" s="44"/>
      <c r="U746" s="44"/>
      <c r="V746" s="44"/>
    </row>
    <row r="747" spans="1:22" ht="15.75" customHeight="1" x14ac:dyDescent="0.35">
      <c r="A747" s="47"/>
      <c r="I747" s="44"/>
      <c r="J747" s="44"/>
      <c r="K747" s="44"/>
      <c r="L747" s="44"/>
      <c r="M747" s="44"/>
      <c r="N747" s="44"/>
      <c r="O747" s="44"/>
      <c r="P747" s="44"/>
      <c r="Q747" s="44"/>
      <c r="R747" s="44"/>
      <c r="S747" s="44"/>
      <c r="T747" s="44"/>
      <c r="U747" s="44"/>
      <c r="V747" s="44"/>
    </row>
    <row r="748" spans="1:22" ht="15.75" customHeight="1" x14ac:dyDescent="0.35">
      <c r="A748" s="47"/>
      <c r="I748" s="44"/>
      <c r="J748" s="44"/>
      <c r="K748" s="44"/>
      <c r="L748" s="44"/>
      <c r="M748" s="44"/>
      <c r="N748" s="44"/>
      <c r="O748" s="44"/>
      <c r="P748" s="44"/>
      <c r="Q748" s="44"/>
      <c r="R748" s="44"/>
      <c r="S748" s="44"/>
      <c r="T748" s="44"/>
      <c r="U748" s="44"/>
      <c r="V748" s="44"/>
    </row>
    <row r="749" spans="1:22" ht="15.75" customHeight="1" x14ac:dyDescent="0.35">
      <c r="A749" s="47"/>
      <c r="I749" s="44"/>
      <c r="J749" s="44"/>
      <c r="K749" s="44"/>
      <c r="L749" s="44"/>
      <c r="M749" s="44"/>
      <c r="N749" s="44"/>
      <c r="O749" s="44"/>
      <c r="P749" s="44"/>
      <c r="Q749" s="44"/>
      <c r="R749" s="44"/>
      <c r="S749" s="44"/>
      <c r="T749" s="44"/>
      <c r="U749" s="44"/>
      <c r="V749" s="44"/>
    </row>
    <row r="750" spans="1:22" ht="15.75" customHeight="1" x14ac:dyDescent="0.35">
      <c r="A750" s="47"/>
      <c r="I750" s="44"/>
      <c r="J750" s="44"/>
      <c r="K750" s="44"/>
      <c r="L750" s="44"/>
      <c r="M750" s="44"/>
      <c r="N750" s="44"/>
      <c r="O750" s="44"/>
      <c r="P750" s="44"/>
      <c r="Q750" s="44"/>
      <c r="R750" s="44"/>
      <c r="S750" s="44"/>
      <c r="T750" s="44"/>
      <c r="U750" s="44"/>
      <c r="V750" s="44"/>
    </row>
    <row r="751" spans="1:22" ht="15.75" customHeight="1" x14ac:dyDescent="0.35">
      <c r="A751" s="47"/>
      <c r="I751" s="44"/>
      <c r="J751" s="44"/>
      <c r="K751" s="44"/>
      <c r="L751" s="44"/>
      <c r="M751" s="44"/>
      <c r="N751" s="44"/>
      <c r="O751" s="44"/>
      <c r="P751" s="44"/>
      <c r="Q751" s="44"/>
      <c r="R751" s="44"/>
      <c r="S751" s="44"/>
      <c r="T751" s="44"/>
      <c r="U751" s="44"/>
      <c r="V751" s="44"/>
    </row>
    <row r="752" spans="1:22" ht="15.75" customHeight="1" x14ac:dyDescent="0.35">
      <c r="A752" s="47"/>
      <c r="I752" s="44"/>
      <c r="J752" s="44"/>
      <c r="K752" s="44"/>
      <c r="L752" s="44"/>
      <c r="M752" s="44"/>
      <c r="N752" s="44"/>
      <c r="O752" s="44"/>
      <c r="P752" s="44"/>
      <c r="Q752" s="44"/>
      <c r="R752" s="44"/>
      <c r="S752" s="44"/>
      <c r="T752" s="44"/>
      <c r="U752" s="44"/>
      <c r="V752" s="44"/>
    </row>
    <row r="753" spans="1:22" ht="15.75" customHeight="1" x14ac:dyDescent="0.35">
      <c r="A753" s="47"/>
      <c r="I753" s="44"/>
      <c r="J753" s="44"/>
      <c r="K753" s="44"/>
      <c r="L753" s="44"/>
      <c r="M753" s="44"/>
      <c r="N753" s="44"/>
      <c r="O753" s="44"/>
      <c r="P753" s="44"/>
      <c r="Q753" s="44"/>
      <c r="R753" s="44"/>
      <c r="S753" s="44"/>
      <c r="T753" s="44"/>
      <c r="U753" s="44"/>
      <c r="V753" s="44"/>
    </row>
    <row r="754" spans="1:22" ht="15.75" customHeight="1" x14ac:dyDescent="0.35">
      <c r="A754" s="47"/>
      <c r="I754" s="44"/>
      <c r="J754" s="44"/>
      <c r="K754" s="44"/>
      <c r="L754" s="44"/>
      <c r="M754" s="44"/>
      <c r="N754" s="44"/>
      <c r="O754" s="44"/>
      <c r="P754" s="44"/>
      <c r="Q754" s="44"/>
      <c r="R754" s="44"/>
      <c r="S754" s="44"/>
      <c r="T754" s="44"/>
      <c r="U754" s="44"/>
      <c r="V754" s="44"/>
    </row>
    <row r="755" spans="1:22" ht="15.75" customHeight="1" x14ac:dyDescent="0.35">
      <c r="A755" s="47"/>
      <c r="I755" s="44"/>
      <c r="J755" s="44"/>
      <c r="K755" s="44"/>
      <c r="L755" s="44"/>
      <c r="M755" s="44"/>
      <c r="N755" s="44"/>
      <c r="O755" s="44"/>
      <c r="P755" s="44"/>
      <c r="Q755" s="44"/>
      <c r="R755" s="44"/>
      <c r="S755" s="44"/>
      <c r="T755" s="44"/>
      <c r="U755" s="44"/>
      <c r="V755" s="44"/>
    </row>
    <row r="756" spans="1:22" ht="15.75" customHeight="1" x14ac:dyDescent="0.35">
      <c r="A756" s="47"/>
      <c r="I756" s="44"/>
      <c r="J756" s="44"/>
      <c r="K756" s="44"/>
      <c r="L756" s="44"/>
      <c r="M756" s="44"/>
      <c r="N756" s="44"/>
      <c r="O756" s="44"/>
      <c r="P756" s="44"/>
      <c r="Q756" s="44"/>
      <c r="R756" s="44"/>
      <c r="S756" s="44"/>
      <c r="T756" s="44"/>
      <c r="U756" s="44"/>
      <c r="V756" s="44"/>
    </row>
    <row r="757" spans="1:22" ht="15.75" customHeight="1" x14ac:dyDescent="0.35">
      <c r="A757" s="47"/>
      <c r="I757" s="44"/>
      <c r="J757" s="44"/>
      <c r="K757" s="44"/>
      <c r="L757" s="44"/>
      <c r="M757" s="44"/>
      <c r="N757" s="44"/>
      <c r="O757" s="44"/>
      <c r="P757" s="44"/>
      <c r="Q757" s="44"/>
      <c r="R757" s="44"/>
      <c r="S757" s="44"/>
      <c r="T757" s="44"/>
      <c r="U757" s="44"/>
      <c r="V757" s="44"/>
    </row>
    <row r="758" spans="1:22" ht="15.75" customHeight="1" x14ac:dyDescent="0.35">
      <c r="A758" s="47"/>
      <c r="I758" s="44"/>
      <c r="J758" s="44"/>
      <c r="K758" s="44"/>
      <c r="L758" s="44"/>
      <c r="M758" s="44"/>
      <c r="N758" s="44"/>
      <c r="O758" s="44"/>
      <c r="P758" s="44"/>
      <c r="Q758" s="44"/>
      <c r="R758" s="44"/>
      <c r="S758" s="44"/>
      <c r="T758" s="44"/>
      <c r="U758" s="44"/>
      <c r="V758" s="44"/>
    </row>
    <row r="759" spans="1:22" ht="15.75" customHeight="1" x14ac:dyDescent="0.35">
      <c r="A759" s="47"/>
      <c r="I759" s="44"/>
      <c r="J759" s="44"/>
      <c r="K759" s="44"/>
      <c r="L759" s="44"/>
      <c r="M759" s="44"/>
      <c r="N759" s="44"/>
      <c r="O759" s="44"/>
      <c r="P759" s="44"/>
      <c r="Q759" s="44"/>
      <c r="R759" s="44"/>
      <c r="S759" s="44"/>
      <c r="T759" s="44"/>
      <c r="U759" s="44"/>
      <c r="V759" s="44"/>
    </row>
    <row r="760" spans="1:22" ht="15.75" customHeight="1" x14ac:dyDescent="0.35">
      <c r="A760" s="47"/>
      <c r="I760" s="44"/>
      <c r="J760" s="44"/>
      <c r="K760" s="44"/>
      <c r="L760" s="44"/>
      <c r="M760" s="44"/>
      <c r="N760" s="44"/>
      <c r="O760" s="44"/>
      <c r="P760" s="44"/>
      <c r="Q760" s="44"/>
      <c r="R760" s="44"/>
      <c r="S760" s="44"/>
      <c r="T760" s="44"/>
      <c r="U760" s="44"/>
      <c r="V760" s="44"/>
    </row>
    <row r="761" spans="1:22" ht="15.75" customHeight="1" x14ac:dyDescent="0.35">
      <c r="A761" s="47"/>
      <c r="I761" s="44"/>
      <c r="J761" s="44"/>
      <c r="K761" s="44"/>
      <c r="L761" s="44"/>
      <c r="M761" s="44"/>
      <c r="N761" s="44"/>
      <c r="O761" s="44"/>
      <c r="P761" s="44"/>
      <c r="Q761" s="44"/>
      <c r="R761" s="44"/>
      <c r="S761" s="44"/>
      <c r="T761" s="44"/>
      <c r="U761" s="44"/>
      <c r="V761" s="44"/>
    </row>
    <row r="762" spans="1:22" ht="15.75" customHeight="1" x14ac:dyDescent="0.35">
      <c r="A762" s="47"/>
      <c r="I762" s="44"/>
      <c r="J762" s="44"/>
      <c r="K762" s="44"/>
      <c r="L762" s="44"/>
      <c r="M762" s="44"/>
      <c r="N762" s="44"/>
      <c r="O762" s="44"/>
      <c r="P762" s="44"/>
      <c r="Q762" s="44"/>
      <c r="R762" s="44"/>
      <c r="S762" s="44"/>
      <c r="T762" s="44"/>
      <c r="U762" s="44"/>
      <c r="V762" s="44"/>
    </row>
    <row r="763" spans="1:22" ht="15.75" customHeight="1" x14ac:dyDescent="0.35">
      <c r="A763" s="47"/>
      <c r="I763" s="44"/>
      <c r="J763" s="44"/>
      <c r="K763" s="44"/>
      <c r="L763" s="44"/>
      <c r="M763" s="44"/>
      <c r="N763" s="44"/>
      <c r="O763" s="44"/>
      <c r="P763" s="44"/>
      <c r="Q763" s="44"/>
      <c r="R763" s="44"/>
      <c r="S763" s="44"/>
      <c r="T763" s="44"/>
      <c r="U763" s="44"/>
      <c r="V763" s="44"/>
    </row>
    <row r="764" spans="1:22" ht="15.75" customHeight="1" x14ac:dyDescent="0.35">
      <c r="A764" s="47"/>
      <c r="I764" s="44"/>
      <c r="J764" s="44"/>
      <c r="K764" s="44"/>
      <c r="L764" s="44"/>
      <c r="M764" s="44"/>
      <c r="N764" s="44"/>
      <c r="O764" s="44"/>
      <c r="P764" s="44"/>
      <c r="Q764" s="44"/>
      <c r="R764" s="44"/>
      <c r="S764" s="44"/>
      <c r="T764" s="44"/>
      <c r="U764" s="44"/>
      <c r="V764" s="44"/>
    </row>
    <row r="765" spans="1:22" ht="15.75" customHeight="1" x14ac:dyDescent="0.35">
      <c r="A765" s="47"/>
      <c r="I765" s="44"/>
      <c r="J765" s="44"/>
      <c r="K765" s="44"/>
      <c r="L765" s="44"/>
      <c r="M765" s="44"/>
      <c r="N765" s="44"/>
      <c r="O765" s="44"/>
      <c r="P765" s="44"/>
      <c r="Q765" s="44"/>
      <c r="R765" s="44"/>
      <c r="S765" s="44"/>
      <c r="T765" s="44"/>
      <c r="U765" s="44"/>
      <c r="V765" s="44"/>
    </row>
    <row r="766" spans="1:22" ht="15.75" customHeight="1" x14ac:dyDescent="0.35">
      <c r="A766" s="47"/>
      <c r="I766" s="44"/>
      <c r="J766" s="44"/>
      <c r="K766" s="44"/>
      <c r="L766" s="44"/>
      <c r="M766" s="44"/>
      <c r="N766" s="44"/>
      <c r="O766" s="44"/>
      <c r="P766" s="44"/>
      <c r="Q766" s="44"/>
      <c r="R766" s="44"/>
      <c r="S766" s="44"/>
      <c r="T766" s="44"/>
      <c r="U766" s="44"/>
      <c r="V766" s="44"/>
    </row>
    <row r="767" spans="1:22" ht="15.75" customHeight="1" x14ac:dyDescent="0.35">
      <c r="A767" s="47"/>
      <c r="I767" s="44"/>
      <c r="J767" s="44"/>
      <c r="K767" s="44"/>
      <c r="L767" s="44"/>
      <c r="M767" s="44"/>
      <c r="N767" s="44"/>
      <c r="O767" s="44"/>
      <c r="P767" s="44"/>
      <c r="Q767" s="44"/>
      <c r="R767" s="44"/>
      <c r="S767" s="44"/>
      <c r="T767" s="44"/>
      <c r="U767" s="44"/>
      <c r="V767" s="44"/>
    </row>
    <row r="768" spans="1:22" ht="15.75" customHeight="1" x14ac:dyDescent="0.35">
      <c r="A768" s="47"/>
      <c r="I768" s="44"/>
      <c r="J768" s="44"/>
      <c r="K768" s="44"/>
      <c r="L768" s="44"/>
      <c r="M768" s="44"/>
      <c r="N768" s="44"/>
      <c r="O768" s="44"/>
      <c r="P768" s="44"/>
      <c r="Q768" s="44"/>
      <c r="R768" s="44"/>
      <c r="S768" s="44"/>
      <c r="T768" s="44"/>
      <c r="U768" s="44"/>
      <c r="V768" s="44"/>
    </row>
    <row r="769" spans="1:22" ht="15.75" customHeight="1" x14ac:dyDescent="0.35">
      <c r="A769" s="47"/>
      <c r="I769" s="44"/>
      <c r="J769" s="44"/>
      <c r="K769" s="44"/>
      <c r="L769" s="44"/>
      <c r="M769" s="44"/>
      <c r="N769" s="44"/>
      <c r="O769" s="44"/>
      <c r="P769" s="44"/>
      <c r="Q769" s="44"/>
      <c r="R769" s="44"/>
      <c r="S769" s="44"/>
      <c r="T769" s="44"/>
      <c r="U769" s="44"/>
      <c r="V769" s="44"/>
    </row>
    <row r="770" spans="1:22" ht="15.75" customHeight="1" x14ac:dyDescent="0.35">
      <c r="A770" s="47"/>
      <c r="I770" s="44"/>
      <c r="J770" s="44"/>
      <c r="K770" s="44"/>
      <c r="L770" s="44"/>
      <c r="M770" s="44"/>
      <c r="N770" s="44"/>
      <c r="O770" s="44"/>
      <c r="P770" s="44"/>
      <c r="Q770" s="44"/>
      <c r="R770" s="44"/>
      <c r="S770" s="44"/>
      <c r="T770" s="44"/>
      <c r="U770" s="44"/>
      <c r="V770" s="44"/>
    </row>
    <row r="771" spans="1:22" ht="15.75" customHeight="1" x14ac:dyDescent="0.35">
      <c r="A771" s="47"/>
      <c r="I771" s="44"/>
      <c r="J771" s="44"/>
      <c r="K771" s="44"/>
      <c r="L771" s="44"/>
      <c r="M771" s="44"/>
      <c r="N771" s="44"/>
      <c r="O771" s="44"/>
      <c r="P771" s="44"/>
      <c r="Q771" s="44"/>
      <c r="R771" s="44"/>
      <c r="S771" s="44"/>
      <c r="T771" s="44"/>
      <c r="U771" s="44"/>
      <c r="V771" s="44"/>
    </row>
    <row r="772" spans="1:22" ht="15.75" customHeight="1" x14ac:dyDescent="0.35">
      <c r="A772" s="47"/>
      <c r="I772" s="44"/>
      <c r="J772" s="44"/>
      <c r="K772" s="44"/>
      <c r="L772" s="44"/>
      <c r="M772" s="44"/>
      <c r="N772" s="44"/>
      <c r="O772" s="44"/>
      <c r="P772" s="44"/>
      <c r="Q772" s="44"/>
      <c r="R772" s="44"/>
      <c r="S772" s="44"/>
      <c r="T772" s="44"/>
      <c r="U772" s="44"/>
      <c r="V772" s="44"/>
    </row>
    <row r="773" spans="1:22" ht="15.75" customHeight="1" x14ac:dyDescent="0.35">
      <c r="A773" s="47"/>
      <c r="I773" s="44"/>
      <c r="J773" s="44"/>
      <c r="K773" s="44"/>
      <c r="L773" s="44"/>
      <c r="M773" s="44"/>
      <c r="N773" s="44"/>
      <c r="O773" s="44"/>
      <c r="P773" s="44"/>
      <c r="Q773" s="44"/>
      <c r="R773" s="44"/>
      <c r="S773" s="44"/>
      <c r="T773" s="44"/>
      <c r="U773" s="44"/>
      <c r="V773" s="44"/>
    </row>
    <row r="774" spans="1:22" ht="15.75" customHeight="1" x14ac:dyDescent="0.35">
      <c r="A774" s="47"/>
      <c r="I774" s="44"/>
      <c r="J774" s="44"/>
      <c r="K774" s="44"/>
      <c r="L774" s="44"/>
      <c r="M774" s="44"/>
      <c r="N774" s="44"/>
      <c r="O774" s="44"/>
      <c r="P774" s="44"/>
      <c r="Q774" s="44"/>
      <c r="R774" s="44"/>
      <c r="S774" s="44"/>
      <c r="T774" s="44"/>
      <c r="U774" s="44"/>
      <c r="V774" s="44"/>
    </row>
    <row r="775" spans="1:22" ht="15.75" customHeight="1" x14ac:dyDescent="0.35">
      <c r="A775" s="47"/>
      <c r="I775" s="44"/>
      <c r="J775" s="44"/>
      <c r="K775" s="44"/>
      <c r="L775" s="44"/>
      <c r="M775" s="44"/>
      <c r="N775" s="44"/>
      <c r="O775" s="44"/>
      <c r="P775" s="44"/>
      <c r="Q775" s="44"/>
      <c r="R775" s="44"/>
      <c r="S775" s="44"/>
      <c r="T775" s="44"/>
      <c r="U775" s="44"/>
      <c r="V775" s="44"/>
    </row>
    <row r="776" spans="1:22" ht="15.75" customHeight="1" x14ac:dyDescent="0.35">
      <c r="A776" s="47"/>
      <c r="I776" s="44"/>
      <c r="J776" s="44"/>
      <c r="K776" s="44"/>
      <c r="L776" s="44"/>
      <c r="M776" s="44"/>
      <c r="N776" s="44"/>
      <c r="O776" s="44"/>
      <c r="P776" s="44"/>
      <c r="Q776" s="44"/>
      <c r="R776" s="44"/>
      <c r="S776" s="44"/>
      <c r="T776" s="44"/>
      <c r="U776" s="44"/>
      <c r="V776" s="44"/>
    </row>
    <row r="777" spans="1:22" ht="15.75" customHeight="1" x14ac:dyDescent="0.35">
      <c r="A777" s="47"/>
      <c r="I777" s="44"/>
      <c r="J777" s="44"/>
      <c r="K777" s="44"/>
      <c r="L777" s="44"/>
      <c r="M777" s="44"/>
      <c r="N777" s="44"/>
      <c r="O777" s="44"/>
      <c r="P777" s="44"/>
      <c r="Q777" s="44"/>
      <c r="R777" s="44"/>
      <c r="S777" s="44"/>
      <c r="T777" s="44"/>
      <c r="U777" s="44"/>
      <c r="V777" s="44"/>
    </row>
    <row r="778" spans="1:22" ht="15.75" customHeight="1" x14ac:dyDescent="0.35">
      <c r="A778" s="47"/>
      <c r="I778" s="44"/>
      <c r="J778" s="44"/>
      <c r="K778" s="44"/>
      <c r="L778" s="44"/>
      <c r="M778" s="44"/>
      <c r="N778" s="44"/>
      <c r="O778" s="44"/>
      <c r="P778" s="44"/>
      <c r="Q778" s="44"/>
      <c r="R778" s="44"/>
      <c r="S778" s="44"/>
      <c r="T778" s="44"/>
      <c r="U778" s="44"/>
      <c r="V778" s="44"/>
    </row>
    <row r="779" spans="1:22" ht="15.75" customHeight="1" x14ac:dyDescent="0.35">
      <c r="A779" s="47"/>
      <c r="I779" s="44"/>
      <c r="J779" s="44"/>
      <c r="K779" s="44"/>
      <c r="L779" s="44"/>
      <c r="M779" s="44"/>
      <c r="N779" s="44"/>
      <c r="O779" s="44"/>
      <c r="P779" s="44"/>
      <c r="Q779" s="44"/>
      <c r="R779" s="44"/>
      <c r="S779" s="44"/>
      <c r="T779" s="44"/>
      <c r="U779" s="44"/>
      <c r="V779" s="44"/>
    </row>
    <row r="780" spans="1:22" ht="15.75" customHeight="1" x14ac:dyDescent="0.35">
      <c r="A780" s="47"/>
      <c r="I780" s="44"/>
      <c r="J780" s="44"/>
      <c r="K780" s="44"/>
      <c r="L780" s="44"/>
      <c r="M780" s="44"/>
      <c r="N780" s="44"/>
      <c r="O780" s="44"/>
      <c r="P780" s="44"/>
      <c r="Q780" s="44"/>
      <c r="R780" s="44"/>
      <c r="S780" s="44"/>
      <c r="T780" s="44"/>
      <c r="U780" s="44"/>
      <c r="V780" s="44"/>
    </row>
    <row r="781" spans="1:22" ht="15.75" customHeight="1" x14ac:dyDescent="0.35">
      <c r="A781" s="47"/>
      <c r="I781" s="44"/>
      <c r="J781" s="44"/>
      <c r="K781" s="44"/>
      <c r="L781" s="44"/>
      <c r="M781" s="44"/>
      <c r="N781" s="44"/>
      <c r="O781" s="44"/>
      <c r="P781" s="44"/>
      <c r="Q781" s="44"/>
      <c r="R781" s="44"/>
      <c r="S781" s="44"/>
      <c r="T781" s="44"/>
      <c r="U781" s="44"/>
      <c r="V781" s="44"/>
    </row>
    <row r="782" spans="1:22" ht="15.75" customHeight="1" x14ac:dyDescent="0.35">
      <c r="A782" s="47"/>
      <c r="I782" s="44"/>
      <c r="J782" s="44"/>
      <c r="K782" s="44"/>
      <c r="L782" s="44"/>
      <c r="M782" s="44"/>
      <c r="N782" s="44"/>
      <c r="O782" s="44"/>
      <c r="P782" s="44"/>
      <c r="Q782" s="44"/>
      <c r="R782" s="44"/>
      <c r="S782" s="44"/>
      <c r="T782" s="44"/>
      <c r="U782" s="44"/>
      <c r="V782" s="44"/>
    </row>
    <row r="783" spans="1:22" ht="15.75" customHeight="1" x14ac:dyDescent="0.35">
      <c r="A783" s="47"/>
      <c r="I783" s="44"/>
      <c r="J783" s="44"/>
      <c r="K783" s="44"/>
      <c r="L783" s="44"/>
      <c r="M783" s="44"/>
      <c r="N783" s="44"/>
      <c r="O783" s="44"/>
      <c r="P783" s="44"/>
      <c r="Q783" s="44"/>
      <c r="R783" s="44"/>
      <c r="S783" s="44"/>
      <c r="T783" s="44"/>
      <c r="U783" s="44"/>
      <c r="V783" s="44"/>
    </row>
    <row r="784" spans="1:22" ht="15.75" customHeight="1" x14ac:dyDescent="0.35">
      <c r="A784" s="47"/>
      <c r="I784" s="44"/>
      <c r="J784" s="44"/>
      <c r="K784" s="44"/>
      <c r="L784" s="44"/>
      <c r="M784" s="44"/>
      <c r="N784" s="44"/>
      <c r="O784" s="44"/>
      <c r="P784" s="44"/>
      <c r="Q784" s="44"/>
      <c r="R784" s="44"/>
      <c r="S784" s="44"/>
      <c r="T784" s="44"/>
      <c r="U784" s="44"/>
      <c r="V784" s="44"/>
    </row>
    <row r="785" spans="1:22" ht="15.75" customHeight="1" x14ac:dyDescent="0.35">
      <c r="A785" s="47"/>
      <c r="I785" s="44"/>
      <c r="J785" s="44"/>
      <c r="K785" s="44"/>
      <c r="L785" s="44"/>
      <c r="M785" s="44"/>
      <c r="N785" s="44"/>
      <c r="O785" s="44"/>
      <c r="P785" s="44"/>
      <c r="Q785" s="44"/>
      <c r="R785" s="44"/>
      <c r="S785" s="44"/>
      <c r="T785" s="44"/>
      <c r="U785" s="44"/>
      <c r="V785" s="44"/>
    </row>
    <row r="786" spans="1:22" ht="15.75" customHeight="1" x14ac:dyDescent="0.35">
      <c r="A786" s="47"/>
      <c r="I786" s="44"/>
      <c r="J786" s="44"/>
      <c r="K786" s="44"/>
      <c r="L786" s="44"/>
      <c r="M786" s="44"/>
      <c r="N786" s="44"/>
      <c r="O786" s="44"/>
      <c r="P786" s="44"/>
      <c r="Q786" s="44"/>
      <c r="R786" s="44"/>
      <c r="S786" s="44"/>
      <c r="T786" s="44"/>
      <c r="U786" s="44"/>
      <c r="V786" s="44"/>
    </row>
    <row r="787" spans="1:22" ht="15.75" customHeight="1" x14ac:dyDescent="0.35">
      <c r="A787" s="47"/>
      <c r="I787" s="44"/>
      <c r="J787" s="44"/>
      <c r="K787" s="44"/>
      <c r="L787" s="44"/>
      <c r="M787" s="44"/>
      <c r="N787" s="44"/>
      <c r="O787" s="44"/>
      <c r="P787" s="44"/>
      <c r="Q787" s="44"/>
      <c r="R787" s="44"/>
      <c r="S787" s="44"/>
      <c r="T787" s="44"/>
      <c r="U787" s="44"/>
      <c r="V787" s="44"/>
    </row>
    <row r="788" spans="1:22" ht="15.75" customHeight="1" x14ac:dyDescent="0.35">
      <c r="A788" s="47"/>
      <c r="I788" s="44"/>
      <c r="J788" s="44"/>
      <c r="K788" s="44"/>
      <c r="L788" s="44"/>
      <c r="M788" s="44"/>
      <c r="N788" s="44"/>
      <c r="O788" s="44"/>
      <c r="P788" s="44"/>
      <c r="Q788" s="44"/>
      <c r="R788" s="44"/>
      <c r="S788" s="44"/>
      <c r="T788" s="44"/>
      <c r="U788" s="44"/>
      <c r="V788" s="44"/>
    </row>
    <row r="789" spans="1:22" ht="15.75" customHeight="1" x14ac:dyDescent="0.35">
      <c r="A789" s="47"/>
      <c r="I789" s="44"/>
      <c r="J789" s="44"/>
      <c r="K789" s="44"/>
      <c r="L789" s="44"/>
      <c r="M789" s="44"/>
      <c r="N789" s="44"/>
      <c r="O789" s="44"/>
      <c r="P789" s="44"/>
      <c r="Q789" s="44"/>
      <c r="R789" s="44"/>
      <c r="S789" s="44"/>
      <c r="T789" s="44"/>
      <c r="U789" s="44"/>
      <c r="V789" s="44"/>
    </row>
    <row r="790" spans="1:22" ht="15.75" customHeight="1" x14ac:dyDescent="0.35">
      <c r="A790" s="47"/>
      <c r="I790" s="44"/>
      <c r="J790" s="44"/>
      <c r="K790" s="44"/>
      <c r="L790" s="44"/>
      <c r="M790" s="44"/>
      <c r="N790" s="44"/>
      <c r="O790" s="44"/>
      <c r="P790" s="44"/>
      <c r="Q790" s="44"/>
      <c r="R790" s="44"/>
      <c r="S790" s="44"/>
      <c r="T790" s="44"/>
      <c r="U790" s="44"/>
      <c r="V790" s="44"/>
    </row>
    <row r="791" spans="1:22" ht="15.75" customHeight="1" x14ac:dyDescent="0.35">
      <c r="A791" s="47"/>
      <c r="I791" s="44"/>
      <c r="J791" s="44"/>
      <c r="K791" s="44"/>
      <c r="L791" s="44"/>
      <c r="M791" s="44"/>
      <c r="N791" s="44"/>
      <c r="O791" s="44"/>
      <c r="P791" s="44"/>
      <c r="Q791" s="44"/>
      <c r="R791" s="44"/>
      <c r="S791" s="44"/>
      <c r="T791" s="44"/>
      <c r="U791" s="44"/>
      <c r="V791" s="44"/>
    </row>
    <row r="792" spans="1:22" ht="15.75" customHeight="1" x14ac:dyDescent="0.35">
      <c r="A792" s="47"/>
      <c r="I792" s="44"/>
      <c r="J792" s="44"/>
      <c r="K792" s="44"/>
      <c r="L792" s="44"/>
      <c r="M792" s="44"/>
      <c r="N792" s="44"/>
      <c r="O792" s="44"/>
      <c r="P792" s="44"/>
      <c r="Q792" s="44"/>
      <c r="R792" s="44"/>
      <c r="S792" s="44"/>
      <c r="T792" s="44"/>
      <c r="U792" s="44"/>
      <c r="V792" s="44"/>
    </row>
    <row r="793" spans="1:22" ht="15.75" customHeight="1" x14ac:dyDescent="0.35">
      <c r="A793" s="47"/>
      <c r="I793" s="44"/>
      <c r="J793" s="44"/>
      <c r="K793" s="44"/>
      <c r="L793" s="44"/>
      <c r="M793" s="44"/>
      <c r="N793" s="44"/>
      <c r="O793" s="44"/>
      <c r="P793" s="44"/>
      <c r="Q793" s="44"/>
      <c r="R793" s="44"/>
      <c r="S793" s="44"/>
      <c r="T793" s="44"/>
      <c r="U793" s="44"/>
      <c r="V793" s="44"/>
    </row>
    <row r="794" spans="1:22" ht="15.75" customHeight="1" x14ac:dyDescent="0.35">
      <c r="A794" s="47"/>
      <c r="I794" s="44"/>
      <c r="J794" s="44"/>
      <c r="K794" s="44"/>
      <c r="L794" s="44"/>
      <c r="M794" s="44"/>
      <c r="N794" s="44"/>
      <c r="O794" s="44"/>
      <c r="P794" s="44"/>
      <c r="Q794" s="44"/>
      <c r="R794" s="44"/>
      <c r="S794" s="44"/>
      <c r="T794" s="44"/>
      <c r="U794" s="44"/>
      <c r="V794" s="44"/>
    </row>
    <row r="795" spans="1:22" ht="15.75" customHeight="1" x14ac:dyDescent="0.35">
      <c r="A795" s="47"/>
      <c r="I795" s="44"/>
      <c r="J795" s="44"/>
      <c r="K795" s="44"/>
      <c r="L795" s="44"/>
      <c r="M795" s="44"/>
      <c r="N795" s="44"/>
      <c r="O795" s="44"/>
      <c r="P795" s="44"/>
      <c r="Q795" s="44"/>
      <c r="R795" s="44"/>
      <c r="S795" s="44"/>
      <c r="T795" s="44"/>
      <c r="U795" s="44"/>
      <c r="V795" s="44"/>
    </row>
    <row r="796" spans="1:22" ht="15.75" customHeight="1" x14ac:dyDescent="0.35">
      <c r="A796" s="47"/>
      <c r="I796" s="44"/>
      <c r="J796" s="44"/>
      <c r="K796" s="44"/>
      <c r="L796" s="44"/>
      <c r="M796" s="44"/>
      <c r="N796" s="44"/>
      <c r="O796" s="44"/>
      <c r="P796" s="44"/>
      <c r="Q796" s="44"/>
      <c r="R796" s="44"/>
      <c r="S796" s="44"/>
      <c r="T796" s="44"/>
      <c r="U796" s="44"/>
      <c r="V796" s="44"/>
    </row>
    <row r="797" spans="1:22" ht="15.75" customHeight="1" x14ac:dyDescent="0.35">
      <c r="A797" s="47"/>
      <c r="I797" s="44"/>
      <c r="J797" s="44"/>
      <c r="K797" s="44"/>
      <c r="L797" s="44"/>
      <c r="M797" s="44"/>
      <c r="N797" s="44"/>
      <c r="O797" s="44"/>
      <c r="P797" s="44"/>
      <c r="Q797" s="44"/>
      <c r="R797" s="44"/>
      <c r="S797" s="44"/>
      <c r="T797" s="44"/>
      <c r="U797" s="44"/>
      <c r="V797" s="44"/>
    </row>
    <row r="798" spans="1:22" ht="15.75" customHeight="1" x14ac:dyDescent="0.35">
      <c r="A798" s="47"/>
      <c r="I798" s="44"/>
      <c r="J798" s="44"/>
      <c r="K798" s="44"/>
      <c r="L798" s="44"/>
      <c r="M798" s="44"/>
      <c r="N798" s="44"/>
      <c r="O798" s="44"/>
      <c r="P798" s="44"/>
      <c r="Q798" s="44"/>
      <c r="R798" s="44"/>
      <c r="S798" s="44"/>
      <c r="T798" s="44"/>
      <c r="U798" s="44"/>
      <c r="V798" s="44"/>
    </row>
    <row r="799" spans="1:22" ht="15.75" customHeight="1" x14ac:dyDescent="0.35">
      <c r="A799" s="47"/>
      <c r="I799" s="44"/>
      <c r="J799" s="44"/>
      <c r="K799" s="44"/>
      <c r="L799" s="44"/>
      <c r="M799" s="44"/>
      <c r="N799" s="44"/>
      <c r="O799" s="44"/>
      <c r="P799" s="44"/>
      <c r="Q799" s="44"/>
      <c r="R799" s="44"/>
      <c r="S799" s="44"/>
      <c r="T799" s="44"/>
      <c r="U799" s="44"/>
      <c r="V799" s="44"/>
    </row>
    <row r="800" spans="1:22" ht="15.75" customHeight="1" x14ac:dyDescent="0.35">
      <c r="A800" s="47"/>
      <c r="I800" s="44"/>
      <c r="J800" s="44"/>
      <c r="K800" s="44"/>
      <c r="L800" s="44"/>
      <c r="M800" s="44"/>
      <c r="N800" s="44"/>
      <c r="O800" s="44"/>
      <c r="P800" s="44"/>
      <c r="Q800" s="44"/>
      <c r="R800" s="44"/>
      <c r="S800" s="44"/>
      <c r="T800" s="44"/>
      <c r="U800" s="44"/>
      <c r="V800" s="44"/>
    </row>
    <row r="801" spans="1:22" ht="15.75" customHeight="1" x14ac:dyDescent="0.35">
      <c r="A801" s="47"/>
      <c r="I801" s="44"/>
      <c r="J801" s="44"/>
      <c r="K801" s="44"/>
      <c r="L801" s="44"/>
      <c r="M801" s="44"/>
      <c r="N801" s="44"/>
      <c r="O801" s="44"/>
      <c r="P801" s="44"/>
      <c r="Q801" s="44"/>
      <c r="R801" s="44"/>
      <c r="S801" s="44"/>
      <c r="T801" s="44"/>
      <c r="U801" s="44"/>
      <c r="V801" s="44"/>
    </row>
    <row r="802" spans="1:22" ht="15.75" customHeight="1" x14ac:dyDescent="0.35">
      <c r="A802" s="47"/>
      <c r="I802" s="44"/>
      <c r="J802" s="44"/>
      <c r="K802" s="44"/>
      <c r="L802" s="44"/>
      <c r="M802" s="44"/>
      <c r="N802" s="44"/>
      <c r="O802" s="44"/>
      <c r="P802" s="44"/>
      <c r="Q802" s="44"/>
      <c r="R802" s="44"/>
      <c r="S802" s="44"/>
      <c r="T802" s="44"/>
      <c r="U802" s="44"/>
      <c r="V802" s="44"/>
    </row>
    <row r="803" spans="1:22" ht="15.75" customHeight="1" x14ac:dyDescent="0.35">
      <c r="A803" s="47"/>
      <c r="I803" s="44"/>
      <c r="J803" s="44"/>
      <c r="K803" s="44"/>
      <c r="L803" s="44"/>
      <c r="M803" s="44"/>
      <c r="N803" s="44"/>
      <c r="O803" s="44"/>
      <c r="P803" s="44"/>
      <c r="Q803" s="44"/>
      <c r="R803" s="44"/>
      <c r="S803" s="44"/>
      <c r="T803" s="44"/>
      <c r="U803" s="44"/>
      <c r="V803" s="44"/>
    </row>
    <row r="804" spans="1:22" ht="15.75" customHeight="1" x14ac:dyDescent="0.35">
      <c r="A804" s="47"/>
      <c r="I804" s="44"/>
      <c r="J804" s="44"/>
      <c r="K804" s="44"/>
      <c r="L804" s="44"/>
      <c r="M804" s="44"/>
      <c r="N804" s="44"/>
      <c r="O804" s="44"/>
      <c r="P804" s="44"/>
      <c r="Q804" s="44"/>
      <c r="R804" s="44"/>
      <c r="S804" s="44"/>
      <c r="T804" s="44"/>
      <c r="U804" s="44"/>
      <c r="V804" s="44"/>
    </row>
    <row r="805" spans="1:22" ht="15.75" customHeight="1" x14ac:dyDescent="0.35">
      <c r="A805" s="47"/>
      <c r="I805" s="44"/>
      <c r="J805" s="44"/>
      <c r="K805" s="44"/>
      <c r="L805" s="44"/>
      <c r="M805" s="44"/>
      <c r="N805" s="44"/>
      <c r="O805" s="44"/>
      <c r="P805" s="44"/>
      <c r="Q805" s="44"/>
      <c r="R805" s="44"/>
      <c r="S805" s="44"/>
      <c r="T805" s="44"/>
      <c r="U805" s="44"/>
      <c r="V805" s="44"/>
    </row>
    <row r="806" spans="1:22" ht="15.75" customHeight="1" x14ac:dyDescent="0.35">
      <c r="A806" s="47"/>
      <c r="I806" s="44"/>
      <c r="J806" s="44"/>
      <c r="K806" s="44"/>
      <c r="L806" s="44"/>
      <c r="M806" s="44"/>
      <c r="N806" s="44"/>
      <c r="O806" s="44"/>
      <c r="P806" s="44"/>
      <c r="Q806" s="44"/>
      <c r="R806" s="44"/>
      <c r="S806" s="44"/>
      <c r="T806" s="44"/>
      <c r="U806" s="44"/>
      <c r="V806" s="44"/>
    </row>
    <row r="807" spans="1:22" ht="15.75" customHeight="1" x14ac:dyDescent="0.35">
      <c r="A807" s="47"/>
      <c r="I807" s="44"/>
      <c r="J807" s="44"/>
      <c r="K807" s="44"/>
      <c r="L807" s="44"/>
      <c r="M807" s="44"/>
      <c r="N807" s="44"/>
      <c r="O807" s="44"/>
      <c r="P807" s="44"/>
      <c r="Q807" s="44"/>
      <c r="R807" s="44"/>
      <c r="S807" s="44"/>
      <c r="T807" s="44"/>
      <c r="U807" s="44"/>
      <c r="V807" s="44"/>
    </row>
    <row r="808" spans="1:22" ht="15.75" customHeight="1" x14ac:dyDescent="0.35">
      <c r="A808" s="47"/>
      <c r="I808" s="44"/>
      <c r="J808" s="44"/>
      <c r="K808" s="44"/>
      <c r="L808" s="44"/>
      <c r="M808" s="44"/>
      <c r="N808" s="44"/>
      <c r="O808" s="44"/>
      <c r="P808" s="44"/>
      <c r="Q808" s="44"/>
      <c r="R808" s="44"/>
      <c r="S808" s="44"/>
      <c r="T808" s="44"/>
      <c r="U808" s="44"/>
      <c r="V808" s="44"/>
    </row>
    <row r="809" spans="1:22" ht="15.75" customHeight="1" x14ac:dyDescent="0.35">
      <c r="A809" s="47"/>
      <c r="I809" s="44"/>
      <c r="J809" s="44"/>
      <c r="K809" s="44"/>
      <c r="L809" s="44"/>
      <c r="M809" s="44"/>
      <c r="N809" s="44"/>
      <c r="O809" s="44"/>
      <c r="P809" s="44"/>
      <c r="Q809" s="44"/>
      <c r="R809" s="44"/>
      <c r="S809" s="44"/>
      <c r="T809" s="44"/>
      <c r="U809" s="44"/>
      <c r="V809" s="44"/>
    </row>
    <row r="810" spans="1:22" ht="15.75" customHeight="1" x14ac:dyDescent="0.35">
      <c r="A810" s="47"/>
      <c r="I810" s="44"/>
      <c r="J810" s="44"/>
      <c r="K810" s="44"/>
      <c r="L810" s="44"/>
      <c r="M810" s="44"/>
      <c r="N810" s="44"/>
      <c r="O810" s="44"/>
      <c r="P810" s="44"/>
      <c r="Q810" s="44"/>
      <c r="R810" s="44"/>
      <c r="S810" s="44"/>
      <c r="T810" s="44"/>
      <c r="U810" s="44"/>
      <c r="V810" s="44"/>
    </row>
    <row r="811" spans="1:22" ht="15.75" customHeight="1" x14ac:dyDescent="0.35">
      <c r="A811" s="47"/>
      <c r="I811" s="44"/>
      <c r="J811" s="44"/>
      <c r="K811" s="44"/>
      <c r="L811" s="44"/>
      <c r="M811" s="44"/>
      <c r="N811" s="44"/>
      <c r="O811" s="44"/>
      <c r="P811" s="44"/>
      <c r="Q811" s="44"/>
      <c r="R811" s="44"/>
      <c r="S811" s="44"/>
      <c r="T811" s="44"/>
      <c r="U811" s="44"/>
      <c r="V811" s="44"/>
    </row>
    <row r="812" spans="1:22" ht="15.75" customHeight="1" x14ac:dyDescent="0.35">
      <c r="A812" s="47"/>
      <c r="I812" s="44"/>
      <c r="J812" s="44"/>
      <c r="K812" s="44"/>
      <c r="L812" s="44"/>
      <c r="M812" s="44"/>
      <c r="N812" s="44"/>
      <c r="O812" s="44"/>
      <c r="P812" s="44"/>
      <c r="Q812" s="44"/>
      <c r="R812" s="44"/>
      <c r="S812" s="44"/>
      <c r="T812" s="44"/>
      <c r="U812" s="44"/>
      <c r="V812" s="44"/>
    </row>
    <row r="813" spans="1:22" ht="15.75" customHeight="1" x14ac:dyDescent="0.35">
      <c r="A813" s="47"/>
      <c r="I813" s="44"/>
      <c r="J813" s="44"/>
      <c r="K813" s="44"/>
      <c r="L813" s="44"/>
      <c r="M813" s="44"/>
      <c r="N813" s="44"/>
      <c r="O813" s="44"/>
      <c r="P813" s="44"/>
      <c r="Q813" s="44"/>
      <c r="R813" s="44"/>
      <c r="S813" s="44"/>
      <c r="T813" s="44"/>
      <c r="U813" s="44"/>
      <c r="V813" s="44"/>
    </row>
    <row r="814" spans="1:22" ht="15.75" customHeight="1" x14ac:dyDescent="0.35">
      <c r="A814" s="47"/>
      <c r="I814" s="44"/>
      <c r="J814" s="44"/>
      <c r="K814" s="44"/>
      <c r="L814" s="44"/>
      <c r="M814" s="44"/>
      <c r="N814" s="44"/>
      <c r="O814" s="44"/>
      <c r="P814" s="44"/>
      <c r="Q814" s="44"/>
      <c r="R814" s="44"/>
      <c r="S814" s="44"/>
      <c r="T814" s="44"/>
      <c r="U814" s="44"/>
      <c r="V814" s="44"/>
    </row>
    <row r="815" spans="1:22" ht="15.75" customHeight="1" x14ac:dyDescent="0.35">
      <c r="A815" s="47"/>
      <c r="I815" s="44"/>
      <c r="J815" s="44"/>
      <c r="K815" s="44"/>
      <c r="L815" s="44"/>
      <c r="M815" s="44"/>
      <c r="N815" s="44"/>
      <c r="O815" s="44"/>
      <c r="P815" s="44"/>
      <c r="Q815" s="44"/>
      <c r="R815" s="44"/>
      <c r="S815" s="44"/>
      <c r="T815" s="44"/>
      <c r="U815" s="44"/>
      <c r="V815" s="44"/>
    </row>
    <row r="816" spans="1:22" ht="15.75" customHeight="1" x14ac:dyDescent="0.35">
      <c r="A816" s="47"/>
      <c r="I816" s="44"/>
      <c r="J816" s="44"/>
      <c r="K816" s="44"/>
      <c r="L816" s="44"/>
      <c r="M816" s="44"/>
      <c r="N816" s="44"/>
      <c r="O816" s="44"/>
      <c r="P816" s="44"/>
      <c r="Q816" s="44"/>
      <c r="R816" s="44"/>
      <c r="S816" s="44"/>
      <c r="T816" s="44"/>
      <c r="U816" s="44"/>
      <c r="V816" s="44"/>
    </row>
    <row r="817" spans="1:22" ht="15.75" customHeight="1" x14ac:dyDescent="0.35">
      <c r="A817" s="47"/>
      <c r="I817" s="44"/>
      <c r="J817" s="44"/>
      <c r="K817" s="44"/>
      <c r="L817" s="44"/>
      <c r="M817" s="44"/>
      <c r="N817" s="44"/>
      <c r="O817" s="44"/>
      <c r="P817" s="44"/>
      <c r="Q817" s="44"/>
      <c r="R817" s="44"/>
      <c r="S817" s="44"/>
      <c r="T817" s="44"/>
      <c r="U817" s="44"/>
      <c r="V817" s="44"/>
    </row>
    <row r="818" spans="1:22" ht="15.75" customHeight="1" x14ac:dyDescent="0.35">
      <c r="A818" s="47"/>
      <c r="I818" s="44"/>
      <c r="J818" s="44"/>
      <c r="K818" s="44"/>
      <c r="L818" s="44"/>
      <c r="M818" s="44"/>
      <c r="N818" s="44"/>
      <c r="O818" s="44"/>
      <c r="P818" s="44"/>
      <c r="Q818" s="44"/>
      <c r="R818" s="44"/>
      <c r="S818" s="44"/>
      <c r="T818" s="44"/>
      <c r="U818" s="44"/>
      <c r="V818" s="44"/>
    </row>
    <row r="819" spans="1:22" ht="15.75" customHeight="1" x14ac:dyDescent="0.35">
      <c r="A819" s="47"/>
      <c r="I819" s="44"/>
      <c r="J819" s="44"/>
      <c r="K819" s="44"/>
      <c r="L819" s="44"/>
      <c r="M819" s="44"/>
      <c r="N819" s="44"/>
      <c r="O819" s="44"/>
      <c r="P819" s="44"/>
      <c r="Q819" s="44"/>
      <c r="R819" s="44"/>
      <c r="S819" s="44"/>
      <c r="T819" s="44"/>
      <c r="U819" s="44"/>
      <c r="V819" s="44"/>
    </row>
    <row r="820" spans="1:22" ht="15.75" customHeight="1" x14ac:dyDescent="0.35">
      <c r="A820" s="47"/>
      <c r="I820" s="44"/>
      <c r="J820" s="44"/>
      <c r="K820" s="44"/>
      <c r="L820" s="44"/>
      <c r="M820" s="44"/>
      <c r="N820" s="44"/>
      <c r="O820" s="44"/>
      <c r="P820" s="44"/>
      <c r="Q820" s="44"/>
      <c r="R820" s="44"/>
      <c r="S820" s="44"/>
      <c r="T820" s="44"/>
      <c r="U820" s="44"/>
      <c r="V820" s="44"/>
    </row>
    <row r="821" spans="1:22" ht="15.75" customHeight="1" x14ac:dyDescent="0.35">
      <c r="A821" s="47"/>
      <c r="I821" s="44"/>
      <c r="J821" s="44"/>
      <c r="K821" s="44"/>
      <c r="L821" s="44"/>
      <c r="M821" s="44"/>
      <c r="N821" s="44"/>
      <c r="O821" s="44"/>
      <c r="P821" s="44"/>
      <c r="Q821" s="44"/>
      <c r="R821" s="44"/>
      <c r="S821" s="44"/>
      <c r="T821" s="44"/>
      <c r="U821" s="44"/>
      <c r="V821" s="44"/>
    </row>
    <row r="822" spans="1:22" ht="15.75" customHeight="1" x14ac:dyDescent="0.35">
      <c r="A822" s="47"/>
      <c r="I822" s="44"/>
      <c r="J822" s="44"/>
      <c r="K822" s="44"/>
      <c r="L822" s="44"/>
      <c r="M822" s="44"/>
      <c r="N822" s="44"/>
      <c r="O822" s="44"/>
      <c r="P822" s="44"/>
      <c r="Q822" s="44"/>
      <c r="R822" s="44"/>
      <c r="S822" s="44"/>
      <c r="T822" s="44"/>
      <c r="U822" s="44"/>
      <c r="V822" s="44"/>
    </row>
    <row r="823" spans="1:22" ht="15.75" customHeight="1" x14ac:dyDescent="0.35">
      <c r="A823" s="47"/>
      <c r="I823" s="44"/>
      <c r="J823" s="44"/>
      <c r="K823" s="44"/>
      <c r="L823" s="44"/>
      <c r="M823" s="44"/>
      <c r="N823" s="44"/>
      <c r="O823" s="44"/>
      <c r="P823" s="44"/>
      <c r="Q823" s="44"/>
      <c r="R823" s="44"/>
      <c r="S823" s="44"/>
      <c r="T823" s="44"/>
      <c r="U823" s="44"/>
      <c r="V823" s="44"/>
    </row>
    <row r="824" spans="1:22" ht="15.75" customHeight="1" x14ac:dyDescent="0.35">
      <c r="A824" s="47"/>
      <c r="I824" s="44"/>
      <c r="J824" s="44"/>
      <c r="K824" s="44"/>
      <c r="L824" s="44"/>
      <c r="M824" s="44"/>
      <c r="N824" s="44"/>
      <c r="O824" s="44"/>
      <c r="P824" s="44"/>
      <c r="Q824" s="44"/>
      <c r="R824" s="44"/>
      <c r="S824" s="44"/>
      <c r="T824" s="44"/>
      <c r="U824" s="44"/>
      <c r="V824" s="44"/>
    </row>
    <row r="825" spans="1:22" ht="15.75" customHeight="1" x14ac:dyDescent="0.35">
      <c r="A825" s="47"/>
      <c r="I825" s="44"/>
      <c r="J825" s="44"/>
      <c r="K825" s="44"/>
      <c r="L825" s="44"/>
      <c r="M825" s="44"/>
      <c r="N825" s="44"/>
      <c r="O825" s="44"/>
      <c r="P825" s="44"/>
      <c r="Q825" s="44"/>
      <c r="R825" s="44"/>
      <c r="S825" s="44"/>
      <c r="T825" s="44"/>
      <c r="U825" s="44"/>
      <c r="V825" s="44"/>
    </row>
    <row r="826" spans="1:22" ht="15.75" customHeight="1" x14ac:dyDescent="0.35">
      <c r="A826" s="47"/>
      <c r="I826" s="44"/>
      <c r="J826" s="44"/>
      <c r="K826" s="44"/>
      <c r="L826" s="44"/>
      <c r="M826" s="44"/>
      <c r="N826" s="44"/>
      <c r="O826" s="44"/>
      <c r="P826" s="44"/>
      <c r="Q826" s="44"/>
      <c r="R826" s="44"/>
      <c r="S826" s="44"/>
      <c r="T826" s="44"/>
      <c r="U826" s="44"/>
      <c r="V826" s="44"/>
    </row>
    <row r="827" spans="1:22" ht="15.75" customHeight="1" x14ac:dyDescent="0.35">
      <c r="A827" s="47"/>
      <c r="I827" s="44"/>
      <c r="J827" s="44"/>
      <c r="K827" s="44"/>
      <c r="L827" s="44"/>
      <c r="M827" s="44"/>
      <c r="N827" s="44"/>
      <c r="O827" s="44"/>
      <c r="P827" s="44"/>
      <c r="Q827" s="44"/>
      <c r="R827" s="44"/>
      <c r="S827" s="44"/>
      <c r="T827" s="44"/>
      <c r="U827" s="44"/>
      <c r="V827" s="44"/>
    </row>
    <row r="828" spans="1:22" ht="15.75" customHeight="1" x14ac:dyDescent="0.35">
      <c r="A828" s="47"/>
      <c r="I828" s="44"/>
      <c r="J828" s="44"/>
      <c r="K828" s="44"/>
      <c r="L828" s="44"/>
      <c r="M828" s="44"/>
      <c r="N828" s="44"/>
      <c r="O828" s="44"/>
      <c r="P828" s="44"/>
      <c r="Q828" s="44"/>
      <c r="R828" s="44"/>
      <c r="S828" s="44"/>
      <c r="T828" s="44"/>
      <c r="U828" s="44"/>
      <c r="V828" s="44"/>
    </row>
    <row r="829" spans="1:22" ht="15.75" customHeight="1" x14ac:dyDescent="0.35">
      <c r="A829" s="47"/>
      <c r="I829" s="44"/>
      <c r="J829" s="44"/>
      <c r="K829" s="44"/>
      <c r="L829" s="44"/>
      <c r="M829" s="44"/>
      <c r="N829" s="44"/>
      <c r="O829" s="44"/>
      <c r="P829" s="44"/>
      <c r="Q829" s="44"/>
      <c r="R829" s="44"/>
      <c r="S829" s="44"/>
      <c r="T829" s="44"/>
      <c r="U829" s="44"/>
      <c r="V829" s="44"/>
    </row>
    <row r="830" spans="1:22" ht="15.75" customHeight="1" x14ac:dyDescent="0.35">
      <c r="A830" s="47"/>
      <c r="I830" s="44"/>
      <c r="J830" s="44"/>
      <c r="K830" s="44"/>
      <c r="L830" s="44"/>
      <c r="M830" s="44"/>
      <c r="N830" s="44"/>
      <c r="O830" s="44"/>
      <c r="P830" s="44"/>
      <c r="Q830" s="44"/>
      <c r="R830" s="44"/>
      <c r="S830" s="44"/>
      <c r="T830" s="44"/>
      <c r="U830" s="44"/>
      <c r="V830" s="44"/>
    </row>
    <row r="831" spans="1:22" ht="15.75" customHeight="1" x14ac:dyDescent="0.35">
      <c r="A831" s="47"/>
      <c r="I831" s="44"/>
      <c r="J831" s="44"/>
      <c r="K831" s="44"/>
      <c r="L831" s="44"/>
      <c r="M831" s="44"/>
      <c r="N831" s="44"/>
      <c r="O831" s="44"/>
      <c r="P831" s="44"/>
      <c r="Q831" s="44"/>
      <c r="R831" s="44"/>
      <c r="S831" s="44"/>
      <c r="T831" s="44"/>
      <c r="U831" s="44"/>
      <c r="V831" s="44"/>
    </row>
    <row r="832" spans="1:22" ht="15.75" customHeight="1" x14ac:dyDescent="0.35">
      <c r="A832" s="47"/>
      <c r="I832" s="44"/>
      <c r="J832" s="44"/>
      <c r="K832" s="44"/>
      <c r="L832" s="44"/>
      <c r="M832" s="44"/>
      <c r="N832" s="44"/>
      <c r="O832" s="44"/>
      <c r="P832" s="44"/>
      <c r="Q832" s="44"/>
      <c r="R832" s="44"/>
      <c r="S832" s="44"/>
      <c r="T832" s="44"/>
      <c r="U832" s="44"/>
      <c r="V832" s="44"/>
    </row>
    <row r="833" spans="1:22" ht="15.75" customHeight="1" x14ac:dyDescent="0.35">
      <c r="A833" s="47"/>
      <c r="I833" s="44"/>
      <c r="J833" s="44"/>
      <c r="K833" s="44"/>
      <c r="L833" s="44"/>
      <c r="M833" s="44"/>
      <c r="N833" s="44"/>
      <c r="O833" s="44"/>
      <c r="P833" s="44"/>
      <c r="Q833" s="44"/>
      <c r="R833" s="44"/>
      <c r="S833" s="44"/>
      <c r="T833" s="44"/>
      <c r="U833" s="44"/>
      <c r="V833" s="44"/>
    </row>
    <row r="834" spans="1:22" ht="15.75" customHeight="1" x14ac:dyDescent="0.35">
      <c r="A834" s="47"/>
      <c r="I834" s="44"/>
      <c r="J834" s="44"/>
      <c r="K834" s="44"/>
      <c r="L834" s="44"/>
      <c r="M834" s="44"/>
      <c r="N834" s="44"/>
      <c r="O834" s="44"/>
      <c r="P834" s="44"/>
      <c r="Q834" s="44"/>
      <c r="R834" s="44"/>
      <c r="S834" s="44"/>
      <c r="T834" s="44"/>
      <c r="U834" s="44"/>
      <c r="V834" s="44"/>
    </row>
    <row r="835" spans="1:22" ht="15.75" customHeight="1" x14ac:dyDescent="0.35">
      <c r="A835" s="47"/>
      <c r="I835" s="44"/>
      <c r="J835" s="44"/>
      <c r="K835" s="44"/>
      <c r="L835" s="44"/>
      <c r="M835" s="44"/>
      <c r="N835" s="44"/>
      <c r="O835" s="44"/>
      <c r="P835" s="44"/>
      <c r="Q835" s="44"/>
      <c r="R835" s="44"/>
      <c r="S835" s="44"/>
      <c r="T835" s="44"/>
      <c r="U835" s="44"/>
      <c r="V835" s="44"/>
    </row>
    <row r="836" spans="1:22" ht="15.75" customHeight="1" x14ac:dyDescent="0.35">
      <c r="A836" s="47"/>
      <c r="I836" s="44"/>
      <c r="J836" s="44"/>
      <c r="K836" s="44"/>
      <c r="L836" s="44"/>
      <c r="M836" s="44"/>
      <c r="N836" s="44"/>
      <c r="O836" s="44"/>
      <c r="P836" s="44"/>
      <c r="Q836" s="44"/>
      <c r="R836" s="44"/>
      <c r="S836" s="44"/>
      <c r="T836" s="44"/>
      <c r="U836" s="44"/>
      <c r="V836" s="44"/>
    </row>
    <row r="837" spans="1:22" ht="15.75" customHeight="1" x14ac:dyDescent="0.35">
      <c r="A837" s="47"/>
      <c r="I837" s="44"/>
      <c r="J837" s="44"/>
      <c r="K837" s="44"/>
      <c r="L837" s="44"/>
      <c r="M837" s="44"/>
      <c r="N837" s="44"/>
      <c r="O837" s="44"/>
      <c r="P837" s="44"/>
      <c r="Q837" s="44"/>
      <c r="R837" s="44"/>
      <c r="S837" s="44"/>
      <c r="T837" s="44"/>
      <c r="U837" s="44"/>
      <c r="V837" s="44"/>
    </row>
    <row r="838" spans="1:22" ht="15.75" customHeight="1" x14ac:dyDescent="0.35">
      <c r="A838" s="47"/>
      <c r="I838" s="44"/>
      <c r="J838" s="44"/>
      <c r="K838" s="44"/>
      <c r="L838" s="44"/>
      <c r="M838" s="44"/>
      <c r="N838" s="44"/>
      <c r="O838" s="44"/>
      <c r="P838" s="44"/>
      <c r="Q838" s="44"/>
      <c r="R838" s="44"/>
      <c r="S838" s="44"/>
      <c r="T838" s="44"/>
      <c r="U838" s="44"/>
      <c r="V838" s="44"/>
    </row>
    <row r="839" spans="1:22" ht="15.75" customHeight="1" x14ac:dyDescent="0.35">
      <c r="A839" s="47"/>
      <c r="I839" s="44"/>
      <c r="J839" s="44"/>
      <c r="K839" s="44"/>
      <c r="L839" s="44"/>
      <c r="M839" s="44"/>
      <c r="N839" s="44"/>
      <c r="O839" s="44"/>
      <c r="P839" s="44"/>
      <c r="Q839" s="44"/>
      <c r="R839" s="44"/>
      <c r="S839" s="44"/>
      <c r="T839" s="44"/>
      <c r="U839" s="44"/>
      <c r="V839" s="44"/>
    </row>
    <row r="840" spans="1:22" ht="15.75" customHeight="1" x14ac:dyDescent="0.35">
      <c r="A840" s="47"/>
      <c r="I840" s="44"/>
      <c r="J840" s="44"/>
      <c r="K840" s="44"/>
      <c r="L840" s="44"/>
      <c r="M840" s="44"/>
      <c r="N840" s="44"/>
      <c r="O840" s="44"/>
      <c r="P840" s="44"/>
      <c r="Q840" s="44"/>
      <c r="R840" s="44"/>
      <c r="S840" s="44"/>
      <c r="T840" s="44"/>
      <c r="U840" s="44"/>
      <c r="V840" s="44"/>
    </row>
    <row r="841" spans="1:22" ht="15.75" customHeight="1" x14ac:dyDescent="0.35">
      <c r="A841" s="47"/>
      <c r="I841" s="44"/>
      <c r="J841" s="44"/>
      <c r="K841" s="44"/>
      <c r="L841" s="44"/>
      <c r="M841" s="44"/>
      <c r="N841" s="44"/>
      <c r="O841" s="44"/>
      <c r="P841" s="44"/>
      <c r="Q841" s="44"/>
      <c r="R841" s="44"/>
      <c r="S841" s="44"/>
      <c r="T841" s="44"/>
      <c r="U841" s="44"/>
      <c r="V841" s="44"/>
    </row>
    <row r="842" spans="1:22" ht="15.75" customHeight="1" x14ac:dyDescent="0.35">
      <c r="A842" s="47"/>
      <c r="I842" s="44"/>
      <c r="J842" s="44"/>
      <c r="K842" s="44"/>
      <c r="L842" s="44"/>
      <c r="M842" s="44"/>
      <c r="N842" s="44"/>
      <c r="O842" s="44"/>
      <c r="P842" s="44"/>
      <c r="Q842" s="44"/>
      <c r="R842" s="44"/>
      <c r="S842" s="44"/>
      <c r="T842" s="44"/>
      <c r="U842" s="44"/>
      <c r="V842" s="44"/>
    </row>
    <row r="843" spans="1:22" ht="15.75" customHeight="1" x14ac:dyDescent="0.35">
      <c r="A843" s="47"/>
      <c r="I843" s="44"/>
      <c r="J843" s="44"/>
      <c r="K843" s="44"/>
      <c r="L843" s="44"/>
      <c r="M843" s="44"/>
      <c r="N843" s="44"/>
      <c r="O843" s="44"/>
      <c r="P843" s="44"/>
      <c r="Q843" s="44"/>
      <c r="R843" s="44"/>
      <c r="S843" s="44"/>
      <c r="T843" s="44"/>
      <c r="U843" s="44"/>
      <c r="V843" s="44"/>
    </row>
    <row r="844" spans="1:22" ht="15.75" customHeight="1" x14ac:dyDescent="0.35">
      <c r="A844" s="47"/>
      <c r="I844" s="44"/>
      <c r="J844" s="44"/>
      <c r="K844" s="44"/>
      <c r="L844" s="44"/>
      <c r="M844" s="44"/>
      <c r="N844" s="44"/>
      <c r="O844" s="44"/>
      <c r="P844" s="44"/>
      <c r="Q844" s="44"/>
      <c r="R844" s="44"/>
      <c r="S844" s="44"/>
      <c r="T844" s="44"/>
      <c r="U844" s="44"/>
      <c r="V844" s="44"/>
    </row>
    <row r="845" spans="1:22" ht="15.75" customHeight="1" x14ac:dyDescent="0.35">
      <c r="A845" s="47"/>
      <c r="I845" s="44"/>
      <c r="J845" s="44"/>
      <c r="K845" s="44"/>
      <c r="L845" s="44"/>
      <c r="M845" s="44"/>
      <c r="N845" s="44"/>
      <c r="O845" s="44"/>
      <c r="P845" s="44"/>
      <c r="Q845" s="44"/>
      <c r="R845" s="44"/>
      <c r="S845" s="44"/>
      <c r="T845" s="44"/>
      <c r="U845" s="44"/>
      <c r="V845" s="44"/>
    </row>
    <row r="846" spans="1:22" ht="15.75" customHeight="1" x14ac:dyDescent="0.35">
      <c r="A846" s="47"/>
      <c r="I846" s="44"/>
      <c r="J846" s="44"/>
      <c r="K846" s="44"/>
      <c r="L846" s="44"/>
      <c r="M846" s="44"/>
      <c r="N846" s="44"/>
      <c r="O846" s="44"/>
      <c r="P846" s="44"/>
      <c r="Q846" s="44"/>
      <c r="R846" s="44"/>
      <c r="S846" s="44"/>
      <c r="T846" s="44"/>
      <c r="U846" s="44"/>
      <c r="V846" s="44"/>
    </row>
    <row r="847" spans="1:22" ht="15.75" customHeight="1" x14ac:dyDescent="0.35">
      <c r="A847" s="47"/>
      <c r="I847" s="44"/>
      <c r="J847" s="44"/>
      <c r="K847" s="44"/>
      <c r="L847" s="44"/>
      <c r="M847" s="44"/>
      <c r="N847" s="44"/>
      <c r="O847" s="44"/>
      <c r="P847" s="44"/>
      <c r="Q847" s="44"/>
      <c r="R847" s="44"/>
      <c r="S847" s="44"/>
      <c r="T847" s="44"/>
      <c r="U847" s="44"/>
      <c r="V847" s="44"/>
    </row>
    <row r="848" spans="1:22" ht="15.75" customHeight="1" x14ac:dyDescent="0.35">
      <c r="A848" s="47"/>
      <c r="I848" s="44"/>
      <c r="J848" s="44"/>
      <c r="K848" s="44"/>
      <c r="L848" s="44"/>
      <c r="M848" s="44"/>
      <c r="N848" s="44"/>
      <c r="O848" s="44"/>
      <c r="P848" s="44"/>
      <c r="Q848" s="44"/>
      <c r="R848" s="44"/>
      <c r="S848" s="44"/>
      <c r="T848" s="44"/>
      <c r="U848" s="44"/>
      <c r="V848" s="44"/>
    </row>
    <row r="849" spans="1:22" ht="15.75" customHeight="1" x14ac:dyDescent="0.35">
      <c r="A849" s="47"/>
      <c r="I849" s="44"/>
      <c r="J849" s="44"/>
      <c r="K849" s="44"/>
      <c r="L849" s="44"/>
      <c r="M849" s="44"/>
      <c r="N849" s="44"/>
      <c r="O849" s="44"/>
      <c r="P849" s="44"/>
      <c r="Q849" s="44"/>
      <c r="R849" s="44"/>
      <c r="S849" s="44"/>
      <c r="T849" s="44"/>
      <c r="U849" s="44"/>
      <c r="V849" s="44"/>
    </row>
    <row r="850" spans="1:22" ht="15.75" customHeight="1" x14ac:dyDescent="0.35">
      <c r="A850" s="47"/>
      <c r="I850" s="44"/>
      <c r="J850" s="44"/>
      <c r="K850" s="44"/>
      <c r="L850" s="44"/>
      <c r="M850" s="44"/>
      <c r="N850" s="44"/>
      <c r="O850" s="44"/>
      <c r="P850" s="44"/>
      <c r="Q850" s="44"/>
      <c r="R850" s="44"/>
      <c r="S850" s="44"/>
      <c r="T850" s="44"/>
      <c r="U850" s="44"/>
      <c r="V850" s="44"/>
    </row>
    <row r="851" spans="1:22" ht="15.75" customHeight="1" x14ac:dyDescent="0.35">
      <c r="A851" s="47"/>
      <c r="I851" s="44"/>
      <c r="J851" s="44"/>
      <c r="K851" s="44"/>
      <c r="L851" s="44"/>
      <c r="M851" s="44"/>
      <c r="N851" s="44"/>
      <c r="O851" s="44"/>
      <c r="P851" s="44"/>
      <c r="Q851" s="44"/>
      <c r="R851" s="44"/>
      <c r="S851" s="44"/>
      <c r="T851" s="44"/>
      <c r="U851" s="44"/>
      <c r="V851" s="44"/>
    </row>
    <row r="852" spans="1:22" ht="15.75" customHeight="1" x14ac:dyDescent="0.35">
      <c r="A852" s="47"/>
      <c r="I852" s="44"/>
      <c r="J852" s="44"/>
      <c r="K852" s="44"/>
      <c r="L852" s="44"/>
      <c r="M852" s="44"/>
      <c r="N852" s="44"/>
      <c r="O852" s="44"/>
      <c r="P852" s="44"/>
      <c r="Q852" s="44"/>
      <c r="R852" s="44"/>
      <c r="S852" s="44"/>
      <c r="T852" s="44"/>
      <c r="U852" s="44"/>
      <c r="V852" s="44"/>
    </row>
    <row r="853" spans="1:22" ht="15.75" customHeight="1" x14ac:dyDescent="0.35">
      <c r="A853" s="47"/>
      <c r="I853" s="44"/>
      <c r="J853" s="44"/>
      <c r="K853" s="44"/>
      <c r="L853" s="44"/>
      <c r="M853" s="44"/>
      <c r="N853" s="44"/>
      <c r="O853" s="44"/>
      <c r="P853" s="44"/>
      <c r="Q853" s="44"/>
      <c r="R853" s="44"/>
      <c r="S853" s="44"/>
      <c r="T853" s="44"/>
      <c r="U853" s="44"/>
      <c r="V853" s="44"/>
    </row>
    <row r="854" spans="1:22" ht="15.75" customHeight="1" x14ac:dyDescent="0.35">
      <c r="A854" s="47"/>
      <c r="I854" s="44"/>
      <c r="J854" s="44"/>
      <c r="K854" s="44"/>
      <c r="L854" s="44"/>
      <c r="M854" s="44"/>
      <c r="N854" s="44"/>
      <c r="O854" s="44"/>
      <c r="P854" s="44"/>
      <c r="Q854" s="44"/>
      <c r="R854" s="44"/>
      <c r="S854" s="44"/>
      <c r="T854" s="44"/>
      <c r="U854" s="44"/>
      <c r="V854" s="44"/>
    </row>
    <row r="855" spans="1:22" ht="15.75" customHeight="1" x14ac:dyDescent="0.35">
      <c r="A855" s="47"/>
      <c r="I855" s="44"/>
      <c r="J855" s="44"/>
      <c r="K855" s="44"/>
      <c r="L855" s="44"/>
      <c r="M855" s="44"/>
      <c r="N855" s="44"/>
      <c r="O855" s="44"/>
      <c r="P855" s="44"/>
      <c r="Q855" s="44"/>
      <c r="R855" s="44"/>
      <c r="S855" s="44"/>
      <c r="T855" s="44"/>
      <c r="U855" s="44"/>
      <c r="V855" s="44"/>
    </row>
    <row r="856" spans="1:22" ht="15.75" customHeight="1" x14ac:dyDescent="0.35">
      <c r="A856" s="47"/>
      <c r="I856" s="44"/>
      <c r="J856" s="44"/>
      <c r="K856" s="44"/>
      <c r="L856" s="44"/>
      <c r="M856" s="44"/>
      <c r="N856" s="44"/>
      <c r="O856" s="44"/>
      <c r="P856" s="44"/>
      <c r="Q856" s="44"/>
      <c r="R856" s="44"/>
      <c r="S856" s="44"/>
      <c r="T856" s="44"/>
      <c r="U856" s="44"/>
      <c r="V856" s="44"/>
    </row>
    <row r="857" spans="1:22" ht="15.75" customHeight="1" x14ac:dyDescent="0.35">
      <c r="A857" s="47"/>
      <c r="I857" s="44"/>
      <c r="J857" s="44"/>
      <c r="K857" s="44"/>
      <c r="L857" s="44"/>
      <c r="M857" s="44"/>
      <c r="N857" s="44"/>
      <c r="O857" s="44"/>
      <c r="P857" s="44"/>
      <c r="Q857" s="44"/>
      <c r="R857" s="44"/>
      <c r="S857" s="44"/>
      <c r="T857" s="44"/>
      <c r="U857" s="44"/>
      <c r="V857" s="44"/>
    </row>
    <row r="858" spans="1:22" ht="15.75" customHeight="1" x14ac:dyDescent="0.35">
      <c r="A858" s="47"/>
      <c r="I858" s="44"/>
      <c r="J858" s="44"/>
      <c r="K858" s="44"/>
      <c r="L858" s="44"/>
      <c r="M858" s="44"/>
      <c r="N858" s="44"/>
      <c r="O858" s="44"/>
      <c r="P858" s="44"/>
      <c r="Q858" s="44"/>
      <c r="R858" s="44"/>
      <c r="S858" s="44"/>
      <c r="T858" s="44"/>
      <c r="U858" s="44"/>
      <c r="V858" s="44"/>
    </row>
    <row r="859" spans="1:22" ht="15.75" customHeight="1" x14ac:dyDescent="0.35">
      <c r="A859" s="47"/>
      <c r="I859" s="44"/>
      <c r="J859" s="44"/>
      <c r="K859" s="44"/>
      <c r="L859" s="44"/>
      <c r="M859" s="44"/>
      <c r="N859" s="44"/>
      <c r="O859" s="44"/>
      <c r="P859" s="44"/>
      <c r="Q859" s="44"/>
      <c r="R859" s="44"/>
      <c r="S859" s="44"/>
      <c r="T859" s="44"/>
      <c r="U859" s="44"/>
      <c r="V859" s="44"/>
    </row>
    <row r="860" spans="1:22" ht="15.75" customHeight="1" x14ac:dyDescent="0.35">
      <c r="A860" s="47"/>
      <c r="I860" s="44"/>
      <c r="J860" s="44"/>
      <c r="K860" s="44"/>
      <c r="L860" s="44"/>
      <c r="M860" s="44"/>
      <c r="N860" s="44"/>
      <c r="O860" s="44"/>
      <c r="P860" s="44"/>
      <c r="Q860" s="44"/>
      <c r="R860" s="44"/>
      <c r="S860" s="44"/>
      <c r="T860" s="44"/>
      <c r="U860" s="44"/>
      <c r="V860" s="44"/>
    </row>
    <row r="861" spans="1:22" ht="15.75" customHeight="1" x14ac:dyDescent="0.35">
      <c r="A861" s="47"/>
      <c r="I861" s="44"/>
      <c r="J861" s="44"/>
      <c r="K861" s="44"/>
      <c r="L861" s="44"/>
      <c r="M861" s="44"/>
      <c r="N861" s="44"/>
      <c r="O861" s="44"/>
      <c r="P861" s="44"/>
      <c r="Q861" s="44"/>
      <c r="R861" s="44"/>
      <c r="S861" s="44"/>
      <c r="T861" s="44"/>
      <c r="U861" s="44"/>
      <c r="V861" s="44"/>
    </row>
    <row r="862" spans="1:22" ht="15.75" customHeight="1" x14ac:dyDescent="0.35">
      <c r="A862" s="47"/>
      <c r="I862" s="44"/>
      <c r="J862" s="44"/>
      <c r="K862" s="44"/>
      <c r="L862" s="44"/>
      <c r="M862" s="44"/>
      <c r="N862" s="44"/>
      <c r="O862" s="44"/>
      <c r="P862" s="44"/>
      <c r="Q862" s="44"/>
      <c r="R862" s="44"/>
      <c r="S862" s="44"/>
      <c r="T862" s="44"/>
      <c r="U862" s="44"/>
      <c r="V862" s="44"/>
    </row>
    <row r="863" spans="1:22" ht="15.75" customHeight="1" x14ac:dyDescent="0.35">
      <c r="A863" s="47"/>
      <c r="I863" s="44"/>
      <c r="J863" s="44"/>
      <c r="K863" s="44"/>
      <c r="L863" s="44"/>
      <c r="M863" s="44"/>
      <c r="N863" s="44"/>
      <c r="O863" s="44"/>
      <c r="P863" s="44"/>
      <c r="Q863" s="44"/>
      <c r="R863" s="44"/>
      <c r="S863" s="44"/>
      <c r="T863" s="44"/>
      <c r="U863" s="44"/>
      <c r="V863" s="44"/>
    </row>
    <row r="864" spans="1:22" ht="15.75" customHeight="1" x14ac:dyDescent="0.35">
      <c r="A864" s="47"/>
      <c r="I864" s="44"/>
      <c r="J864" s="44"/>
      <c r="K864" s="44"/>
      <c r="L864" s="44"/>
      <c r="M864" s="44"/>
      <c r="N864" s="44"/>
      <c r="O864" s="44"/>
      <c r="P864" s="44"/>
      <c r="Q864" s="44"/>
      <c r="R864" s="44"/>
      <c r="S864" s="44"/>
      <c r="T864" s="44"/>
      <c r="U864" s="44"/>
      <c r="V864" s="44"/>
    </row>
    <row r="865" spans="1:22" ht="15.75" customHeight="1" x14ac:dyDescent="0.35">
      <c r="A865" s="47"/>
      <c r="I865" s="44"/>
      <c r="J865" s="44"/>
      <c r="K865" s="44"/>
      <c r="L865" s="44"/>
      <c r="M865" s="44"/>
      <c r="N865" s="44"/>
      <c r="O865" s="44"/>
      <c r="P865" s="44"/>
      <c r="Q865" s="44"/>
      <c r="R865" s="44"/>
      <c r="S865" s="44"/>
      <c r="T865" s="44"/>
      <c r="U865" s="44"/>
      <c r="V865" s="44"/>
    </row>
    <row r="866" spans="1:22" ht="15.75" customHeight="1" x14ac:dyDescent="0.35">
      <c r="A866" s="47"/>
      <c r="I866" s="44"/>
      <c r="J866" s="44"/>
      <c r="K866" s="44"/>
      <c r="L866" s="44"/>
      <c r="M866" s="44"/>
      <c r="N866" s="44"/>
      <c r="O866" s="44"/>
      <c r="P866" s="44"/>
      <c r="Q866" s="44"/>
      <c r="R866" s="44"/>
      <c r="S866" s="44"/>
      <c r="T866" s="44"/>
      <c r="U866" s="44"/>
      <c r="V866" s="44"/>
    </row>
    <row r="867" spans="1:22" ht="15.75" customHeight="1" x14ac:dyDescent="0.35">
      <c r="A867" s="47"/>
      <c r="I867" s="44"/>
      <c r="J867" s="44"/>
      <c r="K867" s="44"/>
      <c r="L867" s="44"/>
      <c r="M867" s="44"/>
      <c r="N867" s="44"/>
      <c r="O867" s="44"/>
      <c r="P867" s="44"/>
      <c r="Q867" s="44"/>
      <c r="R867" s="44"/>
      <c r="S867" s="44"/>
      <c r="T867" s="44"/>
      <c r="U867" s="44"/>
      <c r="V867" s="44"/>
    </row>
    <row r="868" spans="1:22" ht="15.75" customHeight="1" x14ac:dyDescent="0.35">
      <c r="A868" s="47"/>
      <c r="I868" s="44"/>
      <c r="J868" s="44"/>
      <c r="K868" s="44"/>
      <c r="L868" s="44"/>
      <c r="M868" s="44"/>
      <c r="N868" s="44"/>
      <c r="O868" s="44"/>
      <c r="P868" s="44"/>
      <c r="Q868" s="44"/>
      <c r="R868" s="44"/>
      <c r="S868" s="44"/>
      <c r="T868" s="44"/>
      <c r="U868" s="44"/>
      <c r="V868" s="44"/>
    </row>
    <row r="869" spans="1:22" ht="15.75" customHeight="1" x14ac:dyDescent="0.35">
      <c r="A869" s="47"/>
      <c r="I869" s="44"/>
      <c r="J869" s="44"/>
      <c r="K869" s="44"/>
      <c r="L869" s="44"/>
      <c r="M869" s="44"/>
      <c r="N869" s="44"/>
      <c r="O869" s="44"/>
      <c r="P869" s="44"/>
      <c r="Q869" s="44"/>
      <c r="R869" s="44"/>
      <c r="S869" s="44"/>
      <c r="T869" s="44"/>
      <c r="U869" s="44"/>
      <c r="V869" s="44"/>
    </row>
    <row r="870" spans="1:22" ht="15.75" customHeight="1" x14ac:dyDescent="0.35">
      <c r="A870" s="47"/>
      <c r="I870" s="44"/>
      <c r="J870" s="44"/>
      <c r="K870" s="44"/>
      <c r="L870" s="44"/>
      <c r="M870" s="44"/>
      <c r="N870" s="44"/>
      <c r="O870" s="44"/>
      <c r="P870" s="44"/>
      <c r="Q870" s="44"/>
      <c r="R870" s="44"/>
      <c r="S870" s="44"/>
      <c r="T870" s="44"/>
      <c r="U870" s="44"/>
      <c r="V870" s="44"/>
    </row>
    <row r="871" spans="1:22" ht="15.75" customHeight="1" x14ac:dyDescent="0.35">
      <c r="A871" s="47"/>
      <c r="I871" s="44"/>
      <c r="J871" s="44"/>
      <c r="K871" s="44"/>
      <c r="L871" s="44"/>
      <c r="M871" s="44"/>
      <c r="N871" s="44"/>
      <c r="O871" s="44"/>
      <c r="P871" s="44"/>
      <c r="Q871" s="44"/>
      <c r="R871" s="44"/>
      <c r="S871" s="44"/>
      <c r="T871" s="44"/>
      <c r="U871" s="44"/>
      <c r="V871" s="44"/>
    </row>
    <row r="872" spans="1:22" ht="15.75" customHeight="1" x14ac:dyDescent="0.35">
      <c r="A872" s="47"/>
      <c r="I872" s="44"/>
      <c r="J872" s="44"/>
      <c r="K872" s="44"/>
      <c r="L872" s="44"/>
      <c r="M872" s="44"/>
      <c r="N872" s="44"/>
      <c r="O872" s="44"/>
      <c r="P872" s="44"/>
      <c r="Q872" s="44"/>
      <c r="R872" s="44"/>
      <c r="S872" s="44"/>
      <c r="T872" s="44"/>
      <c r="U872" s="44"/>
      <c r="V872" s="44"/>
    </row>
    <row r="873" spans="1:22" ht="15.75" customHeight="1" x14ac:dyDescent="0.35">
      <c r="A873" s="47"/>
      <c r="I873" s="44"/>
      <c r="J873" s="44"/>
      <c r="K873" s="44"/>
      <c r="L873" s="44"/>
      <c r="M873" s="44"/>
      <c r="N873" s="44"/>
      <c r="O873" s="44"/>
      <c r="P873" s="44"/>
      <c r="Q873" s="44"/>
      <c r="R873" s="44"/>
      <c r="S873" s="44"/>
      <c r="T873" s="44"/>
      <c r="U873" s="44"/>
      <c r="V873" s="44"/>
    </row>
    <row r="874" spans="1:22" ht="15.75" customHeight="1" x14ac:dyDescent="0.35">
      <c r="A874" s="47"/>
      <c r="I874" s="44"/>
      <c r="J874" s="44"/>
      <c r="K874" s="44"/>
      <c r="L874" s="44"/>
      <c r="M874" s="44"/>
      <c r="N874" s="44"/>
      <c r="O874" s="44"/>
      <c r="P874" s="44"/>
      <c r="Q874" s="44"/>
      <c r="R874" s="44"/>
      <c r="S874" s="44"/>
      <c r="T874" s="44"/>
      <c r="U874" s="44"/>
      <c r="V874" s="44"/>
    </row>
    <row r="875" spans="1:22" ht="15.75" customHeight="1" x14ac:dyDescent="0.35">
      <c r="A875" s="47"/>
      <c r="I875" s="44"/>
      <c r="J875" s="44"/>
      <c r="K875" s="44"/>
      <c r="L875" s="44"/>
      <c r="M875" s="44"/>
      <c r="N875" s="44"/>
      <c r="O875" s="44"/>
      <c r="P875" s="44"/>
      <c r="Q875" s="44"/>
      <c r="R875" s="44"/>
      <c r="S875" s="44"/>
      <c r="T875" s="44"/>
      <c r="U875" s="44"/>
      <c r="V875" s="44"/>
    </row>
    <row r="876" spans="1:22" ht="15.75" customHeight="1" x14ac:dyDescent="0.35">
      <c r="A876" s="47"/>
      <c r="I876" s="44"/>
      <c r="J876" s="44"/>
      <c r="K876" s="44"/>
      <c r="L876" s="44"/>
      <c r="M876" s="44"/>
      <c r="N876" s="44"/>
      <c r="O876" s="44"/>
      <c r="P876" s="44"/>
      <c r="Q876" s="44"/>
      <c r="R876" s="44"/>
      <c r="S876" s="44"/>
      <c r="T876" s="44"/>
      <c r="U876" s="44"/>
      <c r="V876" s="44"/>
    </row>
    <row r="877" spans="1:22" ht="15.75" customHeight="1" x14ac:dyDescent="0.35">
      <c r="A877" s="47"/>
      <c r="I877" s="44"/>
      <c r="J877" s="44"/>
      <c r="K877" s="44"/>
      <c r="L877" s="44"/>
      <c r="M877" s="44"/>
      <c r="N877" s="44"/>
      <c r="O877" s="44"/>
      <c r="P877" s="44"/>
      <c r="Q877" s="44"/>
      <c r="R877" s="44"/>
      <c r="S877" s="44"/>
      <c r="T877" s="44"/>
      <c r="U877" s="44"/>
      <c r="V877" s="44"/>
    </row>
    <row r="878" spans="1:22" ht="15.75" customHeight="1" x14ac:dyDescent="0.35">
      <c r="A878" s="47"/>
      <c r="I878" s="44"/>
      <c r="J878" s="44"/>
      <c r="K878" s="44"/>
      <c r="L878" s="44"/>
      <c r="M878" s="44"/>
      <c r="N878" s="44"/>
      <c r="O878" s="44"/>
      <c r="P878" s="44"/>
      <c r="Q878" s="44"/>
      <c r="R878" s="44"/>
      <c r="S878" s="44"/>
      <c r="T878" s="44"/>
      <c r="U878" s="44"/>
      <c r="V878" s="44"/>
    </row>
    <row r="879" spans="1:22" ht="15.75" customHeight="1" x14ac:dyDescent="0.35">
      <c r="A879" s="47"/>
      <c r="I879" s="44"/>
      <c r="J879" s="44"/>
      <c r="K879" s="44"/>
      <c r="L879" s="44"/>
      <c r="M879" s="44"/>
      <c r="N879" s="44"/>
      <c r="O879" s="44"/>
      <c r="P879" s="44"/>
      <c r="Q879" s="44"/>
      <c r="R879" s="44"/>
      <c r="S879" s="44"/>
      <c r="T879" s="44"/>
      <c r="U879" s="44"/>
      <c r="V879" s="44"/>
    </row>
    <row r="880" spans="1:22" ht="15.75" customHeight="1" x14ac:dyDescent="0.35">
      <c r="A880" s="47"/>
      <c r="I880" s="44"/>
      <c r="J880" s="44"/>
      <c r="K880" s="44"/>
      <c r="L880" s="44"/>
      <c r="M880" s="44"/>
      <c r="N880" s="44"/>
      <c r="O880" s="44"/>
      <c r="P880" s="44"/>
      <c r="Q880" s="44"/>
      <c r="R880" s="44"/>
      <c r="S880" s="44"/>
      <c r="T880" s="44"/>
      <c r="U880" s="44"/>
      <c r="V880" s="44"/>
    </row>
    <row r="881" spans="1:22" ht="15.75" customHeight="1" x14ac:dyDescent="0.35">
      <c r="A881" s="47"/>
      <c r="I881" s="44"/>
      <c r="J881" s="44"/>
      <c r="K881" s="44"/>
      <c r="L881" s="44"/>
      <c r="M881" s="44"/>
      <c r="N881" s="44"/>
      <c r="O881" s="44"/>
      <c r="P881" s="44"/>
      <c r="Q881" s="44"/>
      <c r="R881" s="44"/>
      <c r="S881" s="44"/>
      <c r="T881" s="44"/>
      <c r="U881" s="44"/>
      <c r="V881" s="44"/>
    </row>
    <row r="882" spans="1:22" ht="15.75" customHeight="1" x14ac:dyDescent="0.35">
      <c r="A882" s="47"/>
      <c r="I882" s="44"/>
      <c r="J882" s="44"/>
      <c r="K882" s="44"/>
      <c r="L882" s="44"/>
      <c r="M882" s="44"/>
      <c r="N882" s="44"/>
      <c r="O882" s="44"/>
      <c r="P882" s="44"/>
      <c r="Q882" s="44"/>
      <c r="R882" s="44"/>
      <c r="S882" s="44"/>
      <c r="T882" s="44"/>
      <c r="U882" s="44"/>
      <c r="V882" s="44"/>
    </row>
    <row r="883" spans="1:22" ht="15.75" customHeight="1" x14ac:dyDescent="0.35">
      <c r="A883" s="47"/>
      <c r="I883" s="44"/>
      <c r="J883" s="44"/>
      <c r="K883" s="44"/>
      <c r="L883" s="44"/>
      <c r="M883" s="44"/>
      <c r="N883" s="44"/>
      <c r="O883" s="44"/>
      <c r="P883" s="44"/>
      <c r="Q883" s="44"/>
      <c r="R883" s="44"/>
      <c r="S883" s="44"/>
      <c r="T883" s="44"/>
      <c r="U883" s="44"/>
      <c r="V883" s="44"/>
    </row>
    <row r="884" spans="1:22" ht="15.75" customHeight="1" x14ac:dyDescent="0.35">
      <c r="A884" s="47"/>
      <c r="I884" s="44"/>
      <c r="J884" s="44"/>
      <c r="K884" s="44"/>
      <c r="L884" s="44"/>
      <c r="M884" s="44"/>
      <c r="N884" s="44"/>
      <c r="O884" s="44"/>
      <c r="P884" s="44"/>
      <c r="Q884" s="44"/>
      <c r="R884" s="44"/>
      <c r="S884" s="44"/>
      <c r="T884" s="44"/>
      <c r="U884" s="44"/>
      <c r="V884" s="44"/>
    </row>
    <row r="885" spans="1:22" ht="15.75" customHeight="1" x14ac:dyDescent="0.35">
      <c r="A885" s="47"/>
      <c r="I885" s="44"/>
      <c r="J885" s="44"/>
      <c r="K885" s="44"/>
      <c r="L885" s="44"/>
      <c r="M885" s="44"/>
      <c r="N885" s="44"/>
      <c r="O885" s="44"/>
      <c r="P885" s="44"/>
      <c r="Q885" s="44"/>
      <c r="R885" s="44"/>
      <c r="S885" s="44"/>
      <c r="T885" s="44"/>
      <c r="U885" s="44"/>
      <c r="V885" s="44"/>
    </row>
    <row r="886" spans="1:22" ht="15.75" customHeight="1" x14ac:dyDescent="0.35">
      <c r="A886" s="47"/>
      <c r="I886" s="44"/>
      <c r="J886" s="44"/>
      <c r="K886" s="44"/>
      <c r="L886" s="44"/>
      <c r="M886" s="44"/>
      <c r="N886" s="44"/>
      <c r="O886" s="44"/>
      <c r="P886" s="44"/>
      <c r="Q886" s="44"/>
      <c r="R886" s="44"/>
      <c r="S886" s="44"/>
      <c r="T886" s="44"/>
      <c r="U886" s="44"/>
      <c r="V886" s="44"/>
    </row>
    <row r="887" spans="1:22" ht="15.75" customHeight="1" x14ac:dyDescent="0.35">
      <c r="A887" s="47"/>
      <c r="I887" s="44"/>
      <c r="J887" s="44"/>
      <c r="K887" s="44"/>
      <c r="L887" s="44"/>
      <c r="M887" s="44"/>
      <c r="N887" s="44"/>
      <c r="O887" s="44"/>
      <c r="P887" s="44"/>
      <c r="Q887" s="44"/>
      <c r="R887" s="44"/>
      <c r="S887" s="44"/>
      <c r="T887" s="44"/>
      <c r="U887" s="44"/>
      <c r="V887" s="44"/>
    </row>
    <row r="888" spans="1:22" ht="15.75" customHeight="1" x14ac:dyDescent="0.35">
      <c r="A888" s="47"/>
      <c r="I888" s="44"/>
      <c r="J888" s="44"/>
      <c r="K888" s="44"/>
      <c r="L888" s="44"/>
      <c r="M888" s="44"/>
      <c r="N888" s="44"/>
      <c r="O888" s="44"/>
      <c r="P888" s="44"/>
      <c r="Q888" s="44"/>
      <c r="R888" s="44"/>
      <c r="S888" s="44"/>
      <c r="T888" s="44"/>
      <c r="U888" s="44"/>
      <c r="V888" s="44"/>
    </row>
    <row r="889" spans="1:22" ht="15.75" customHeight="1" x14ac:dyDescent="0.35">
      <c r="A889" s="47"/>
      <c r="I889" s="44"/>
      <c r="J889" s="44"/>
      <c r="K889" s="44"/>
      <c r="L889" s="44"/>
      <c r="M889" s="44"/>
      <c r="N889" s="44"/>
      <c r="O889" s="44"/>
      <c r="P889" s="44"/>
      <c r="Q889" s="44"/>
      <c r="R889" s="44"/>
      <c r="S889" s="44"/>
      <c r="T889" s="44"/>
      <c r="U889" s="44"/>
      <c r="V889" s="44"/>
    </row>
    <row r="890" spans="1:22" ht="15.75" customHeight="1" x14ac:dyDescent="0.35">
      <c r="A890" s="47"/>
      <c r="I890" s="44"/>
      <c r="J890" s="44"/>
      <c r="K890" s="44"/>
      <c r="L890" s="44"/>
      <c r="M890" s="44"/>
      <c r="N890" s="44"/>
      <c r="O890" s="44"/>
      <c r="P890" s="44"/>
      <c r="Q890" s="44"/>
      <c r="R890" s="44"/>
      <c r="S890" s="44"/>
      <c r="T890" s="44"/>
      <c r="U890" s="44"/>
      <c r="V890" s="44"/>
    </row>
    <row r="891" spans="1:22" ht="15.75" customHeight="1" x14ac:dyDescent="0.35">
      <c r="A891" s="47"/>
      <c r="I891" s="44"/>
      <c r="J891" s="44"/>
      <c r="K891" s="44"/>
      <c r="L891" s="44"/>
      <c r="M891" s="44"/>
      <c r="N891" s="44"/>
      <c r="O891" s="44"/>
      <c r="P891" s="44"/>
      <c r="Q891" s="44"/>
      <c r="R891" s="44"/>
      <c r="S891" s="44"/>
      <c r="T891" s="44"/>
      <c r="U891" s="44"/>
      <c r="V891" s="44"/>
    </row>
    <row r="892" spans="1:22" ht="15.75" customHeight="1" x14ac:dyDescent="0.35">
      <c r="A892" s="47"/>
      <c r="I892" s="44"/>
      <c r="J892" s="44"/>
      <c r="K892" s="44"/>
      <c r="L892" s="44"/>
      <c r="M892" s="44"/>
      <c r="N892" s="44"/>
      <c r="O892" s="44"/>
      <c r="P892" s="44"/>
      <c r="Q892" s="44"/>
      <c r="R892" s="44"/>
      <c r="S892" s="44"/>
      <c r="T892" s="44"/>
      <c r="U892" s="44"/>
      <c r="V892" s="44"/>
    </row>
    <row r="893" spans="1:22" ht="15.75" customHeight="1" x14ac:dyDescent="0.35">
      <c r="A893" s="47"/>
      <c r="I893" s="44"/>
      <c r="J893" s="44"/>
      <c r="K893" s="44"/>
      <c r="L893" s="44"/>
      <c r="M893" s="44"/>
      <c r="N893" s="44"/>
      <c r="O893" s="44"/>
      <c r="P893" s="44"/>
      <c r="Q893" s="44"/>
      <c r="R893" s="44"/>
      <c r="S893" s="44"/>
      <c r="T893" s="44"/>
      <c r="U893" s="44"/>
      <c r="V893" s="44"/>
    </row>
    <row r="894" spans="1:22" ht="15.75" customHeight="1" x14ac:dyDescent="0.35">
      <c r="A894" s="47"/>
      <c r="I894" s="44"/>
      <c r="J894" s="44"/>
      <c r="K894" s="44"/>
      <c r="L894" s="44"/>
      <c r="M894" s="44"/>
      <c r="N894" s="44"/>
      <c r="O894" s="44"/>
      <c r="P894" s="44"/>
      <c r="Q894" s="44"/>
      <c r="R894" s="44"/>
      <c r="S894" s="44"/>
      <c r="T894" s="44"/>
      <c r="U894" s="44"/>
      <c r="V894" s="44"/>
    </row>
    <row r="895" spans="1:22" ht="15.75" customHeight="1" x14ac:dyDescent="0.35">
      <c r="A895" s="47"/>
      <c r="I895" s="44"/>
      <c r="J895" s="44"/>
      <c r="K895" s="44"/>
      <c r="L895" s="44"/>
      <c r="M895" s="44"/>
      <c r="N895" s="44"/>
      <c r="O895" s="44"/>
      <c r="P895" s="44"/>
      <c r="Q895" s="44"/>
      <c r="R895" s="44"/>
      <c r="S895" s="44"/>
      <c r="T895" s="44"/>
      <c r="U895" s="44"/>
      <c r="V895" s="44"/>
    </row>
    <row r="896" spans="1:22" ht="15.75" customHeight="1" x14ac:dyDescent="0.35">
      <c r="A896" s="47"/>
      <c r="I896" s="44"/>
      <c r="J896" s="44"/>
      <c r="K896" s="44"/>
      <c r="L896" s="44"/>
      <c r="M896" s="44"/>
      <c r="N896" s="44"/>
      <c r="O896" s="44"/>
      <c r="P896" s="44"/>
      <c r="Q896" s="44"/>
      <c r="R896" s="44"/>
      <c r="S896" s="44"/>
      <c r="T896" s="44"/>
      <c r="U896" s="44"/>
      <c r="V896" s="44"/>
    </row>
    <row r="897" spans="1:22" ht="15.75" customHeight="1" x14ac:dyDescent="0.35">
      <c r="A897" s="47"/>
      <c r="I897" s="44"/>
      <c r="J897" s="44"/>
      <c r="K897" s="44"/>
      <c r="L897" s="44"/>
      <c r="M897" s="44"/>
      <c r="N897" s="44"/>
      <c r="O897" s="44"/>
      <c r="P897" s="44"/>
      <c r="Q897" s="44"/>
      <c r="R897" s="44"/>
      <c r="S897" s="44"/>
      <c r="T897" s="44"/>
      <c r="U897" s="44"/>
      <c r="V897" s="44"/>
    </row>
    <row r="898" spans="1:22" ht="15.75" customHeight="1" x14ac:dyDescent="0.35">
      <c r="A898" s="47"/>
      <c r="I898" s="44"/>
      <c r="J898" s="44"/>
      <c r="K898" s="44"/>
      <c r="L898" s="44"/>
      <c r="M898" s="44"/>
      <c r="N898" s="44"/>
      <c r="O898" s="44"/>
      <c r="P898" s="44"/>
      <c r="Q898" s="44"/>
      <c r="R898" s="44"/>
      <c r="S898" s="44"/>
      <c r="T898" s="44"/>
      <c r="U898" s="44"/>
      <c r="V898" s="44"/>
    </row>
    <row r="899" spans="1:22" ht="15.75" customHeight="1" x14ac:dyDescent="0.35">
      <c r="A899" s="47"/>
      <c r="I899" s="44"/>
      <c r="J899" s="44"/>
      <c r="K899" s="44"/>
      <c r="L899" s="44"/>
      <c r="M899" s="44"/>
      <c r="N899" s="44"/>
      <c r="O899" s="44"/>
      <c r="P899" s="44"/>
      <c r="Q899" s="44"/>
      <c r="R899" s="44"/>
      <c r="S899" s="44"/>
      <c r="T899" s="44"/>
      <c r="U899" s="44"/>
      <c r="V899" s="44"/>
    </row>
    <row r="900" spans="1:22" ht="15.75" customHeight="1" x14ac:dyDescent="0.35">
      <c r="A900" s="47"/>
      <c r="I900" s="44"/>
      <c r="J900" s="44"/>
      <c r="K900" s="44"/>
      <c r="L900" s="44"/>
      <c r="M900" s="44"/>
      <c r="N900" s="44"/>
      <c r="O900" s="44"/>
      <c r="P900" s="44"/>
      <c r="Q900" s="44"/>
      <c r="R900" s="44"/>
      <c r="S900" s="44"/>
      <c r="T900" s="44"/>
      <c r="U900" s="44"/>
      <c r="V900" s="44"/>
    </row>
    <row r="901" spans="1:22" ht="15.75" customHeight="1" x14ac:dyDescent="0.35">
      <c r="A901" s="47"/>
      <c r="I901" s="44"/>
      <c r="J901" s="44"/>
      <c r="K901" s="44"/>
      <c r="L901" s="44"/>
      <c r="M901" s="44"/>
      <c r="N901" s="44"/>
      <c r="O901" s="44"/>
      <c r="P901" s="44"/>
      <c r="Q901" s="44"/>
      <c r="R901" s="44"/>
      <c r="S901" s="44"/>
      <c r="T901" s="44"/>
      <c r="U901" s="44"/>
      <c r="V901" s="44"/>
    </row>
    <row r="902" spans="1:22" ht="15.75" customHeight="1" x14ac:dyDescent="0.35">
      <c r="A902" s="47"/>
      <c r="I902" s="44"/>
      <c r="J902" s="44"/>
      <c r="K902" s="44"/>
      <c r="L902" s="44"/>
      <c r="M902" s="44"/>
      <c r="N902" s="44"/>
      <c r="O902" s="44"/>
      <c r="P902" s="44"/>
      <c r="Q902" s="44"/>
      <c r="R902" s="44"/>
      <c r="S902" s="44"/>
      <c r="T902" s="44"/>
      <c r="U902" s="44"/>
      <c r="V902" s="44"/>
    </row>
    <row r="903" spans="1:22" ht="15.75" customHeight="1" x14ac:dyDescent="0.35">
      <c r="A903" s="47"/>
      <c r="I903" s="44"/>
      <c r="J903" s="44"/>
      <c r="K903" s="44"/>
      <c r="L903" s="44"/>
      <c r="M903" s="44"/>
      <c r="N903" s="44"/>
      <c r="O903" s="44"/>
      <c r="P903" s="44"/>
      <c r="Q903" s="44"/>
      <c r="R903" s="44"/>
      <c r="S903" s="44"/>
      <c r="T903" s="44"/>
      <c r="U903" s="44"/>
      <c r="V903" s="44"/>
    </row>
    <row r="904" spans="1:22" ht="15.75" customHeight="1" x14ac:dyDescent="0.35">
      <c r="A904" s="47"/>
      <c r="I904" s="44"/>
      <c r="J904" s="44"/>
      <c r="K904" s="44"/>
      <c r="L904" s="44"/>
      <c r="M904" s="44"/>
      <c r="N904" s="44"/>
      <c r="O904" s="44"/>
      <c r="P904" s="44"/>
      <c r="Q904" s="44"/>
      <c r="R904" s="44"/>
      <c r="S904" s="44"/>
      <c r="T904" s="44"/>
      <c r="U904" s="44"/>
      <c r="V904" s="44"/>
    </row>
    <row r="905" spans="1:22" ht="15.75" customHeight="1" x14ac:dyDescent="0.35">
      <c r="A905" s="47"/>
      <c r="I905" s="44"/>
      <c r="J905" s="44"/>
      <c r="K905" s="44"/>
      <c r="L905" s="44"/>
      <c r="M905" s="44"/>
      <c r="N905" s="44"/>
      <c r="O905" s="44"/>
      <c r="P905" s="44"/>
      <c r="Q905" s="44"/>
      <c r="R905" s="44"/>
      <c r="S905" s="44"/>
      <c r="T905" s="44"/>
      <c r="U905" s="44"/>
      <c r="V905" s="44"/>
    </row>
    <row r="906" spans="1:22" ht="15.75" customHeight="1" x14ac:dyDescent="0.35">
      <c r="A906" s="47"/>
      <c r="I906" s="44"/>
      <c r="J906" s="44"/>
      <c r="K906" s="44"/>
      <c r="L906" s="44"/>
      <c r="M906" s="44"/>
      <c r="N906" s="44"/>
      <c r="O906" s="44"/>
      <c r="P906" s="44"/>
      <c r="Q906" s="44"/>
      <c r="R906" s="44"/>
      <c r="S906" s="44"/>
      <c r="T906" s="44"/>
      <c r="U906" s="44"/>
      <c r="V906" s="44"/>
    </row>
    <row r="907" spans="1:22" ht="15.75" customHeight="1" x14ac:dyDescent="0.35">
      <c r="A907" s="47"/>
      <c r="I907" s="44"/>
      <c r="J907" s="44"/>
      <c r="K907" s="44"/>
      <c r="L907" s="44"/>
      <c r="M907" s="44"/>
      <c r="N907" s="44"/>
      <c r="O907" s="44"/>
      <c r="P907" s="44"/>
      <c r="Q907" s="44"/>
      <c r="R907" s="44"/>
      <c r="S907" s="44"/>
      <c r="T907" s="44"/>
      <c r="U907" s="44"/>
      <c r="V907" s="44"/>
    </row>
    <row r="908" spans="1:22" ht="15.75" customHeight="1" x14ac:dyDescent="0.35">
      <c r="A908" s="47"/>
      <c r="I908" s="44"/>
      <c r="J908" s="44"/>
      <c r="K908" s="44"/>
      <c r="L908" s="44"/>
      <c r="M908" s="44"/>
      <c r="N908" s="44"/>
      <c r="O908" s="44"/>
      <c r="P908" s="44"/>
      <c r="Q908" s="44"/>
      <c r="R908" s="44"/>
      <c r="S908" s="44"/>
      <c r="T908" s="44"/>
      <c r="U908" s="44"/>
      <c r="V908" s="44"/>
    </row>
    <row r="909" spans="1:22" ht="15.75" customHeight="1" x14ac:dyDescent="0.35">
      <c r="A909" s="47"/>
      <c r="I909" s="44"/>
      <c r="J909" s="44"/>
      <c r="K909" s="44"/>
      <c r="L909" s="44"/>
      <c r="M909" s="44"/>
      <c r="N909" s="44"/>
      <c r="O909" s="44"/>
      <c r="P909" s="44"/>
      <c r="Q909" s="44"/>
      <c r="R909" s="44"/>
      <c r="S909" s="44"/>
      <c r="T909" s="44"/>
      <c r="U909" s="44"/>
      <c r="V909" s="44"/>
    </row>
    <row r="910" spans="1:22" ht="15.75" customHeight="1" x14ac:dyDescent="0.35">
      <c r="A910" s="47"/>
      <c r="I910" s="44"/>
      <c r="J910" s="44"/>
      <c r="K910" s="44"/>
      <c r="L910" s="44"/>
      <c r="M910" s="44"/>
      <c r="N910" s="44"/>
      <c r="O910" s="44"/>
      <c r="P910" s="44"/>
      <c r="Q910" s="44"/>
      <c r="R910" s="44"/>
      <c r="S910" s="44"/>
      <c r="T910" s="44"/>
      <c r="U910" s="44"/>
      <c r="V910" s="44"/>
    </row>
    <row r="911" spans="1:22" ht="15.75" customHeight="1" x14ac:dyDescent="0.35">
      <c r="A911" s="47"/>
      <c r="I911" s="44"/>
      <c r="J911" s="44"/>
      <c r="K911" s="44"/>
      <c r="L911" s="44"/>
      <c r="M911" s="44"/>
      <c r="N911" s="44"/>
      <c r="O911" s="44"/>
      <c r="P911" s="44"/>
      <c r="Q911" s="44"/>
      <c r="R911" s="44"/>
      <c r="S911" s="44"/>
      <c r="T911" s="44"/>
      <c r="U911" s="44"/>
      <c r="V911" s="44"/>
    </row>
    <row r="912" spans="1:22" ht="15.75" customHeight="1" x14ac:dyDescent="0.35">
      <c r="A912" s="47"/>
      <c r="I912" s="44"/>
      <c r="J912" s="44"/>
      <c r="K912" s="44"/>
      <c r="L912" s="44"/>
      <c r="M912" s="44"/>
      <c r="N912" s="44"/>
      <c r="O912" s="44"/>
      <c r="P912" s="44"/>
      <c r="Q912" s="44"/>
      <c r="R912" s="44"/>
      <c r="S912" s="44"/>
      <c r="T912" s="44"/>
      <c r="U912" s="44"/>
      <c r="V912" s="44"/>
    </row>
    <row r="913" spans="1:22" ht="15.75" customHeight="1" x14ac:dyDescent="0.35">
      <c r="A913" s="47"/>
      <c r="I913" s="44"/>
      <c r="J913" s="44"/>
      <c r="K913" s="44"/>
      <c r="L913" s="44"/>
      <c r="M913" s="44"/>
      <c r="N913" s="44"/>
      <c r="O913" s="44"/>
      <c r="P913" s="44"/>
      <c r="Q913" s="44"/>
      <c r="R913" s="44"/>
      <c r="S913" s="44"/>
      <c r="T913" s="44"/>
      <c r="U913" s="44"/>
      <c r="V913" s="44"/>
    </row>
    <row r="914" spans="1:22" ht="15.75" customHeight="1" x14ac:dyDescent="0.35">
      <c r="A914" s="47"/>
      <c r="I914" s="44"/>
      <c r="J914" s="44"/>
      <c r="K914" s="44"/>
      <c r="L914" s="44"/>
      <c r="M914" s="44"/>
      <c r="N914" s="44"/>
      <c r="O914" s="44"/>
      <c r="P914" s="44"/>
      <c r="Q914" s="44"/>
      <c r="R914" s="44"/>
      <c r="S914" s="44"/>
      <c r="T914" s="44"/>
      <c r="U914" s="44"/>
      <c r="V914" s="44"/>
    </row>
    <row r="915" spans="1:22" ht="15.75" customHeight="1" x14ac:dyDescent="0.35">
      <c r="A915" s="47"/>
      <c r="I915" s="44"/>
      <c r="J915" s="44"/>
      <c r="K915" s="44"/>
      <c r="L915" s="44"/>
      <c r="M915" s="44"/>
      <c r="N915" s="44"/>
      <c r="O915" s="44"/>
      <c r="P915" s="44"/>
      <c r="Q915" s="44"/>
      <c r="R915" s="44"/>
      <c r="S915" s="44"/>
      <c r="T915" s="44"/>
      <c r="U915" s="44"/>
      <c r="V915" s="44"/>
    </row>
    <row r="916" spans="1:22" ht="15.75" customHeight="1" x14ac:dyDescent="0.35">
      <c r="A916" s="47"/>
      <c r="I916" s="44"/>
      <c r="J916" s="44"/>
      <c r="K916" s="44"/>
      <c r="L916" s="44"/>
      <c r="M916" s="44"/>
      <c r="N916" s="44"/>
      <c r="O916" s="44"/>
      <c r="P916" s="44"/>
      <c r="Q916" s="44"/>
      <c r="R916" s="44"/>
      <c r="S916" s="44"/>
      <c r="T916" s="44"/>
      <c r="U916" s="44"/>
      <c r="V916" s="44"/>
    </row>
    <row r="917" spans="1:22" ht="15.75" customHeight="1" x14ac:dyDescent="0.35">
      <c r="A917" s="47"/>
      <c r="I917" s="44"/>
      <c r="J917" s="44"/>
      <c r="K917" s="44"/>
      <c r="L917" s="44"/>
      <c r="M917" s="44"/>
      <c r="N917" s="44"/>
      <c r="O917" s="44"/>
      <c r="P917" s="44"/>
      <c r="Q917" s="44"/>
      <c r="R917" s="44"/>
      <c r="S917" s="44"/>
      <c r="T917" s="44"/>
      <c r="U917" s="44"/>
      <c r="V917" s="44"/>
    </row>
    <row r="918" spans="1:22" ht="15.75" customHeight="1" x14ac:dyDescent="0.35">
      <c r="A918" s="47"/>
      <c r="I918" s="44"/>
      <c r="J918" s="44"/>
      <c r="K918" s="44"/>
      <c r="L918" s="44"/>
      <c r="M918" s="44"/>
      <c r="N918" s="44"/>
      <c r="O918" s="44"/>
      <c r="P918" s="44"/>
      <c r="Q918" s="44"/>
      <c r="R918" s="44"/>
      <c r="S918" s="44"/>
      <c r="T918" s="44"/>
      <c r="U918" s="44"/>
      <c r="V918" s="44"/>
    </row>
    <row r="919" spans="1:22" ht="15.75" customHeight="1" x14ac:dyDescent="0.35">
      <c r="A919" s="47"/>
      <c r="I919" s="44"/>
      <c r="J919" s="44"/>
      <c r="K919" s="44"/>
      <c r="L919" s="44"/>
      <c r="M919" s="44"/>
      <c r="N919" s="44"/>
      <c r="O919" s="44"/>
      <c r="P919" s="44"/>
      <c r="Q919" s="44"/>
      <c r="R919" s="44"/>
      <c r="S919" s="44"/>
      <c r="T919" s="44"/>
      <c r="U919" s="44"/>
      <c r="V919" s="44"/>
    </row>
    <row r="920" spans="1:22" ht="15.75" customHeight="1" x14ac:dyDescent="0.35">
      <c r="A920" s="47"/>
      <c r="I920" s="44"/>
      <c r="J920" s="44"/>
      <c r="K920" s="44"/>
      <c r="L920" s="44"/>
      <c r="M920" s="44"/>
      <c r="N920" s="44"/>
      <c r="O920" s="44"/>
      <c r="P920" s="44"/>
      <c r="Q920" s="44"/>
      <c r="R920" s="44"/>
      <c r="S920" s="44"/>
      <c r="T920" s="44"/>
      <c r="U920" s="44"/>
      <c r="V920" s="44"/>
    </row>
    <row r="921" spans="1:22" ht="15.75" customHeight="1" x14ac:dyDescent="0.35">
      <c r="A921" s="47"/>
      <c r="I921" s="44"/>
      <c r="J921" s="44"/>
      <c r="K921" s="44"/>
      <c r="L921" s="44"/>
      <c r="M921" s="44"/>
      <c r="N921" s="44"/>
      <c r="O921" s="44"/>
      <c r="P921" s="44"/>
      <c r="Q921" s="44"/>
      <c r="R921" s="44"/>
      <c r="S921" s="44"/>
      <c r="T921" s="44"/>
      <c r="U921" s="44"/>
      <c r="V921" s="44"/>
    </row>
    <row r="922" spans="1:22" ht="15.75" customHeight="1" x14ac:dyDescent="0.35">
      <c r="A922" s="47"/>
      <c r="I922" s="44"/>
      <c r="J922" s="44"/>
      <c r="K922" s="44"/>
      <c r="L922" s="44"/>
      <c r="M922" s="44"/>
      <c r="N922" s="44"/>
      <c r="O922" s="44"/>
      <c r="P922" s="44"/>
      <c r="Q922" s="44"/>
      <c r="R922" s="44"/>
      <c r="S922" s="44"/>
      <c r="T922" s="44"/>
      <c r="U922" s="44"/>
      <c r="V922" s="44"/>
    </row>
    <row r="923" spans="1:22" ht="15.75" customHeight="1" x14ac:dyDescent="0.35">
      <c r="A923" s="47"/>
      <c r="I923" s="44"/>
      <c r="J923" s="44"/>
      <c r="K923" s="44"/>
      <c r="L923" s="44"/>
      <c r="M923" s="44"/>
      <c r="N923" s="44"/>
      <c r="O923" s="44"/>
      <c r="P923" s="44"/>
      <c r="Q923" s="44"/>
      <c r="R923" s="44"/>
      <c r="S923" s="44"/>
      <c r="T923" s="44"/>
      <c r="U923" s="44"/>
      <c r="V923" s="44"/>
    </row>
    <row r="924" spans="1:22" ht="15.75" customHeight="1" x14ac:dyDescent="0.35">
      <c r="A924" s="47"/>
      <c r="I924" s="44"/>
      <c r="J924" s="44"/>
      <c r="K924" s="44"/>
      <c r="L924" s="44"/>
      <c r="M924" s="44"/>
      <c r="N924" s="44"/>
      <c r="O924" s="44"/>
      <c r="P924" s="44"/>
      <c r="Q924" s="44"/>
      <c r="R924" s="44"/>
      <c r="S924" s="44"/>
      <c r="T924" s="44"/>
      <c r="U924" s="44"/>
      <c r="V924" s="44"/>
    </row>
    <row r="925" spans="1:22" ht="15.75" customHeight="1" x14ac:dyDescent="0.35">
      <c r="A925" s="47"/>
      <c r="I925" s="44"/>
      <c r="J925" s="44"/>
      <c r="K925" s="44"/>
      <c r="L925" s="44"/>
      <c r="M925" s="44"/>
      <c r="N925" s="44"/>
      <c r="O925" s="44"/>
      <c r="P925" s="44"/>
      <c r="Q925" s="44"/>
      <c r="R925" s="44"/>
      <c r="S925" s="44"/>
      <c r="T925" s="44"/>
      <c r="U925" s="44"/>
      <c r="V925" s="44"/>
    </row>
    <row r="926" spans="1:22" ht="15.75" customHeight="1" x14ac:dyDescent="0.35">
      <c r="A926" s="47"/>
      <c r="I926" s="44"/>
      <c r="J926" s="44"/>
      <c r="K926" s="44"/>
      <c r="L926" s="44"/>
      <c r="M926" s="44"/>
      <c r="N926" s="44"/>
      <c r="O926" s="44"/>
      <c r="P926" s="44"/>
      <c r="Q926" s="44"/>
      <c r="R926" s="44"/>
      <c r="S926" s="44"/>
      <c r="T926" s="44"/>
      <c r="U926" s="44"/>
      <c r="V926" s="44"/>
    </row>
    <row r="927" spans="1:22" ht="15.75" customHeight="1" x14ac:dyDescent="0.35">
      <c r="A927" s="47"/>
      <c r="I927" s="44"/>
      <c r="J927" s="44"/>
      <c r="K927" s="44"/>
      <c r="L927" s="44"/>
      <c r="M927" s="44"/>
      <c r="N927" s="44"/>
      <c r="O927" s="44"/>
      <c r="P927" s="44"/>
      <c r="Q927" s="44"/>
      <c r="R927" s="44"/>
      <c r="S927" s="44"/>
      <c r="T927" s="44"/>
      <c r="U927" s="44"/>
      <c r="V927" s="44"/>
    </row>
    <row r="928" spans="1:22" ht="15.75" customHeight="1" x14ac:dyDescent="0.35">
      <c r="A928" s="47"/>
      <c r="I928" s="44"/>
      <c r="J928" s="44"/>
      <c r="K928" s="44"/>
      <c r="L928" s="44"/>
      <c r="M928" s="44"/>
      <c r="N928" s="44"/>
      <c r="O928" s="44"/>
      <c r="P928" s="44"/>
      <c r="Q928" s="44"/>
      <c r="R928" s="44"/>
      <c r="S928" s="44"/>
      <c r="T928" s="44"/>
      <c r="U928" s="44"/>
      <c r="V928" s="44"/>
    </row>
    <row r="929" spans="1:22" ht="15.75" customHeight="1" x14ac:dyDescent="0.35">
      <c r="A929" s="47"/>
      <c r="I929" s="44"/>
      <c r="J929" s="44"/>
      <c r="K929" s="44"/>
      <c r="L929" s="44"/>
      <c r="M929" s="44"/>
      <c r="N929" s="44"/>
      <c r="O929" s="44"/>
      <c r="P929" s="44"/>
      <c r="Q929" s="44"/>
      <c r="R929" s="44"/>
      <c r="S929" s="44"/>
      <c r="T929" s="44"/>
      <c r="U929" s="44"/>
      <c r="V929" s="44"/>
    </row>
    <row r="930" spans="1:22" ht="15.75" customHeight="1" x14ac:dyDescent="0.35">
      <c r="A930" s="47"/>
      <c r="I930" s="44"/>
      <c r="J930" s="44"/>
      <c r="K930" s="44"/>
      <c r="L930" s="44"/>
      <c r="M930" s="44"/>
      <c r="N930" s="44"/>
      <c r="O930" s="44"/>
      <c r="P930" s="44"/>
      <c r="Q930" s="44"/>
      <c r="R930" s="44"/>
      <c r="S930" s="44"/>
      <c r="T930" s="44"/>
      <c r="U930" s="44"/>
      <c r="V930" s="44"/>
    </row>
    <row r="931" spans="1:22" ht="15.75" customHeight="1" x14ac:dyDescent="0.35">
      <c r="A931" s="47"/>
      <c r="I931" s="44"/>
      <c r="J931" s="44"/>
      <c r="K931" s="44"/>
      <c r="L931" s="44"/>
      <c r="M931" s="44"/>
      <c r="N931" s="44"/>
      <c r="O931" s="44"/>
      <c r="P931" s="44"/>
      <c r="Q931" s="44"/>
      <c r="R931" s="44"/>
      <c r="S931" s="44"/>
      <c r="T931" s="44"/>
      <c r="U931" s="44"/>
      <c r="V931" s="44"/>
    </row>
    <row r="932" spans="1:22" ht="15.75" customHeight="1" x14ac:dyDescent="0.35">
      <c r="A932" s="47"/>
      <c r="I932" s="44"/>
      <c r="J932" s="44"/>
      <c r="K932" s="44"/>
      <c r="L932" s="44"/>
      <c r="M932" s="44"/>
      <c r="N932" s="44"/>
      <c r="O932" s="44"/>
      <c r="P932" s="44"/>
      <c r="Q932" s="44"/>
      <c r="R932" s="44"/>
      <c r="S932" s="44"/>
      <c r="T932" s="44"/>
      <c r="U932" s="44"/>
      <c r="V932" s="44"/>
    </row>
    <row r="933" spans="1:22" ht="15.75" customHeight="1" x14ac:dyDescent="0.35">
      <c r="A933" s="47"/>
      <c r="I933" s="44"/>
      <c r="J933" s="44"/>
      <c r="K933" s="44"/>
      <c r="L933" s="44"/>
      <c r="M933" s="44"/>
      <c r="N933" s="44"/>
      <c r="O933" s="44"/>
      <c r="P933" s="44"/>
      <c r="Q933" s="44"/>
      <c r="R933" s="44"/>
      <c r="S933" s="44"/>
      <c r="T933" s="44"/>
      <c r="U933" s="44"/>
      <c r="V933" s="44"/>
    </row>
    <row r="934" spans="1:22" ht="15.75" customHeight="1" x14ac:dyDescent="0.35">
      <c r="A934" s="47"/>
      <c r="I934" s="44"/>
      <c r="J934" s="44"/>
      <c r="K934" s="44"/>
      <c r="L934" s="44"/>
      <c r="M934" s="44"/>
      <c r="N934" s="44"/>
      <c r="O934" s="44"/>
      <c r="P934" s="44"/>
      <c r="Q934" s="44"/>
      <c r="R934" s="44"/>
      <c r="S934" s="44"/>
      <c r="T934" s="44"/>
      <c r="U934" s="44"/>
      <c r="V934" s="44"/>
    </row>
    <row r="935" spans="1:22" ht="15.75" customHeight="1" x14ac:dyDescent="0.35">
      <c r="A935" s="47"/>
      <c r="I935" s="44"/>
      <c r="J935" s="44"/>
      <c r="K935" s="44"/>
      <c r="L935" s="44"/>
      <c r="M935" s="44"/>
      <c r="N935" s="44"/>
      <c r="O935" s="44"/>
      <c r="P935" s="44"/>
      <c r="Q935" s="44"/>
      <c r="R935" s="44"/>
      <c r="S935" s="44"/>
      <c r="T935" s="44"/>
      <c r="U935" s="44"/>
      <c r="V935" s="44"/>
    </row>
    <row r="936" spans="1:22" ht="15.75" customHeight="1" x14ac:dyDescent="0.35">
      <c r="A936" s="47"/>
      <c r="I936" s="44"/>
      <c r="J936" s="44"/>
      <c r="K936" s="44"/>
      <c r="L936" s="44"/>
      <c r="M936" s="44"/>
      <c r="N936" s="44"/>
      <c r="O936" s="44"/>
      <c r="P936" s="44"/>
      <c r="Q936" s="44"/>
      <c r="R936" s="44"/>
      <c r="S936" s="44"/>
      <c r="T936" s="44"/>
      <c r="U936" s="44"/>
      <c r="V936" s="44"/>
    </row>
    <row r="937" spans="1:22" ht="15.75" customHeight="1" x14ac:dyDescent="0.35">
      <c r="A937" s="47"/>
      <c r="I937" s="44"/>
      <c r="J937" s="44"/>
      <c r="K937" s="44"/>
      <c r="L937" s="44"/>
      <c r="M937" s="44"/>
      <c r="N937" s="44"/>
      <c r="O937" s="44"/>
      <c r="P937" s="44"/>
      <c r="Q937" s="44"/>
      <c r="R937" s="44"/>
      <c r="S937" s="44"/>
      <c r="T937" s="44"/>
      <c r="U937" s="44"/>
      <c r="V937" s="44"/>
    </row>
    <row r="938" spans="1:22" ht="15.75" customHeight="1" x14ac:dyDescent="0.35">
      <c r="A938" s="47"/>
      <c r="I938" s="44"/>
      <c r="J938" s="44"/>
      <c r="K938" s="44"/>
      <c r="L938" s="44"/>
      <c r="M938" s="44"/>
      <c r="N938" s="44"/>
      <c r="O938" s="44"/>
      <c r="P938" s="44"/>
      <c r="Q938" s="44"/>
      <c r="R938" s="44"/>
      <c r="S938" s="44"/>
      <c r="T938" s="44"/>
      <c r="U938" s="44"/>
      <c r="V938" s="44"/>
    </row>
    <row r="939" spans="1:22" ht="15.75" customHeight="1" x14ac:dyDescent="0.35">
      <c r="A939" s="47"/>
      <c r="I939" s="44"/>
      <c r="J939" s="44"/>
      <c r="K939" s="44"/>
      <c r="L939" s="44"/>
      <c r="M939" s="44"/>
      <c r="N939" s="44"/>
      <c r="O939" s="44"/>
      <c r="P939" s="44"/>
      <c r="Q939" s="44"/>
      <c r="R939" s="44"/>
      <c r="S939" s="44"/>
      <c r="T939" s="44"/>
      <c r="U939" s="44"/>
      <c r="V939" s="44"/>
    </row>
    <row r="940" spans="1:22" ht="15.75" customHeight="1" x14ac:dyDescent="0.35">
      <c r="A940" s="47"/>
      <c r="I940" s="44"/>
      <c r="J940" s="44"/>
      <c r="K940" s="44"/>
      <c r="L940" s="44"/>
      <c r="M940" s="44"/>
      <c r="N940" s="44"/>
      <c r="O940" s="44"/>
      <c r="P940" s="44"/>
      <c r="Q940" s="44"/>
      <c r="R940" s="44"/>
      <c r="S940" s="44"/>
      <c r="T940" s="44"/>
      <c r="U940" s="44"/>
      <c r="V940" s="44"/>
    </row>
    <row r="941" spans="1:22" ht="15.75" customHeight="1" x14ac:dyDescent="0.35">
      <c r="A941" s="47"/>
      <c r="I941" s="44"/>
      <c r="J941" s="44"/>
      <c r="K941" s="44"/>
      <c r="L941" s="44"/>
      <c r="M941" s="44"/>
      <c r="N941" s="44"/>
      <c r="O941" s="44"/>
      <c r="P941" s="44"/>
      <c r="Q941" s="44"/>
      <c r="R941" s="44"/>
      <c r="S941" s="44"/>
      <c r="T941" s="44"/>
      <c r="U941" s="44"/>
      <c r="V941" s="44"/>
    </row>
    <row r="942" spans="1:22" ht="15.75" customHeight="1" x14ac:dyDescent="0.35">
      <c r="A942" s="47"/>
      <c r="I942" s="44"/>
      <c r="J942" s="44"/>
      <c r="K942" s="44"/>
      <c r="L942" s="44"/>
      <c r="M942" s="44"/>
      <c r="N942" s="44"/>
      <c r="O942" s="44"/>
      <c r="P942" s="44"/>
      <c r="Q942" s="44"/>
      <c r="R942" s="44"/>
      <c r="S942" s="44"/>
      <c r="T942" s="44"/>
      <c r="U942" s="44"/>
      <c r="V942" s="44"/>
    </row>
    <row r="943" spans="1:22" ht="15.75" customHeight="1" x14ac:dyDescent="0.35">
      <c r="A943" s="47"/>
      <c r="I943" s="44"/>
      <c r="J943" s="44"/>
      <c r="K943" s="44"/>
      <c r="L943" s="44"/>
      <c r="M943" s="44"/>
      <c r="N943" s="44"/>
      <c r="O943" s="44"/>
      <c r="P943" s="44"/>
      <c r="Q943" s="44"/>
      <c r="R943" s="44"/>
      <c r="S943" s="44"/>
      <c r="T943" s="44"/>
      <c r="U943" s="44"/>
      <c r="V943" s="44"/>
    </row>
    <row r="944" spans="1:22" ht="15.75" customHeight="1" x14ac:dyDescent="0.35">
      <c r="A944" s="47"/>
      <c r="I944" s="44"/>
      <c r="J944" s="44"/>
      <c r="K944" s="44"/>
      <c r="L944" s="44"/>
      <c r="M944" s="44"/>
      <c r="N944" s="44"/>
      <c r="O944" s="44"/>
      <c r="P944" s="44"/>
      <c r="Q944" s="44"/>
      <c r="R944" s="44"/>
      <c r="S944" s="44"/>
      <c r="T944" s="44"/>
      <c r="U944" s="44"/>
      <c r="V944" s="44"/>
    </row>
    <row r="945" spans="1:22" ht="15.75" customHeight="1" x14ac:dyDescent="0.35">
      <c r="A945" s="47"/>
      <c r="I945" s="44"/>
      <c r="J945" s="44"/>
      <c r="K945" s="44"/>
      <c r="L945" s="44"/>
      <c r="M945" s="44"/>
      <c r="N945" s="44"/>
      <c r="O945" s="44"/>
      <c r="P945" s="44"/>
      <c r="Q945" s="44"/>
      <c r="R945" s="44"/>
      <c r="S945" s="44"/>
      <c r="T945" s="44"/>
      <c r="U945" s="44"/>
      <c r="V945" s="44"/>
    </row>
    <row r="946" spans="1:22" ht="15.75" customHeight="1" x14ac:dyDescent="0.35">
      <c r="A946" s="47"/>
      <c r="I946" s="44"/>
      <c r="J946" s="44"/>
      <c r="K946" s="44"/>
      <c r="L946" s="44"/>
      <c r="M946" s="44"/>
      <c r="N946" s="44"/>
      <c r="O946" s="44"/>
      <c r="P946" s="44"/>
      <c r="Q946" s="44"/>
      <c r="R946" s="44"/>
      <c r="S946" s="44"/>
      <c r="T946" s="44"/>
      <c r="U946" s="44"/>
      <c r="V946" s="44"/>
    </row>
    <row r="947" spans="1:22" ht="15.75" customHeight="1" x14ac:dyDescent="0.35">
      <c r="A947" s="47"/>
      <c r="I947" s="44"/>
      <c r="J947" s="44"/>
      <c r="K947" s="44"/>
      <c r="L947" s="44"/>
      <c r="M947" s="44"/>
      <c r="N947" s="44"/>
      <c r="O947" s="44"/>
      <c r="P947" s="44"/>
      <c r="Q947" s="44"/>
      <c r="R947" s="44"/>
      <c r="S947" s="44"/>
      <c r="T947" s="44"/>
      <c r="U947" s="44"/>
      <c r="V947" s="44"/>
    </row>
    <row r="948" spans="1:22" ht="15.75" customHeight="1" x14ac:dyDescent="0.35">
      <c r="A948" s="47"/>
      <c r="I948" s="44"/>
      <c r="J948" s="44"/>
      <c r="K948" s="44"/>
      <c r="L948" s="44"/>
      <c r="M948" s="44"/>
      <c r="N948" s="44"/>
      <c r="O948" s="44"/>
      <c r="P948" s="44"/>
      <c r="Q948" s="44"/>
      <c r="R948" s="44"/>
      <c r="S948" s="44"/>
      <c r="T948" s="44"/>
      <c r="U948" s="44"/>
      <c r="V948" s="44"/>
    </row>
    <row r="949" spans="1:22" ht="15.75" customHeight="1" x14ac:dyDescent="0.35">
      <c r="A949" s="47"/>
      <c r="I949" s="44"/>
      <c r="J949" s="44"/>
      <c r="K949" s="44"/>
      <c r="L949" s="44"/>
      <c r="M949" s="44"/>
      <c r="N949" s="44"/>
      <c r="O949" s="44"/>
      <c r="P949" s="44"/>
      <c r="Q949" s="44"/>
      <c r="R949" s="44"/>
      <c r="S949" s="44"/>
      <c r="T949" s="44"/>
      <c r="U949" s="44"/>
      <c r="V949" s="44"/>
    </row>
    <row r="950" spans="1:22" ht="15.75" customHeight="1" x14ac:dyDescent="0.35">
      <c r="A950" s="47"/>
      <c r="I950" s="44"/>
      <c r="J950" s="44"/>
      <c r="K950" s="44"/>
      <c r="L950" s="44"/>
      <c r="M950" s="44"/>
      <c r="N950" s="44"/>
      <c r="O950" s="44"/>
      <c r="P950" s="44"/>
      <c r="Q950" s="44"/>
      <c r="R950" s="44"/>
      <c r="S950" s="44"/>
      <c r="T950" s="44"/>
      <c r="U950" s="44"/>
      <c r="V950" s="44"/>
    </row>
    <row r="951" spans="1:22" ht="15.75" customHeight="1" x14ac:dyDescent="0.35">
      <c r="A951" s="47"/>
      <c r="I951" s="44"/>
      <c r="J951" s="44"/>
      <c r="K951" s="44"/>
      <c r="L951" s="44"/>
      <c r="M951" s="44"/>
      <c r="N951" s="44"/>
      <c r="O951" s="44"/>
      <c r="P951" s="44"/>
      <c r="Q951" s="44"/>
      <c r="R951" s="44"/>
      <c r="S951" s="44"/>
      <c r="T951" s="44"/>
      <c r="U951" s="44"/>
      <c r="V951" s="44"/>
    </row>
    <row r="952" spans="1:22" ht="15.75" customHeight="1" x14ac:dyDescent="0.35">
      <c r="A952" s="47"/>
      <c r="I952" s="44"/>
      <c r="J952" s="44"/>
      <c r="K952" s="44"/>
      <c r="L952" s="44"/>
      <c r="M952" s="44"/>
      <c r="N952" s="44"/>
      <c r="O952" s="44"/>
      <c r="P952" s="44"/>
      <c r="Q952" s="44"/>
      <c r="R952" s="44"/>
      <c r="S952" s="44"/>
      <c r="T952" s="44"/>
      <c r="U952" s="44"/>
      <c r="V952" s="44"/>
    </row>
    <row r="953" spans="1:22" ht="15.75" customHeight="1" x14ac:dyDescent="0.35">
      <c r="A953" s="47"/>
      <c r="I953" s="44"/>
      <c r="J953" s="44"/>
      <c r="K953" s="44"/>
      <c r="L953" s="44"/>
      <c r="M953" s="44"/>
      <c r="N953" s="44"/>
      <c r="O953" s="44"/>
      <c r="P953" s="44"/>
      <c r="Q953" s="44"/>
      <c r="R953" s="44"/>
      <c r="S953" s="44"/>
      <c r="T953" s="44"/>
      <c r="U953" s="44"/>
      <c r="V953" s="44"/>
    </row>
    <row r="954" spans="1:22" ht="15.75" customHeight="1" x14ac:dyDescent="0.35">
      <c r="A954" s="47"/>
      <c r="I954" s="44"/>
      <c r="J954" s="44"/>
      <c r="K954" s="44"/>
      <c r="L954" s="44"/>
      <c r="M954" s="44"/>
      <c r="N954" s="44"/>
      <c r="O954" s="44"/>
      <c r="P954" s="44"/>
      <c r="Q954" s="44"/>
      <c r="R954" s="44"/>
      <c r="S954" s="44"/>
      <c r="T954" s="44"/>
      <c r="U954" s="44"/>
      <c r="V954" s="44"/>
    </row>
    <row r="955" spans="1:22" ht="15.75" customHeight="1" x14ac:dyDescent="0.35">
      <c r="A955" s="47"/>
      <c r="I955" s="44"/>
      <c r="J955" s="44"/>
      <c r="K955" s="44"/>
      <c r="L955" s="44"/>
      <c r="M955" s="44"/>
      <c r="N955" s="44"/>
      <c r="O955" s="44"/>
      <c r="P955" s="44"/>
      <c r="Q955" s="44"/>
      <c r="R955" s="44"/>
      <c r="S955" s="44"/>
      <c r="T955" s="44"/>
      <c r="U955" s="44"/>
      <c r="V955" s="44"/>
    </row>
    <row r="956" spans="1:22" ht="15.75" customHeight="1" x14ac:dyDescent="0.35">
      <c r="A956" s="47"/>
      <c r="I956" s="44"/>
      <c r="J956" s="44"/>
      <c r="K956" s="44"/>
      <c r="L956" s="44"/>
      <c r="M956" s="44"/>
      <c r="N956" s="44"/>
      <c r="O956" s="44"/>
      <c r="P956" s="44"/>
      <c r="Q956" s="44"/>
      <c r="R956" s="44"/>
      <c r="S956" s="44"/>
      <c r="T956" s="44"/>
      <c r="U956" s="44"/>
      <c r="V956" s="44"/>
    </row>
    <row r="957" spans="1:22" ht="15.75" customHeight="1" x14ac:dyDescent="0.35">
      <c r="A957" s="47"/>
      <c r="I957" s="44"/>
      <c r="J957" s="44"/>
      <c r="K957" s="44"/>
      <c r="L957" s="44"/>
      <c r="M957" s="44"/>
      <c r="N957" s="44"/>
      <c r="O957" s="44"/>
      <c r="P957" s="44"/>
      <c r="Q957" s="44"/>
      <c r="R957" s="44"/>
      <c r="S957" s="44"/>
      <c r="T957" s="44"/>
      <c r="U957" s="44"/>
      <c r="V957" s="44"/>
    </row>
    <row r="958" spans="1:22" ht="15.75" customHeight="1" x14ac:dyDescent="0.35">
      <c r="A958" s="47"/>
      <c r="I958" s="44"/>
      <c r="J958" s="44"/>
      <c r="K958" s="44"/>
      <c r="L958" s="44"/>
      <c r="M958" s="44"/>
      <c r="N958" s="44"/>
      <c r="O958" s="44"/>
      <c r="P958" s="44"/>
      <c r="Q958" s="44"/>
      <c r="R958" s="44"/>
      <c r="S958" s="44"/>
      <c r="T958" s="44"/>
      <c r="U958" s="44"/>
      <c r="V958" s="44"/>
    </row>
    <row r="959" spans="1:22" ht="15.75" customHeight="1" x14ac:dyDescent="0.35">
      <c r="A959" s="47"/>
      <c r="I959" s="44"/>
      <c r="J959" s="44"/>
      <c r="K959" s="44"/>
      <c r="L959" s="44"/>
      <c r="M959" s="44"/>
      <c r="N959" s="44"/>
      <c r="O959" s="44"/>
      <c r="P959" s="44"/>
      <c r="Q959" s="44"/>
      <c r="R959" s="44"/>
      <c r="S959" s="44"/>
      <c r="T959" s="44"/>
      <c r="U959" s="44"/>
      <c r="V959" s="44"/>
    </row>
    <row r="960" spans="1:22" ht="15.75" customHeight="1" x14ac:dyDescent="0.35">
      <c r="A960" s="47"/>
      <c r="I960" s="44"/>
      <c r="J960" s="44"/>
      <c r="K960" s="44"/>
      <c r="L960" s="44"/>
      <c r="M960" s="44"/>
      <c r="N960" s="44"/>
      <c r="O960" s="44"/>
      <c r="P960" s="44"/>
      <c r="Q960" s="44"/>
      <c r="R960" s="44"/>
      <c r="S960" s="44"/>
      <c r="T960" s="44"/>
      <c r="U960" s="44"/>
      <c r="V960" s="44"/>
    </row>
    <row r="961" spans="1:22" ht="15.75" customHeight="1" x14ac:dyDescent="0.35">
      <c r="A961" s="47"/>
      <c r="I961" s="44"/>
      <c r="J961" s="44"/>
      <c r="K961" s="44"/>
      <c r="L961" s="44"/>
      <c r="M961" s="44"/>
      <c r="N961" s="44"/>
      <c r="O961" s="44"/>
      <c r="P961" s="44"/>
      <c r="Q961" s="44"/>
      <c r="R961" s="44"/>
      <c r="S961" s="44"/>
      <c r="T961" s="44"/>
      <c r="U961" s="44"/>
      <c r="V961" s="44"/>
    </row>
    <row r="962" spans="1:22" ht="15.75" customHeight="1" x14ac:dyDescent="0.35">
      <c r="A962" s="47"/>
      <c r="I962" s="44"/>
      <c r="J962" s="44"/>
      <c r="K962" s="44"/>
      <c r="L962" s="44"/>
      <c r="M962" s="44"/>
      <c r="N962" s="44"/>
      <c r="O962" s="44"/>
      <c r="P962" s="44"/>
      <c r="Q962" s="44"/>
      <c r="R962" s="44"/>
      <c r="S962" s="44"/>
      <c r="T962" s="44"/>
      <c r="U962" s="44"/>
      <c r="V962" s="44"/>
    </row>
    <row r="963" spans="1:22" ht="15.75" customHeight="1" x14ac:dyDescent="0.35">
      <c r="A963" s="47"/>
      <c r="I963" s="44"/>
      <c r="J963" s="44"/>
      <c r="K963" s="44"/>
      <c r="L963" s="44"/>
      <c r="M963" s="44"/>
      <c r="N963" s="44"/>
      <c r="O963" s="44"/>
      <c r="P963" s="44"/>
      <c r="Q963" s="44"/>
      <c r="R963" s="44"/>
      <c r="S963" s="44"/>
      <c r="T963" s="44"/>
      <c r="U963" s="44"/>
      <c r="V963" s="44"/>
    </row>
    <row r="964" spans="1:22" ht="15.75" customHeight="1" x14ac:dyDescent="0.35">
      <c r="A964" s="47"/>
      <c r="I964" s="44"/>
      <c r="J964" s="44"/>
      <c r="K964" s="44"/>
      <c r="L964" s="44"/>
      <c r="M964" s="44"/>
      <c r="N964" s="44"/>
      <c r="O964" s="44"/>
      <c r="P964" s="44"/>
      <c r="Q964" s="44"/>
      <c r="R964" s="44"/>
      <c r="S964" s="44"/>
      <c r="T964" s="44"/>
      <c r="U964" s="44"/>
      <c r="V964" s="44"/>
    </row>
    <row r="965" spans="1:22" ht="15.75" customHeight="1" x14ac:dyDescent="0.35">
      <c r="A965" s="47"/>
      <c r="I965" s="44"/>
      <c r="J965" s="44"/>
      <c r="K965" s="44"/>
      <c r="L965" s="44"/>
      <c r="M965" s="44"/>
      <c r="N965" s="44"/>
      <c r="O965" s="44"/>
      <c r="P965" s="44"/>
      <c r="Q965" s="44"/>
      <c r="R965" s="44"/>
      <c r="S965" s="44"/>
      <c r="T965" s="44"/>
      <c r="U965" s="44"/>
      <c r="V965" s="44"/>
    </row>
    <row r="966" spans="1:22" ht="15.75" customHeight="1" x14ac:dyDescent="0.35">
      <c r="A966" s="47"/>
      <c r="I966" s="44"/>
      <c r="J966" s="44"/>
      <c r="K966" s="44"/>
      <c r="L966" s="44"/>
      <c r="M966" s="44"/>
      <c r="N966" s="44"/>
      <c r="O966" s="44"/>
      <c r="P966" s="44"/>
      <c r="Q966" s="44"/>
      <c r="R966" s="44"/>
      <c r="S966" s="44"/>
      <c r="T966" s="44"/>
      <c r="U966" s="44"/>
      <c r="V966" s="44"/>
    </row>
    <row r="967" spans="1:22" ht="15.75" customHeight="1" x14ac:dyDescent="0.35">
      <c r="A967" s="47"/>
      <c r="I967" s="44"/>
      <c r="J967" s="44"/>
      <c r="K967" s="44"/>
      <c r="L967" s="44"/>
      <c r="M967" s="44"/>
      <c r="N967" s="44"/>
      <c r="O967" s="44"/>
      <c r="P967" s="44"/>
      <c r="Q967" s="44"/>
      <c r="R967" s="44"/>
      <c r="S967" s="44"/>
      <c r="T967" s="44"/>
      <c r="U967" s="44"/>
      <c r="V967" s="44"/>
    </row>
    <row r="968" spans="1:22" ht="15.75" customHeight="1" x14ac:dyDescent="0.35">
      <c r="A968" s="47"/>
      <c r="I968" s="44"/>
      <c r="J968" s="44"/>
      <c r="K968" s="44"/>
      <c r="L968" s="44"/>
      <c r="M968" s="44"/>
      <c r="N968" s="44"/>
      <c r="O968" s="44"/>
      <c r="P968" s="44"/>
      <c r="Q968" s="44"/>
      <c r="R968" s="44"/>
      <c r="S968" s="44"/>
      <c r="T968" s="44"/>
      <c r="U968" s="44"/>
      <c r="V968" s="44"/>
    </row>
    <row r="969" spans="1:22" ht="15.75" customHeight="1" x14ac:dyDescent="0.35">
      <c r="A969" s="47"/>
      <c r="I969" s="44"/>
      <c r="J969" s="44"/>
      <c r="K969" s="44"/>
      <c r="L969" s="44"/>
      <c r="M969" s="44"/>
      <c r="N969" s="44"/>
      <c r="O969" s="44"/>
      <c r="P969" s="44"/>
      <c r="Q969" s="44"/>
      <c r="R969" s="44"/>
      <c r="S969" s="44"/>
      <c r="T969" s="44"/>
      <c r="U969" s="44"/>
      <c r="V969" s="44"/>
    </row>
    <row r="970" spans="1:22" ht="15.75" customHeight="1" x14ac:dyDescent="0.35">
      <c r="A970" s="47"/>
      <c r="I970" s="44"/>
      <c r="J970" s="44"/>
      <c r="K970" s="44"/>
      <c r="L970" s="44"/>
      <c r="M970" s="44"/>
      <c r="N970" s="44"/>
      <c r="O970" s="44"/>
      <c r="P970" s="44"/>
      <c r="Q970" s="44"/>
      <c r="R970" s="44"/>
      <c r="S970" s="44"/>
      <c r="T970" s="44"/>
      <c r="U970" s="44"/>
      <c r="V970" s="44"/>
    </row>
    <row r="971" spans="1:22" ht="15.75" customHeight="1" x14ac:dyDescent="0.35">
      <c r="A971" s="47"/>
      <c r="I971" s="44"/>
      <c r="J971" s="44"/>
      <c r="K971" s="44"/>
      <c r="L971" s="44"/>
      <c r="M971" s="44"/>
      <c r="N971" s="44"/>
      <c r="O971" s="44"/>
      <c r="P971" s="44"/>
      <c r="Q971" s="44"/>
      <c r="R971" s="44"/>
      <c r="S971" s="44"/>
      <c r="T971" s="44"/>
      <c r="U971" s="44"/>
      <c r="V971" s="44"/>
    </row>
    <row r="972" spans="1:22" ht="15.75" customHeight="1" x14ac:dyDescent="0.35">
      <c r="A972" s="47"/>
      <c r="I972" s="44"/>
      <c r="J972" s="44"/>
      <c r="K972" s="44"/>
      <c r="L972" s="44"/>
      <c r="M972" s="44"/>
      <c r="N972" s="44"/>
      <c r="O972" s="44"/>
      <c r="P972" s="44"/>
      <c r="Q972" s="44"/>
      <c r="R972" s="44"/>
      <c r="S972" s="44"/>
      <c r="T972" s="44"/>
      <c r="U972" s="44"/>
      <c r="V972" s="44"/>
    </row>
    <row r="973" spans="1:22" ht="15.75" customHeight="1" x14ac:dyDescent="0.35">
      <c r="A973" s="47"/>
      <c r="I973" s="44"/>
      <c r="J973" s="44"/>
      <c r="K973" s="44"/>
      <c r="L973" s="44"/>
      <c r="M973" s="44"/>
      <c r="N973" s="44"/>
      <c r="O973" s="44"/>
      <c r="P973" s="44"/>
      <c r="Q973" s="44"/>
      <c r="R973" s="44"/>
      <c r="S973" s="44"/>
      <c r="T973" s="44"/>
      <c r="U973" s="44"/>
      <c r="V973" s="44"/>
    </row>
    <row r="974" spans="1:22" ht="15.75" customHeight="1" x14ac:dyDescent="0.35">
      <c r="A974" s="47"/>
      <c r="I974" s="44"/>
      <c r="J974" s="44"/>
      <c r="K974" s="44"/>
      <c r="L974" s="44"/>
      <c r="M974" s="44"/>
      <c r="N974" s="44"/>
      <c r="O974" s="44"/>
      <c r="P974" s="44"/>
      <c r="Q974" s="44"/>
      <c r="R974" s="44"/>
      <c r="S974" s="44"/>
      <c r="T974" s="44"/>
      <c r="U974" s="44"/>
      <c r="V974" s="44"/>
    </row>
    <row r="975" spans="1:22" ht="15.75" customHeight="1" x14ac:dyDescent="0.35">
      <c r="A975" s="47"/>
      <c r="I975" s="44"/>
      <c r="J975" s="44"/>
      <c r="K975" s="44"/>
      <c r="L975" s="44"/>
      <c r="M975" s="44"/>
      <c r="N975" s="44"/>
      <c r="O975" s="44"/>
      <c r="P975" s="44"/>
      <c r="Q975" s="44"/>
      <c r="R975" s="44"/>
      <c r="S975" s="44"/>
      <c r="T975" s="44"/>
      <c r="U975" s="44"/>
      <c r="V975" s="44"/>
    </row>
    <row r="976" spans="1:22" ht="15.75" customHeight="1" x14ac:dyDescent="0.35">
      <c r="A976" s="47"/>
      <c r="I976" s="44"/>
      <c r="J976" s="44"/>
      <c r="K976" s="44"/>
      <c r="L976" s="44"/>
      <c r="M976" s="44"/>
      <c r="N976" s="44"/>
      <c r="O976" s="44"/>
      <c r="P976" s="44"/>
      <c r="Q976" s="44"/>
      <c r="R976" s="44"/>
      <c r="S976" s="44"/>
      <c r="T976" s="44"/>
      <c r="U976" s="44"/>
      <c r="V976" s="44"/>
    </row>
    <row r="977" spans="1:22" ht="15.75" customHeight="1" x14ac:dyDescent="0.35">
      <c r="A977" s="47"/>
      <c r="I977" s="44"/>
      <c r="J977" s="44"/>
      <c r="K977" s="44"/>
      <c r="L977" s="44"/>
      <c r="M977" s="44"/>
      <c r="N977" s="44"/>
      <c r="O977" s="44"/>
      <c r="P977" s="44"/>
      <c r="Q977" s="44"/>
      <c r="R977" s="44"/>
      <c r="S977" s="44"/>
      <c r="T977" s="44"/>
      <c r="U977" s="44"/>
      <c r="V977" s="44"/>
    </row>
    <row r="978" spans="1:22" ht="15.75" customHeight="1" x14ac:dyDescent="0.35">
      <c r="A978" s="47"/>
      <c r="I978" s="44"/>
      <c r="J978" s="44"/>
      <c r="K978" s="44"/>
      <c r="L978" s="44"/>
      <c r="M978" s="44"/>
      <c r="N978" s="44"/>
      <c r="O978" s="44"/>
      <c r="P978" s="44"/>
      <c r="Q978" s="44"/>
      <c r="R978" s="44"/>
      <c r="S978" s="44"/>
      <c r="T978" s="44"/>
      <c r="U978" s="44"/>
      <c r="V978" s="44"/>
    </row>
    <row r="979" spans="1:22" ht="15.75" customHeight="1" x14ac:dyDescent="0.35">
      <c r="A979" s="47"/>
      <c r="I979" s="44"/>
      <c r="J979" s="44"/>
      <c r="K979" s="44"/>
      <c r="L979" s="44"/>
      <c r="M979" s="44"/>
      <c r="N979" s="44"/>
      <c r="O979" s="44"/>
      <c r="P979" s="44"/>
      <c r="Q979" s="44"/>
      <c r="R979" s="44"/>
      <c r="S979" s="44"/>
      <c r="T979" s="44"/>
      <c r="U979" s="44"/>
      <c r="V979" s="44"/>
    </row>
    <row r="980" spans="1:22" ht="15.75" customHeight="1" x14ac:dyDescent="0.35">
      <c r="A980" s="47"/>
      <c r="I980" s="44"/>
      <c r="J980" s="44"/>
      <c r="K980" s="44"/>
      <c r="L980" s="44"/>
      <c r="M980" s="44"/>
      <c r="N980" s="44"/>
      <c r="O980" s="44"/>
      <c r="P980" s="44"/>
      <c r="Q980" s="44"/>
      <c r="R980" s="44"/>
      <c r="S980" s="44"/>
      <c r="T980" s="44"/>
      <c r="U980" s="44"/>
      <c r="V980" s="44"/>
    </row>
    <row r="981" spans="1:22" ht="15.75" customHeight="1" x14ac:dyDescent="0.35">
      <c r="A981" s="47"/>
      <c r="I981" s="44"/>
      <c r="J981" s="44"/>
      <c r="K981" s="44"/>
      <c r="L981" s="44"/>
      <c r="M981" s="44"/>
      <c r="N981" s="44"/>
      <c r="O981" s="44"/>
      <c r="P981" s="44"/>
      <c r="Q981" s="44"/>
      <c r="R981" s="44"/>
      <c r="S981" s="44"/>
      <c r="T981" s="44"/>
      <c r="U981" s="44"/>
      <c r="V981" s="44"/>
    </row>
    <row r="982" spans="1:22" ht="15.75" customHeight="1" x14ac:dyDescent="0.35">
      <c r="A982" s="47"/>
      <c r="I982" s="44"/>
      <c r="J982" s="44"/>
      <c r="K982" s="44"/>
      <c r="L982" s="44"/>
      <c r="M982" s="44"/>
      <c r="N982" s="44"/>
      <c r="O982" s="44"/>
      <c r="P982" s="44"/>
      <c r="Q982" s="44"/>
      <c r="R982" s="44"/>
      <c r="S982" s="44"/>
      <c r="T982" s="44"/>
      <c r="U982" s="44"/>
      <c r="V982" s="44"/>
    </row>
    <row r="983" spans="1:22" ht="15.75" customHeight="1" x14ac:dyDescent="0.35">
      <c r="A983" s="47"/>
      <c r="I983" s="44"/>
      <c r="J983" s="44"/>
      <c r="K983" s="44"/>
      <c r="L983" s="44"/>
      <c r="M983" s="44"/>
      <c r="N983" s="44"/>
      <c r="O983" s="44"/>
      <c r="P983" s="44"/>
      <c r="Q983" s="44"/>
      <c r="R983" s="44"/>
      <c r="S983" s="44"/>
      <c r="T983" s="44"/>
      <c r="U983" s="44"/>
      <c r="V983" s="44"/>
    </row>
    <row r="984" spans="1:22" ht="15.75" customHeight="1" x14ac:dyDescent="0.35">
      <c r="A984" s="47"/>
      <c r="I984" s="44"/>
      <c r="J984" s="44"/>
      <c r="K984" s="44"/>
      <c r="L984" s="44"/>
      <c r="M984" s="44"/>
      <c r="N984" s="44"/>
      <c r="O984" s="44"/>
      <c r="P984" s="44"/>
      <c r="Q984" s="44"/>
      <c r="R984" s="44"/>
      <c r="S984" s="44"/>
      <c r="T984" s="44"/>
      <c r="U984" s="44"/>
      <c r="V984" s="44"/>
    </row>
    <row r="985" spans="1:22" ht="15.75" customHeight="1" x14ac:dyDescent="0.35">
      <c r="A985" s="47"/>
      <c r="I985" s="44"/>
      <c r="J985" s="44"/>
      <c r="K985" s="44"/>
      <c r="L985" s="44"/>
      <c r="M985" s="44"/>
      <c r="N985" s="44"/>
      <c r="O985" s="44"/>
      <c r="P985" s="44"/>
      <c r="Q985" s="44"/>
      <c r="R985" s="44"/>
      <c r="S985" s="44"/>
      <c r="T985" s="44"/>
      <c r="U985" s="44"/>
      <c r="V985" s="44"/>
    </row>
    <row r="986" spans="1:22" ht="15.75" customHeight="1" x14ac:dyDescent="0.35">
      <c r="A986" s="47"/>
      <c r="I986" s="44"/>
      <c r="J986" s="44"/>
      <c r="K986" s="44"/>
      <c r="L986" s="44"/>
      <c r="M986" s="44"/>
      <c r="N986" s="44"/>
      <c r="O986" s="44"/>
      <c r="P986" s="44"/>
      <c r="Q986" s="44"/>
      <c r="R986" s="44"/>
      <c r="S986" s="44"/>
      <c r="T986" s="44"/>
      <c r="U986" s="44"/>
      <c r="V986" s="44"/>
    </row>
    <row r="987" spans="1:22" ht="15.75" customHeight="1" x14ac:dyDescent="0.35">
      <c r="A987" s="47"/>
      <c r="I987" s="44"/>
      <c r="J987" s="44"/>
      <c r="K987" s="44"/>
      <c r="L987" s="44"/>
      <c r="M987" s="44"/>
      <c r="N987" s="44"/>
      <c r="O987" s="44"/>
      <c r="P987" s="44"/>
      <c r="Q987" s="44"/>
      <c r="R987" s="44"/>
      <c r="S987" s="44"/>
      <c r="T987" s="44"/>
      <c r="U987" s="44"/>
      <c r="V987" s="44"/>
    </row>
    <row r="988" spans="1:22" ht="15.75" customHeight="1" x14ac:dyDescent="0.35">
      <c r="A988" s="47"/>
      <c r="I988" s="44"/>
      <c r="J988" s="44"/>
      <c r="K988" s="44"/>
      <c r="L988" s="44"/>
      <c r="M988" s="44"/>
      <c r="N988" s="44"/>
      <c r="O988" s="44"/>
      <c r="P988" s="44"/>
      <c r="Q988" s="44"/>
      <c r="R988" s="44"/>
      <c r="S988" s="44"/>
      <c r="T988" s="44"/>
      <c r="U988" s="44"/>
      <c r="V988" s="44"/>
    </row>
    <row r="989" spans="1:22" ht="15.75" customHeight="1" x14ac:dyDescent="0.35">
      <c r="A989" s="47"/>
      <c r="I989" s="44"/>
      <c r="J989" s="44"/>
      <c r="K989" s="44"/>
      <c r="L989" s="44"/>
      <c r="M989" s="44"/>
      <c r="N989" s="44"/>
      <c r="O989" s="44"/>
      <c r="P989" s="44"/>
      <c r="Q989" s="44"/>
      <c r="R989" s="44"/>
      <c r="S989" s="44"/>
      <c r="T989" s="44"/>
      <c r="U989" s="44"/>
      <c r="V989" s="44"/>
    </row>
    <row r="990" spans="1:22" ht="15.75" customHeight="1" x14ac:dyDescent="0.35">
      <c r="A990" s="47"/>
      <c r="I990" s="44"/>
      <c r="J990" s="44"/>
      <c r="K990" s="44"/>
      <c r="L990" s="44"/>
      <c r="M990" s="44"/>
      <c r="N990" s="44"/>
      <c r="O990" s="44"/>
      <c r="P990" s="44"/>
      <c r="Q990" s="44"/>
      <c r="R990" s="44"/>
      <c r="S990" s="44"/>
      <c r="T990" s="44"/>
      <c r="U990" s="44"/>
      <c r="V990" s="44"/>
    </row>
    <row r="991" spans="1:22" ht="15.75" customHeight="1" x14ac:dyDescent="0.35">
      <c r="A991" s="47"/>
      <c r="I991" s="44"/>
      <c r="J991" s="44"/>
      <c r="K991" s="44"/>
      <c r="L991" s="44"/>
      <c r="M991" s="44"/>
      <c r="N991" s="44"/>
      <c r="O991" s="44"/>
      <c r="P991" s="44"/>
      <c r="Q991" s="44"/>
      <c r="R991" s="44"/>
      <c r="S991" s="44"/>
      <c r="T991" s="44"/>
      <c r="U991" s="44"/>
      <c r="V991" s="44"/>
    </row>
    <row r="992" spans="1:22" ht="15.75" customHeight="1" x14ac:dyDescent="0.35">
      <c r="A992" s="47"/>
      <c r="I992" s="44"/>
      <c r="J992" s="44"/>
      <c r="K992" s="44"/>
      <c r="L992" s="44"/>
      <c r="M992" s="44"/>
      <c r="N992" s="44"/>
      <c r="O992" s="44"/>
      <c r="P992" s="44"/>
      <c r="Q992" s="44"/>
      <c r="R992" s="44"/>
      <c r="S992" s="44"/>
      <c r="T992" s="44"/>
      <c r="U992" s="44"/>
      <c r="V992" s="44"/>
    </row>
    <row r="993" spans="1:22" ht="15.75" customHeight="1" x14ac:dyDescent="0.35">
      <c r="A993" s="47"/>
      <c r="I993" s="44"/>
      <c r="J993" s="44"/>
      <c r="K993" s="44"/>
      <c r="L993" s="44"/>
      <c r="M993" s="44"/>
      <c r="N993" s="44"/>
      <c r="O993" s="44"/>
      <c r="P993" s="44"/>
      <c r="Q993" s="44"/>
      <c r="R993" s="44"/>
      <c r="S993" s="44"/>
      <c r="T993" s="44"/>
      <c r="U993" s="44"/>
      <c r="V993" s="44"/>
    </row>
    <row r="994" spans="1:22" ht="15.75" customHeight="1" x14ac:dyDescent="0.35">
      <c r="A994" s="47"/>
      <c r="I994" s="44"/>
      <c r="J994" s="44"/>
      <c r="K994" s="44"/>
      <c r="L994" s="44"/>
      <c r="M994" s="44"/>
      <c r="N994" s="44"/>
      <c r="O994" s="44"/>
      <c r="P994" s="44"/>
      <c r="Q994" s="44"/>
      <c r="R994" s="44"/>
      <c r="S994" s="44"/>
      <c r="T994" s="44"/>
      <c r="U994" s="44"/>
      <c r="V994" s="44"/>
    </row>
    <row r="995" spans="1:22" ht="15.75" customHeight="1" x14ac:dyDescent="0.35">
      <c r="A995" s="47"/>
      <c r="I995" s="44"/>
      <c r="J995" s="44"/>
      <c r="K995" s="44"/>
      <c r="L995" s="44"/>
      <c r="M995" s="44"/>
      <c r="N995" s="44"/>
      <c r="O995" s="44"/>
      <c r="P995" s="44"/>
      <c r="Q995" s="44"/>
      <c r="R995" s="44"/>
      <c r="S995" s="44"/>
      <c r="T995" s="44"/>
      <c r="U995" s="44"/>
      <c r="V995" s="44"/>
    </row>
    <row r="996" spans="1:22" ht="15.75" customHeight="1" x14ac:dyDescent="0.35">
      <c r="A996" s="47"/>
      <c r="I996" s="44"/>
      <c r="J996" s="44"/>
      <c r="K996" s="44"/>
      <c r="L996" s="44"/>
      <c r="M996" s="44"/>
      <c r="N996" s="44"/>
      <c r="O996" s="44"/>
      <c r="P996" s="44"/>
      <c r="Q996" s="44"/>
      <c r="R996" s="44"/>
      <c r="S996" s="44"/>
      <c r="T996" s="44"/>
      <c r="U996" s="44"/>
      <c r="V996" s="44"/>
    </row>
    <row r="997" spans="1:22" ht="15.75" customHeight="1" x14ac:dyDescent="0.35">
      <c r="A997" s="47"/>
      <c r="I997" s="44"/>
      <c r="J997" s="44"/>
      <c r="K997" s="44"/>
      <c r="L997" s="44"/>
      <c r="M997" s="44"/>
      <c r="N997" s="44"/>
      <c r="O997" s="44"/>
      <c r="P997" s="44"/>
      <c r="Q997" s="44"/>
      <c r="R997" s="44"/>
      <c r="S997" s="44"/>
      <c r="T997" s="44"/>
      <c r="U997" s="44"/>
      <c r="V997" s="44"/>
    </row>
    <row r="998" spans="1:22" ht="15.75" customHeight="1" x14ac:dyDescent="0.35">
      <c r="A998" s="47"/>
      <c r="I998" s="44"/>
      <c r="J998" s="44"/>
      <c r="K998" s="44"/>
      <c r="L998" s="44"/>
      <c r="M998" s="44"/>
      <c r="N998" s="44"/>
      <c r="O998" s="44"/>
      <c r="P998" s="44"/>
      <c r="Q998" s="44"/>
      <c r="R998" s="44"/>
      <c r="S998" s="44"/>
      <c r="T998" s="44"/>
      <c r="U998" s="44"/>
      <c r="V998" s="44"/>
    </row>
  </sheetData>
  <pageMargins left="0.7" right="0.7" top="0.75" bottom="0.75" header="0" footer="0"/>
  <pageSetup paperSize="9" orientation="portrait"/>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00"/>
  <sheetViews>
    <sheetView workbookViewId="0">
      <selection activeCell="K24" sqref="K24"/>
    </sheetView>
  </sheetViews>
  <sheetFormatPr baseColWidth="10" defaultColWidth="12.58203125" defaultRowHeight="15" customHeight="1" x14ac:dyDescent="0.3"/>
  <cols>
    <col min="1" max="1" width="68.83203125" customWidth="1"/>
    <col min="2" max="2" width="14.58203125" customWidth="1"/>
    <col min="3" max="3" width="13.5" customWidth="1"/>
    <col min="4" max="4" width="13.58203125" customWidth="1"/>
    <col min="5" max="5" width="14.58203125" customWidth="1"/>
    <col min="6" max="14" width="9.33203125" customWidth="1"/>
    <col min="15" max="15" width="11.33203125" customWidth="1"/>
    <col min="16" max="19" width="9.33203125" customWidth="1"/>
    <col min="20" max="20" width="11.08203125" customWidth="1"/>
    <col min="21" max="30" width="9.33203125" customWidth="1"/>
  </cols>
  <sheetData>
    <row r="1" spans="1:30" ht="42" customHeight="1" x14ac:dyDescent="0.3">
      <c r="A1" s="15" t="s">
        <v>115</v>
      </c>
      <c r="B1" s="15"/>
      <c r="C1" s="15"/>
      <c r="D1" s="15"/>
      <c r="E1" s="15"/>
      <c r="F1" s="15"/>
      <c r="G1" s="15"/>
      <c r="H1" s="15"/>
      <c r="I1" s="15"/>
      <c r="J1" s="15"/>
      <c r="K1" s="15"/>
      <c r="L1" s="15"/>
      <c r="M1" s="15"/>
      <c r="N1" s="15"/>
      <c r="O1" s="15"/>
      <c r="P1" s="15"/>
      <c r="Q1" s="15"/>
      <c r="R1" s="15"/>
      <c r="S1" s="16"/>
      <c r="T1" s="16"/>
      <c r="U1" s="16"/>
      <c r="V1" s="16"/>
      <c r="W1" s="15"/>
      <c r="X1" s="15"/>
      <c r="Y1" s="15"/>
      <c r="Z1" s="15"/>
      <c r="AA1" s="15"/>
      <c r="AB1" s="15"/>
      <c r="AC1" s="15"/>
      <c r="AD1" s="15"/>
    </row>
    <row r="2" spans="1:30" ht="14.5" x14ac:dyDescent="0.35">
      <c r="B2" s="59" t="s">
        <v>116</v>
      </c>
      <c r="C2" s="17"/>
      <c r="D2" s="59" t="s">
        <v>117</v>
      </c>
    </row>
    <row r="3" spans="1:30" ht="30" customHeight="1" x14ac:dyDescent="0.3">
      <c r="A3" s="503" t="s">
        <v>118</v>
      </c>
      <c r="B3" s="38" t="s">
        <v>119</v>
      </c>
      <c r="C3" s="505" t="s">
        <v>120</v>
      </c>
      <c r="D3" s="38" t="s">
        <v>121</v>
      </c>
      <c r="E3" s="505" t="s">
        <v>120</v>
      </c>
    </row>
    <row r="4" spans="1:30" ht="60" customHeight="1" x14ac:dyDescent="0.3">
      <c r="A4" s="504"/>
      <c r="B4" s="38" t="s">
        <v>122</v>
      </c>
      <c r="C4" s="504"/>
      <c r="D4" s="38" t="s">
        <v>122</v>
      </c>
      <c r="E4" s="504"/>
    </row>
    <row r="5" spans="1:30" ht="14.5" x14ac:dyDescent="0.35">
      <c r="A5" s="19" t="s">
        <v>58</v>
      </c>
      <c r="B5" s="60">
        <v>85.868199999999945</v>
      </c>
      <c r="C5" s="61">
        <v>0.21915999244524065</v>
      </c>
      <c r="D5" s="60">
        <v>87.749799999999937</v>
      </c>
      <c r="E5" s="61">
        <v>0.2239623691316619</v>
      </c>
    </row>
    <row r="6" spans="1:30" ht="14.5" x14ac:dyDescent="0.35">
      <c r="A6" s="19" t="s">
        <v>59</v>
      </c>
      <c r="B6" s="60">
        <v>38.005999999999972</v>
      </c>
      <c r="C6" s="61">
        <v>8.854542828253642E-2</v>
      </c>
      <c r="D6" s="60">
        <v>60.771200000000022</v>
      </c>
      <c r="E6" s="61">
        <v>0.14158322189242967</v>
      </c>
    </row>
    <row r="7" spans="1:30" ht="14.5" x14ac:dyDescent="0.35">
      <c r="A7" s="19" t="s">
        <v>60</v>
      </c>
      <c r="B7" s="60">
        <v>16.365999999999985</v>
      </c>
      <c r="C7" s="61">
        <v>3.7361287715701685E-2</v>
      </c>
      <c r="D7" s="60">
        <v>19.05400000000003</v>
      </c>
      <c r="E7" s="61">
        <v>4.3497615552669067E-2</v>
      </c>
    </row>
    <row r="8" spans="1:30" ht="14.5" x14ac:dyDescent="0.35">
      <c r="A8" s="19" t="s">
        <v>61</v>
      </c>
      <c r="B8" s="60">
        <v>12.338000000000022</v>
      </c>
      <c r="C8" s="61">
        <v>3.6505658702566834E-2</v>
      </c>
      <c r="D8" s="60">
        <v>27.84559999999999</v>
      </c>
      <c r="E8" s="61">
        <v>8.2389525852503809E-2</v>
      </c>
    </row>
    <row r="9" spans="1:30" ht="14.5" x14ac:dyDescent="0.35">
      <c r="A9" s="19" t="s">
        <v>62</v>
      </c>
      <c r="B9" s="60">
        <v>20.492000000000019</v>
      </c>
      <c r="C9" s="61">
        <v>4.8863655331436884E-2</v>
      </c>
      <c r="D9" s="60">
        <v>48.2072</v>
      </c>
      <c r="E9" s="61">
        <v>0.11495120072680276</v>
      </c>
    </row>
    <row r="10" spans="1:30" ht="14.5" x14ac:dyDescent="0.35">
      <c r="A10" s="19" t="s">
        <v>63</v>
      </c>
      <c r="B10" s="60">
        <v>8.1759999999999877</v>
      </c>
      <c r="C10" s="61">
        <v>2.0553971773483948E-2</v>
      </c>
      <c r="D10" s="60">
        <v>27.363999999999976</v>
      </c>
      <c r="E10" s="61">
        <v>6.8791448582389281E-2</v>
      </c>
    </row>
    <row r="11" spans="1:30" ht="14.5" x14ac:dyDescent="0.35">
      <c r="A11" s="19" t="s">
        <v>64</v>
      </c>
      <c r="B11" s="60">
        <v>8.1759999999999877</v>
      </c>
      <c r="C11" s="61">
        <v>2.0160624150829864E-2</v>
      </c>
      <c r="D11" s="60">
        <v>27.363999999999976</v>
      </c>
      <c r="E11" s="61">
        <v>6.7474965663320452E-2</v>
      </c>
    </row>
    <row r="12" spans="1:30" ht="29" x14ac:dyDescent="0.3">
      <c r="A12" s="62" t="s">
        <v>123</v>
      </c>
    </row>
    <row r="14" spans="1:30" ht="14.5" x14ac:dyDescent="0.35">
      <c r="A14" s="44" t="s">
        <v>759</v>
      </c>
    </row>
    <row r="15" spans="1:30" ht="14.5" x14ac:dyDescent="0.35">
      <c r="A15" s="44" t="s">
        <v>124</v>
      </c>
    </row>
    <row r="17" spans="1:30" ht="42" customHeight="1" x14ac:dyDescent="0.3">
      <c r="A17" s="15" t="s">
        <v>671</v>
      </c>
      <c r="B17" s="15"/>
      <c r="C17" s="15"/>
      <c r="D17" s="15"/>
      <c r="E17" s="15"/>
      <c r="F17" s="15"/>
      <c r="G17" s="15"/>
      <c r="H17" s="15"/>
      <c r="I17" s="15"/>
      <c r="J17" s="15"/>
      <c r="K17" s="15"/>
      <c r="L17" s="15"/>
      <c r="M17" s="15"/>
      <c r="N17" s="15"/>
      <c r="O17" s="15"/>
      <c r="P17" s="15"/>
      <c r="Q17" s="15"/>
      <c r="R17" s="15"/>
      <c r="S17" s="16"/>
      <c r="T17" s="16"/>
      <c r="U17" s="16"/>
      <c r="V17" s="16"/>
      <c r="W17" s="15"/>
      <c r="X17" s="15"/>
      <c r="Y17" s="15"/>
      <c r="Z17" s="15"/>
      <c r="AA17" s="15"/>
      <c r="AB17" s="15"/>
      <c r="AC17" s="15"/>
      <c r="AD17" s="15"/>
    </row>
    <row r="18" spans="1:30" ht="16.5" customHeight="1" x14ac:dyDescent="0.3"/>
    <row r="19" spans="1:30" ht="43.5" customHeight="1" x14ac:dyDescent="0.3">
      <c r="A19" s="39" t="s">
        <v>125</v>
      </c>
      <c r="B19" s="19" t="s">
        <v>46</v>
      </c>
      <c r="C19" s="19" t="s">
        <v>48</v>
      </c>
      <c r="D19" s="19" t="s">
        <v>49</v>
      </c>
      <c r="E19" s="19" t="s">
        <v>50</v>
      </c>
      <c r="F19" s="19" t="s">
        <v>51</v>
      </c>
      <c r="G19" s="19" t="s">
        <v>52</v>
      </c>
      <c r="H19" s="19" t="s">
        <v>53</v>
      </c>
      <c r="I19" s="19" t="s">
        <v>54</v>
      </c>
      <c r="J19" s="19" t="s">
        <v>55</v>
      </c>
      <c r="K19" s="19" t="s">
        <v>763</v>
      </c>
      <c r="L19" s="19" t="s">
        <v>648</v>
      </c>
    </row>
    <row r="20" spans="1:30" ht="55.5" customHeight="1" x14ac:dyDescent="0.3">
      <c r="A20" s="38" t="s">
        <v>126</v>
      </c>
      <c r="B20" s="12" t="s">
        <v>117</v>
      </c>
      <c r="C20" s="12" t="s">
        <v>116</v>
      </c>
      <c r="D20" s="12" t="s">
        <v>117</v>
      </c>
      <c r="E20" s="12" t="s">
        <v>116</v>
      </c>
      <c r="F20" s="12" t="s">
        <v>116</v>
      </c>
      <c r="G20" s="12" t="s">
        <v>117</v>
      </c>
      <c r="H20" s="12" t="s">
        <v>116</v>
      </c>
      <c r="I20" s="12" t="s">
        <v>117</v>
      </c>
      <c r="J20" s="12" t="s">
        <v>117</v>
      </c>
      <c r="K20" s="12" t="s">
        <v>117</v>
      </c>
      <c r="L20" s="12" t="s">
        <v>117</v>
      </c>
      <c r="M20" s="26"/>
      <c r="N20" s="26"/>
      <c r="O20" s="26"/>
      <c r="P20" s="26"/>
      <c r="Q20" s="26"/>
      <c r="R20" s="26"/>
      <c r="S20" s="26"/>
      <c r="T20" s="26"/>
      <c r="U20" s="26"/>
      <c r="V20" s="26"/>
    </row>
    <row r="21" spans="1:30" ht="28.5" customHeight="1" x14ac:dyDescent="0.35">
      <c r="A21" s="19" t="s">
        <v>58</v>
      </c>
      <c r="B21" s="8">
        <f t="shared" ref="B21:L27" si="0">IF(B$20=$B$2,$B5,$D5)</f>
        <v>87.749799999999937</v>
      </c>
      <c r="C21" s="8">
        <f t="shared" si="0"/>
        <v>85.868199999999945</v>
      </c>
      <c r="D21" s="8">
        <f t="shared" si="0"/>
        <v>87.749799999999937</v>
      </c>
      <c r="E21" s="8">
        <f t="shared" si="0"/>
        <v>85.868199999999945</v>
      </c>
      <c r="F21" s="8">
        <f t="shared" si="0"/>
        <v>85.868199999999945</v>
      </c>
      <c r="G21" s="8">
        <f t="shared" si="0"/>
        <v>87.749799999999937</v>
      </c>
      <c r="H21" s="8">
        <f t="shared" si="0"/>
        <v>85.868199999999945</v>
      </c>
      <c r="I21" s="8">
        <f t="shared" si="0"/>
        <v>87.749799999999937</v>
      </c>
      <c r="J21" s="8">
        <f t="shared" si="0"/>
        <v>87.749799999999937</v>
      </c>
      <c r="K21" s="8">
        <f t="shared" si="0"/>
        <v>87.749799999999937</v>
      </c>
      <c r="L21" s="8">
        <f t="shared" si="0"/>
        <v>87.749799999999937</v>
      </c>
      <c r="M21" s="44"/>
      <c r="N21" s="44"/>
      <c r="O21" s="44"/>
      <c r="P21" s="44"/>
      <c r="Q21" s="44"/>
      <c r="R21" s="44"/>
      <c r="S21" s="44"/>
      <c r="T21" s="44"/>
      <c r="U21" s="44"/>
      <c r="V21" s="44"/>
    </row>
    <row r="22" spans="1:30" ht="28.5" customHeight="1" x14ac:dyDescent="0.35">
      <c r="A22" s="19" t="s">
        <v>59</v>
      </c>
      <c r="B22" s="8">
        <f t="shared" ref="B22:L22" si="1">IF(B$20=$B$2,$B6,$D6)</f>
        <v>60.771200000000022</v>
      </c>
      <c r="C22" s="8">
        <f t="shared" si="1"/>
        <v>38.005999999999972</v>
      </c>
      <c r="D22" s="8">
        <f t="shared" si="1"/>
        <v>60.771200000000022</v>
      </c>
      <c r="E22" s="8">
        <f t="shared" si="1"/>
        <v>38.005999999999972</v>
      </c>
      <c r="F22" s="8">
        <f t="shared" si="1"/>
        <v>38.005999999999972</v>
      </c>
      <c r="G22" s="8">
        <f t="shared" si="1"/>
        <v>60.771200000000022</v>
      </c>
      <c r="H22" s="8">
        <f t="shared" si="1"/>
        <v>38.005999999999972</v>
      </c>
      <c r="I22" s="8">
        <f t="shared" si="1"/>
        <v>60.771200000000022</v>
      </c>
      <c r="J22" s="8">
        <f t="shared" si="1"/>
        <v>60.771200000000022</v>
      </c>
      <c r="K22" s="8">
        <f t="shared" si="0"/>
        <v>60.771200000000022</v>
      </c>
      <c r="L22" s="8">
        <f t="shared" si="1"/>
        <v>60.771200000000022</v>
      </c>
      <c r="M22" s="44"/>
      <c r="N22" s="44"/>
      <c r="O22" s="44"/>
      <c r="P22" s="44"/>
      <c r="Q22" s="44"/>
      <c r="R22" s="44"/>
      <c r="S22" s="44"/>
      <c r="T22" s="44"/>
      <c r="U22" s="44"/>
      <c r="V22" s="44"/>
    </row>
    <row r="23" spans="1:30" ht="28.5" customHeight="1" x14ac:dyDescent="0.35">
      <c r="A23" s="19" t="s">
        <v>60</v>
      </c>
      <c r="B23" s="8">
        <f t="shared" ref="B23:L23" si="2">IF(B$20=$B$2,$B7,$D7)</f>
        <v>19.05400000000003</v>
      </c>
      <c r="C23" s="8">
        <f t="shared" si="2"/>
        <v>16.365999999999985</v>
      </c>
      <c r="D23" s="8">
        <f t="shared" si="2"/>
        <v>19.05400000000003</v>
      </c>
      <c r="E23" s="8">
        <f t="shared" si="2"/>
        <v>16.365999999999985</v>
      </c>
      <c r="F23" s="8">
        <f t="shared" si="2"/>
        <v>16.365999999999985</v>
      </c>
      <c r="G23" s="8">
        <f t="shared" si="2"/>
        <v>19.05400000000003</v>
      </c>
      <c r="H23" s="8">
        <f t="shared" si="2"/>
        <v>16.365999999999985</v>
      </c>
      <c r="I23" s="8">
        <f t="shared" si="2"/>
        <v>19.05400000000003</v>
      </c>
      <c r="J23" s="8">
        <f t="shared" si="2"/>
        <v>19.05400000000003</v>
      </c>
      <c r="K23" s="8">
        <f t="shared" si="0"/>
        <v>19.05400000000003</v>
      </c>
      <c r="L23" s="8">
        <f t="shared" si="2"/>
        <v>19.05400000000003</v>
      </c>
      <c r="M23" s="44"/>
      <c r="N23" s="44"/>
      <c r="O23" s="44"/>
      <c r="P23" s="44"/>
      <c r="Q23" s="44"/>
      <c r="R23" s="44"/>
      <c r="S23" s="44"/>
      <c r="T23" s="44"/>
      <c r="U23" s="44"/>
      <c r="V23" s="44"/>
    </row>
    <row r="24" spans="1:30" ht="28.5" customHeight="1" x14ac:dyDescent="0.35">
      <c r="A24" s="19" t="s">
        <v>61</v>
      </c>
      <c r="B24" s="8">
        <f t="shared" ref="B24:L24" si="3">IF(B$20=$B$2,$B8,$D8)</f>
        <v>27.84559999999999</v>
      </c>
      <c r="C24" s="8">
        <f t="shared" si="3"/>
        <v>12.338000000000022</v>
      </c>
      <c r="D24" s="8">
        <f t="shared" si="3"/>
        <v>27.84559999999999</v>
      </c>
      <c r="E24" s="8">
        <f t="shared" si="3"/>
        <v>12.338000000000022</v>
      </c>
      <c r="F24" s="8">
        <f t="shared" si="3"/>
        <v>12.338000000000022</v>
      </c>
      <c r="G24" s="8">
        <f t="shared" si="3"/>
        <v>27.84559999999999</v>
      </c>
      <c r="H24" s="8">
        <f t="shared" si="3"/>
        <v>12.338000000000022</v>
      </c>
      <c r="I24" s="8">
        <f t="shared" si="3"/>
        <v>27.84559999999999</v>
      </c>
      <c r="J24" s="8">
        <f t="shared" si="3"/>
        <v>27.84559999999999</v>
      </c>
      <c r="K24" s="8">
        <f t="shared" si="0"/>
        <v>27.84559999999999</v>
      </c>
      <c r="L24" s="8">
        <f t="shared" si="3"/>
        <v>27.84559999999999</v>
      </c>
      <c r="M24" s="44"/>
      <c r="N24" s="44"/>
      <c r="O24" s="44"/>
      <c r="P24" s="44"/>
      <c r="Q24" s="44"/>
      <c r="R24" s="44"/>
      <c r="S24" s="44"/>
      <c r="T24" s="44"/>
      <c r="U24" s="44"/>
      <c r="V24" s="44"/>
    </row>
    <row r="25" spans="1:30" ht="28.5" customHeight="1" x14ac:dyDescent="0.35">
      <c r="A25" s="19" t="s">
        <v>62</v>
      </c>
      <c r="B25" s="8">
        <f>IF(B$20=$B$2,$B9,$D9)</f>
        <v>48.2072</v>
      </c>
      <c r="C25" s="8">
        <f t="shared" ref="C25:L25" si="4">IF(C$20=$B$2,$B9,$D9)</f>
        <v>20.492000000000019</v>
      </c>
      <c r="D25" s="8">
        <f t="shared" si="4"/>
        <v>48.2072</v>
      </c>
      <c r="E25" s="8">
        <f t="shared" si="4"/>
        <v>20.492000000000019</v>
      </c>
      <c r="F25" s="8">
        <f t="shared" si="4"/>
        <v>20.492000000000019</v>
      </c>
      <c r="G25" s="8">
        <f t="shared" si="4"/>
        <v>48.2072</v>
      </c>
      <c r="H25" s="8">
        <f t="shared" si="4"/>
        <v>20.492000000000019</v>
      </c>
      <c r="I25" s="8">
        <f t="shared" si="4"/>
        <v>48.2072</v>
      </c>
      <c r="J25" s="8">
        <f t="shared" si="4"/>
        <v>48.2072</v>
      </c>
      <c r="K25" s="8">
        <f t="shared" si="0"/>
        <v>48.2072</v>
      </c>
      <c r="L25" s="8">
        <f t="shared" si="4"/>
        <v>48.2072</v>
      </c>
      <c r="M25" s="44"/>
      <c r="N25" s="44"/>
      <c r="O25" s="44"/>
      <c r="P25" s="44"/>
      <c r="Q25" s="44"/>
      <c r="R25" s="44"/>
      <c r="S25" s="44"/>
      <c r="T25" s="44"/>
      <c r="U25" s="44"/>
      <c r="V25" s="44"/>
    </row>
    <row r="26" spans="1:30" ht="28.5" customHeight="1" x14ac:dyDescent="0.35">
      <c r="A26" s="19" t="s">
        <v>63</v>
      </c>
      <c r="B26" s="8">
        <f t="shared" ref="B26:L26" si="5">IF(B$20=$B$2,$B10,$D10)</f>
        <v>27.363999999999976</v>
      </c>
      <c r="C26" s="8">
        <f t="shared" si="5"/>
        <v>8.1759999999999877</v>
      </c>
      <c r="D26" s="8">
        <f t="shared" si="5"/>
        <v>27.363999999999976</v>
      </c>
      <c r="E26" s="8">
        <f t="shared" si="5"/>
        <v>8.1759999999999877</v>
      </c>
      <c r="F26" s="8">
        <f t="shared" si="5"/>
        <v>8.1759999999999877</v>
      </c>
      <c r="G26" s="8">
        <f t="shared" si="5"/>
        <v>27.363999999999976</v>
      </c>
      <c r="H26" s="8">
        <f t="shared" si="5"/>
        <v>8.1759999999999877</v>
      </c>
      <c r="I26" s="8">
        <f t="shared" si="5"/>
        <v>27.363999999999976</v>
      </c>
      <c r="J26" s="8">
        <f t="shared" si="5"/>
        <v>27.363999999999976</v>
      </c>
      <c r="K26" s="8">
        <f t="shared" si="0"/>
        <v>27.363999999999976</v>
      </c>
      <c r="L26" s="8">
        <f t="shared" si="5"/>
        <v>27.363999999999976</v>
      </c>
      <c r="M26" s="44"/>
      <c r="N26" s="44"/>
      <c r="O26" s="44"/>
      <c r="P26" s="44"/>
      <c r="Q26" s="44"/>
      <c r="R26" s="44"/>
      <c r="S26" s="44"/>
      <c r="T26" s="44"/>
      <c r="U26" s="44"/>
      <c r="V26" s="44"/>
    </row>
    <row r="27" spans="1:30" ht="28.5" customHeight="1" x14ac:dyDescent="0.35">
      <c r="A27" s="19" t="s">
        <v>64</v>
      </c>
      <c r="B27" s="8">
        <f t="shared" ref="B27:L27" si="6">IF(B$20=$B$2,$B11,$D11)</f>
        <v>27.363999999999976</v>
      </c>
      <c r="C27" s="8">
        <f t="shared" si="6"/>
        <v>8.1759999999999877</v>
      </c>
      <c r="D27" s="8">
        <f t="shared" si="6"/>
        <v>27.363999999999976</v>
      </c>
      <c r="E27" s="8">
        <f t="shared" si="6"/>
        <v>8.1759999999999877</v>
      </c>
      <c r="F27" s="8">
        <f t="shared" si="6"/>
        <v>8.1759999999999877</v>
      </c>
      <c r="G27" s="8">
        <f t="shared" si="6"/>
        <v>27.363999999999976</v>
      </c>
      <c r="H27" s="8">
        <f t="shared" si="6"/>
        <v>8.1759999999999877</v>
      </c>
      <c r="I27" s="8">
        <f t="shared" si="6"/>
        <v>27.363999999999976</v>
      </c>
      <c r="J27" s="8">
        <f t="shared" si="6"/>
        <v>27.363999999999976</v>
      </c>
      <c r="K27" s="8">
        <f t="shared" si="0"/>
        <v>27.363999999999976</v>
      </c>
      <c r="L27" s="8">
        <f t="shared" si="6"/>
        <v>27.363999999999976</v>
      </c>
      <c r="M27" s="44"/>
      <c r="N27" s="44"/>
      <c r="O27" s="44"/>
      <c r="P27" s="44"/>
      <c r="Q27" s="44"/>
      <c r="R27" s="44"/>
      <c r="S27" s="44"/>
      <c r="T27" s="44"/>
      <c r="U27" s="44"/>
      <c r="V27" s="44"/>
    </row>
    <row r="28" spans="1:30" ht="15.75" customHeight="1" x14ac:dyDescent="0.3"/>
    <row r="29" spans="1:30" ht="15.75" customHeight="1" x14ac:dyDescent="0.3"/>
    <row r="30" spans="1:30" ht="15.75" customHeight="1" x14ac:dyDescent="0.3"/>
    <row r="31" spans="1:30" ht="15.75" customHeight="1" x14ac:dyDescent="0.3"/>
    <row r="32" spans="1:30"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3">
    <mergeCell ref="A3:A4"/>
    <mergeCell ref="C3:C4"/>
    <mergeCell ref="E3:E4"/>
  </mergeCells>
  <pageMargins left="0.7" right="0.7" top="0.75" bottom="0.75" header="0" footer="0"/>
  <pageSetup paperSize="9" orientation="portrai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1000"/>
  <sheetViews>
    <sheetView topLeftCell="L60" workbookViewId="0">
      <selection activeCell="AA109" sqref="AA109"/>
    </sheetView>
  </sheetViews>
  <sheetFormatPr baseColWidth="10" defaultColWidth="12.58203125" defaultRowHeight="15" customHeight="1" outlineLevelRow="1" outlineLevelCol="1" x14ac:dyDescent="0.3"/>
  <cols>
    <col min="1" max="1" width="28.5" customWidth="1"/>
    <col min="2" max="4" width="10" customWidth="1" outlineLevel="1"/>
    <col min="5" max="5" width="10.33203125" customWidth="1" outlineLevel="1"/>
    <col min="6" max="6" width="11.83203125" customWidth="1" outlineLevel="1"/>
    <col min="7" max="7" width="13.58203125" customWidth="1" outlineLevel="1"/>
    <col min="8" max="8" width="14" customWidth="1" outlineLevel="1"/>
    <col min="9" max="9" width="13.58203125" customWidth="1" outlineLevel="1"/>
    <col min="10" max="11" width="14.58203125" customWidth="1" outlineLevel="1"/>
    <col min="12" max="12" width="17" customWidth="1" outlineLevel="1"/>
    <col min="13" max="13" width="13.5" customWidth="1" outlineLevel="1"/>
    <col min="14" max="15" width="20.08203125" customWidth="1" outlineLevel="1"/>
    <col min="16" max="16" width="18.58203125" customWidth="1" outlineLevel="1"/>
    <col min="17" max="17" width="17.08203125" customWidth="1" outlineLevel="1"/>
    <col min="18" max="18" width="22.08203125" customWidth="1"/>
    <col min="19" max="19" width="11.5" customWidth="1"/>
    <col min="20" max="44" width="9.33203125" customWidth="1"/>
  </cols>
  <sheetData>
    <row r="1" spans="1:44" ht="42" customHeight="1" x14ac:dyDescent="0.3">
      <c r="A1" s="15" t="s">
        <v>127</v>
      </c>
      <c r="B1" s="15"/>
      <c r="C1" s="15"/>
      <c r="D1" s="15"/>
      <c r="E1" s="15"/>
      <c r="F1" s="15"/>
      <c r="G1" s="15"/>
      <c r="H1" s="15"/>
      <c r="I1" s="15"/>
      <c r="J1" s="15"/>
      <c r="K1" s="15"/>
      <c r="L1" s="15"/>
      <c r="M1" s="15"/>
      <c r="N1" s="15"/>
      <c r="O1" s="15"/>
      <c r="P1" s="16"/>
      <c r="Q1" s="16"/>
      <c r="R1" s="16"/>
      <c r="S1" s="16"/>
      <c r="T1" s="15"/>
      <c r="U1" s="15"/>
      <c r="V1" s="15"/>
      <c r="W1" s="15"/>
      <c r="X1" s="15"/>
      <c r="Y1" s="15"/>
      <c r="Z1" s="15"/>
      <c r="AA1" s="15"/>
      <c r="AB1" s="15"/>
      <c r="AC1" s="15"/>
      <c r="AD1" s="15"/>
      <c r="AE1" s="15"/>
      <c r="AF1" s="15"/>
      <c r="AG1" s="15"/>
      <c r="AH1" s="15"/>
      <c r="AI1" s="15"/>
      <c r="AJ1" s="15"/>
      <c r="AK1" s="15"/>
      <c r="AL1" s="15"/>
      <c r="AM1" s="15"/>
      <c r="AN1" s="15"/>
      <c r="AO1" s="15"/>
      <c r="AP1" s="15"/>
      <c r="AQ1" s="15"/>
      <c r="AR1" s="15"/>
    </row>
    <row r="2" spans="1:44" ht="21" customHeight="1" x14ac:dyDescent="0.3">
      <c r="A2" s="46" t="s">
        <v>128</v>
      </c>
      <c r="B2" s="26">
        <f>IF('Input_Energy Context'!A18="",1,'General Inputs&amp;Outputs'!$C$13)</f>
        <v>4</v>
      </c>
      <c r="C2" s="26">
        <f>IF('Input_Energy Context'!D18="",1,'General Inputs&amp;Outputs'!$C$13)</f>
        <v>4</v>
      </c>
      <c r="D2" s="26">
        <f>IF('Input_Energy Context'!E18="",1,'General Inputs&amp;Outputs'!$C$13)</f>
        <v>4</v>
      </c>
      <c r="E2" s="26">
        <f>IF('Input_Energy Context'!F18="",1,'General Inputs&amp;Outputs'!$C$13)</f>
        <v>4</v>
      </c>
      <c r="F2" s="26">
        <f>IF('Input_Energy Context'!G18="",1,'General Inputs&amp;Outputs'!$C$13)</f>
        <v>4</v>
      </c>
      <c r="G2" s="26">
        <f>IF('Input_Energy Context'!H18="",1,'General Inputs&amp;Outputs'!$C$13)</f>
        <v>4</v>
      </c>
      <c r="H2" s="26">
        <f>IF('Input_Energy Context'!I18="",1,'General Inputs&amp;Outputs'!$C$13)</f>
        <v>4</v>
      </c>
      <c r="I2" s="26">
        <f>IF('Input_Energy Context'!L18="",1,'General Inputs&amp;Outputs'!$C$13)</f>
        <v>4</v>
      </c>
      <c r="J2" s="26">
        <f>IF('Input_Energy Context'!M18="",1,'General Inputs&amp;Outputs'!$C$13)</f>
        <v>1</v>
      </c>
      <c r="K2" s="26">
        <f>IF('Input_Energy Context'!N18="",1,'General Inputs&amp;Outputs'!$C$13)</f>
        <v>1</v>
      </c>
      <c r="L2" s="26">
        <f>IF('Input_Energy Context'!O18="",1,'General Inputs&amp;Outputs'!$C$13)</f>
        <v>1</v>
      </c>
      <c r="M2" s="26"/>
      <c r="N2" s="26">
        <f>IF('Input_Energy Context'!I18="",1,'General Inputs&amp;Outputs'!$C$13)</f>
        <v>4</v>
      </c>
      <c r="O2" s="26">
        <f>IF('Input_Energy Context'!J18="",1,'General Inputs&amp;Outputs'!$C$13)</f>
        <v>4</v>
      </c>
      <c r="P2" s="26" t="e">
        <f>IF('Input_Energy Context'!#REF!="",1,'General Inputs&amp;Outputs'!$C$13)</f>
        <v>#REF!</v>
      </c>
      <c r="Q2" s="26">
        <f>IF('Input_Energy Context'!L18="",1,'General Inputs&amp;Outputs'!$C$13)</f>
        <v>4</v>
      </c>
      <c r="R2" s="26"/>
      <c r="S2" s="26"/>
      <c r="T2" s="46"/>
      <c r="U2" s="46"/>
      <c r="V2" s="46"/>
      <c r="W2" s="46"/>
      <c r="X2" s="46"/>
      <c r="Y2" s="46"/>
      <c r="Z2" s="46"/>
      <c r="AA2" s="46"/>
      <c r="AB2" s="46"/>
      <c r="AC2" s="46"/>
      <c r="AD2" s="46"/>
      <c r="AE2" s="46"/>
      <c r="AF2" s="46"/>
      <c r="AG2" s="46"/>
      <c r="AH2" s="46"/>
      <c r="AI2" s="46"/>
      <c r="AJ2" s="46"/>
      <c r="AK2" s="46"/>
      <c r="AL2" s="46"/>
      <c r="AM2" s="46"/>
      <c r="AN2" s="46"/>
      <c r="AO2" s="46"/>
      <c r="AP2" s="46"/>
      <c r="AQ2" s="46"/>
      <c r="AR2" s="46"/>
    </row>
    <row r="3" spans="1:44" ht="29" x14ac:dyDescent="0.35">
      <c r="A3" s="18" t="s">
        <v>129</v>
      </c>
      <c r="B3" s="38" t="s">
        <v>46</v>
      </c>
      <c r="C3" s="38" t="s">
        <v>48</v>
      </c>
      <c r="D3" s="38" t="s">
        <v>49</v>
      </c>
      <c r="E3" s="38" t="s">
        <v>50</v>
      </c>
      <c r="F3" s="38" t="s">
        <v>51</v>
      </c>
      <c r="G3" s="38" t="s">
        <v>52</v>
      </c>
      <c r="H3" s="38" t="s">
        <v>53</v>
      </c>
      <c r="I3" s="38" t="s">
        <v>54</v>
      </c>
      <c r="J3" s="38" t="s">
        <v>55</v>
      </c>
      <c r="K3" s="38" t="s">
        <v>763</v>
      </c>
      <c r="L3" s="38" t="s">
        <v>648</v>
      </c>
      <c r="M3" s="56" t="s">
        <v>56</v>
      </c>
      <c r="N3" s="17"/>
    </row>
    <row r="4" spans="1:44" ht="29.25" customHeight="1" x14ac:dyDescent="0.35">
      <c r="A4" s="21" t="s">
        <v>58</v>
      </c>
      <c r="B4" s="157">
        <f>('Input_Area and Costs'!B4)*(B48*'General Inputs&amp;Outputs'!$C$12*B2+'Input_LC Materials'!B21)/1000</f>
        <v>0</v>
      </c>
      <c r="C4" s="157">
        <f>('Input_Area and Costs'!C4)*(C48*'General Inputs&amp;Outputs'!$C$12*C2+'Input_LC Materials'!C21)/1000</f>
        <v>1472271.4515573045</v>
      </c>
      <c r="D4" s="157">
        <f>('Input_Area and Costs'!D4)*(D48*'General Inputs&amp;Outputs'!$C$12*D2+'Input_LC Materials'!D21)/1000</f>
        <v>68286.033375313549</v>
      </c>
      <c r="E4" s="157">
        <f>('Input_Area and Costs'!E4)*(E48*'General Inputs&amp;Outputs'!$C$12*E2+'Input_LC Materials'!E21)/1000</f>
        <v>348379.59822631301</v>
      </c>
      <c r="F4" s="157">
        <f>('Input_Area and Costs'!F4)*(F48*'General Inputs&amp;Outputs'!$C$12*F2+'Input_LC Materials'!F21)/1000</f>
        <v>535165.30670855718</v>
      </c>
      <c r="G4" s="157">
        <f>('Input_Area and Costs'!G4)*(G48*'General Inputs&amp;Outputs'!$C$12*G2+'Input_LC Materials'!G21)/1000</f>
        <v>148542.64498928492</v>
      </c>
      <c r="H4" s="157">
        <f>('Input_Area and Costs'!H4)*(H48*'General Inputs&amp;Outputs'!$C$12*H2+'Input_LC Materials'!H21)/1000</f>
        <v>236525.8193304544</v>
      </c>
      <c r="I4" s="157">
        <f>('Input_Area and Costs'!I4)*(I48*'General Inputs&amp;Outputs'!$C$12*I2+'Input_LC Materials'!I21)/1000</f>
        <v>0</v>
      </c>
      <c r="J4" s="157">
        <f>('Input_Area and Costs'!J4)*(J48*'General Inputs&amp;Outputs'!$C$12*J2+'Input_LC Materials'!J21)/1000</f>
        <v>0</v>
      </c>
      <c r="K4" s="157">
        <f>('Input_Area and Costs'!K4)*(K48*'General Inputs&amp;Outputs'!$C$12*K2+'Input_LC Materials'!K21)/1000</f>
        <v>0</v>
      </c>
      <c r="L4" s="157">
        <f>('Input_Area and Costs'!L4)*(L48*'General Inputs&amp;Outputs'!$C$12*L2+'Input_LC Materials'!L21)/1000</f>
        <v>0</v>
      </c>
      <c r="M4" s="157">
        <f t="shared" ref="M4:M10" si="0">SUM(B4:L4)</f>
        <v>2809170.8541872273</v>
      </c>
      <c r="N4" s="17"/>
    </row>
    <row r="5" spans="1:44" ht="29.25" customHeight="1" x14ac:dyDescent="0.35">
      <c r="A5" s="21" t="s">
        <v>59</v>
      </c>
      <c r="B5" s="157">
        <f>'Input_Area and Costs'!B5*(B51*'General Inputs&amp;Outputs'!$C$12*B2+'Input_LC Materials'!B22)/1000</f>
        <v>0</v>
      </c>
      <c r="C5" s="157">
        <f>'Input_Area and Costs'!C5*(C51*'General Inputs&amp;Outputs'!$C$12*C2+'Input_LC Materials'!C22)/1000</f>
        <v>0</v>
      </c>
      <c r="D5" s="157">
        <f>'Input_Area and Costs'!D5*(D51*'General Inputs&amp;Outputs'!$C$12*D2+'Input_LC Materials'!D22)/1000</f>
        <v>0</v>
      </c>
      <c r="E5" s="157">
        <f>'Input_Area and Costs'!E5*(E51*'General Inputs&amp;Outputs'!$C$12*E2+'Input_LC Materials'!E22)/1000</f>
        <v>0</v>
      </c>
      <c r="F5" s="157">
        <f>'Input_Area and Costs'!F5*(F51*'General Inputs&amp;Outputs'!$C$12*F2+'Input_LC Materials'!F22)/1000</f>
        <v>0</v>
      </c>
      <c r="G5" s="157">
        <f>'Input_Area and Costs'!G5*(G51*'General Inputs&amp;Outputs'!$C$12*G2+'Input_LC Materials'!G22)/1000</f>
        <v>0</v>
      </c>
      <c r="H5" s="157">
        <f>'Input_Area and Costs'!H5*(H51*'General Inputs&amp;Outputs'!$C$12*H2+'Input_LC Materials'!H22)/1000</f>
        <v>0</v>
      </c>
      <c r="I5" s="157">
        <f>'Input_Area and Costs'!I5*(I51*'General Inputs&amp;Outputs'!$C$12*I2+'Input_LC Materials'!I22)/1000</f>
        <v>0</v>
      </c>
      <c r="J5" s="157">
        <f>'Input_Area and Costs'!J5*(J51*'General Inputs&amp;Outputs'!$C$12*J2+'Input_LC Materials'!J22)/1000</f>
        <v>0</v>
      </c>
      <c r="K5" s="157">
        <f>'Input_Area and Costs'!K5*(K51*'General Inputs&amp;Outputs'!$C$12*K2+'Input_LC Materials'!K22)/1000</f>
        <v>0</v>
      </c>
      <c r="L5" s="157">
        <f>'Input_Area and Costs'!L5*(L51*'General Inputs&amp;Outputs'!$C$12*L2+'Input_LC Materials'!L22)/1000</f>
        <v>0</v>
      </c>
      <c r="M5" s="157">
        <f t="shared" si="0"/>
        <v>0</v>
      </c>
      <c r="N5" s="17"/>
    </row>
    <row r="6" spans="1:44" ht="29.25" customHeight="1" x14ac:dyDescent="0.35">
      <c r="A6" s="21" t="s">
        <v>60</v>
      </c>
      <c r="B6" s="157">
        <f>'Input_Area and Costs'!B6*(B54*'General Inputs&amp;Outputs'!$C$12*B2+'Input_LC Materials'!B23)/1000</f>
        <v>0</v>
      </c>
      <c r="C6" s="157">
        <f>'Input_Area and Costs'!C6*(C54*'General Inputs&amp;Outputs'!$C$12*C2+'Input_LC Materials'!C23)/1000</f>
        <v>0</v>
      </c>
      <c r="D6" s="157">
        <f>'Input_Area and Costs'!D6*(D54*'General Inputs&amp;Outputs'!$C$12*D2+'Input_LC Materials'!D23)/1000</f>
        <v>0</v>
      </c>
      <c r="E6" s="157">
        <f>'Input_Area and Costs'!E6*(E54*'General Inputs&amp;Outputs'!$C$12*E2+'Input_LC Materials'!E23)/1000</f>
        <v>161009.08452841971</v>
      </c>
      <c r="F6" s="157">
        <f>'Input_Area and Costs'!F6*(F54*'General Inputs&amp;Outputs'!$C$12*F2+'Input_LC Materials'!F23)/1000</f>
        <v>0</v>
      </c>
      <c r="G6" s="157">
        <f>'Input_Area and Costs'!G6*(G54*'General Inputs&amp;Outputs'!$C$12*G2+'Input_LC Materials'!G23)/1000</f>
        <v>0</v>
      </c>
      <c r="H6" s="157">
        <f>'Input_Area and Costs'!H6*(H54*'General Inputs&amp;Outputs'!$C$12*H2+'Input_LC Materials'!H23)/1000</f>
        <v>0</v>
      </c>
      <c r="I6" s="157">
        <f>'Input_Area and Costs'!I6*(I54*'General Inputs&amp;Outputs'!$C$12*I2+'Input_LC Materials'!I23)/1000</f>
        <v>0</v>
      </c>
      <c r="J6" s="157">
        <f>'Input_Area and Costs'!J6*(J54*'General Inputs&amp;Outputs'!$C$12*J2+'Input_LC Materials'!J23)/1000</f>
        <v>157399.31208352771</v>
      </c>
      <c r="K6" s="157">
        <f>'Input_Area and Costs'!K6*(K54*'General Inputs&amp;Outputs'!$C$12*K2+'Input_LC Materials'!K23)/1000</f>
        <v>0</v>
      </c>
      <c r="L6" s="157">
        <f>'Input_Area and Costs'!L6*(L54*'General Inputs&amp;Outputs'!$C$12*L2+'Input_LC Materials'!L23)/1000</f>
        <v>0</v>
      </c>
      <c r="M6" s="157">
        <f t="shared" si="0"/>
        <v>318408.39661194745</v>
      </c>
      <c r="N6" s="17"/>
    </row>
    <row r="7" spans="1:44" ht="29.25" customHeight="1" x14ac:dyDescent="0.35">
      <c r="A7" s="21" t="s">
        <v>61</v>
      </c>
      <c r="B7" s="157">
        <f>'Input_Area and Costs'!B7*(B57*'General Inputs&amp;Outputs'!$C$12*B2+'Input_LC Materials'!B24)/1000</f>
        <v>0</v>
      </c>
      <c r="C7" s="157">
        <f>'Input_Area and Costs'!C7*(C57*'General Inputs&amp;Outputs'!$C$12*C2+'Input_LC Materials'!C24)/1000</f>
        <v>5066.2682084281269</v>
      </c>
      <c r="D7" s="157">
        <f>'Input_Area and Costs'!D7*(D57*'General Inputs&amp;Outputs'!$C$12*D2+'Input_LC Materials'!D24)/1000</f>
        <v>0</v>
      </c>
      <c r="E7" s="157">
        <f>'Input_Area and Costs'!E7*(E57*'General Inputs&amp;Outputs'!$C$12*E2+'Input_LC Materials'!E24)/1000</f>
        <v>0</v>
      </c>
      <c r="F7" s="157">
        <f>'Input_Area and Costs'!F7*(F57*'General Inputs&amp;Outputs'!$C$12*F2+'Input_LC Materials'!F24)/1000</f>
        <v>0</v>
      </c>
      <c r="G7" s="157">
        <f>'Input_Area and Costs'!G7*(G57*'General Inputs&amp;Outputs'!$C$12*G2+'Input_LC Materials'!G24)/1000</f>
        <v>0</v>
      </c>
      <c r="H7" s="157">
        <f>'Input_Area and Costs'!H7*(H57*'General Inputs&amp;Outputs'!$C$12*H2+'Input_LC Materials'!H24)/1000</f>
        <v>0</v>
      </c>
      <c r="I7" s="157">
        <f>'Input_Area and Costs'!I7*(I57*'General Inputs&amp;Outputs'!$C$12*I2+'Input_LC Materials'!I24)/1000</f>
        <v>0</v>
      </c>
      <c r="J7" s="157">
        <f>'Input_Area and Costs'!J7*(J57*'General Inputs&amp;Outputs'!$C$12*J2+'Input_LC Materials'!J24)/1000</f>
        <v>0</v>
      </c>
      <c r="K7" s="157">
        <f>'Input_Area and Costs'!K7*(K57*'General Inputs&amp;Outputs'!$C$12*K2+'Input_LC Materials'!K24)/1000</f>
        <v>4404.8782690824373</v>
      </c>
      <c r="L7" s="157">
        <f>'Input_Area and Costs'!L7*(L57*'General Inputs&amp;Outputs'!$C$12*L2+'Input_LC Materials'!L24)/1000</f>
        <v>0</v>
      </c>
      <c r="M7" s="157">
        <f t="shared" si="0"/>
        <v>9471.1464775105633</v>
      </c>
      <c r="N7" s="17"/>
    </row>
    <row r="8" spans="1:44" ht="29.25" customHeight="1" x14ac:dyDescent="0.35">
      <c r="A8" s="21" t="s">
        <v>62</v>
      </c>
      <c r="B8" s="157">
        <f>'Input_Area and Costs'!B8*(B60*'General Inputs&amp;Outputs'!$C$12*B2+'Input_LC Materials'!B25)/1000</f>
        <v>225980.02092500441</v>
      </c>
      <c r="C8" s="157">
        <f>'Input_Area and Costs'!C8*(C60*'General Inputs&amp;Outputs'!$C$12*C2+'Input_LC Materials'!C25)/1000</f>
        <v>0</v>
      </c>
      <c r="D8" s="157">
        <f>'Input_Area and Costs'!D8*(D60*'General Inputs&amp;Outputs'!$C$12*D2+'Input_LC Materials'!D25)/1000</f>
        <v>0</v>
      </c>
      <c r="E8" s="157">
        <f>'Input_Area and Costs'!E8*(E60*'General Inputs&amp;Outputs'!$C$12*E2+'Input_LC Materials'!E25)/1000</f>
        <v>0</v>
      </c>
      <c r="F8" s="157">
        <f>'Input_Area and Costs'!F8*(F60*'General Inputs&amp;Outputs'!$C$12*F2+'Input_LC Materials'!F25)/1000</f>
        <v>0</v>
      </c>
      <c r="G8" s="157">
        <f>'Input_Area and Costs'!G8*(G60*'General Inputs&amp;Outputs'!$C$12*G2+'Input_LC Materials'!G25)/1000</f>
        <v>2892.4319999999998</v>
      </c>
      <c r="H8" s="157">
        <f>'Input_Area and Costs'!H8*(H60*'General Inputs&amp;Outputs'!$C$12*H2+'Input_LC Materials'!H25)/1000</f>
        <v>0</v>
      </c>
      <c r="I8" s="157">
        <f>'Input_Area and Costs'!I8*(I60*'General Inputs&amp;Outputs'!$C$12*I2+'Input_LC Materials'!I25)/1000</f>
        <v>43273.966954206684</v>
      </c>
      <c r="J8" s="157">
        <f>'Input_Area and Costs'!J8*(J60*'General Inputs&amp;Outputs'!$C$12*J2+'Input_LC Materials'!J25)/1000</f>
        <v>0</v>
      </c>
      <c r="K8" s="157">
        <f>'Input_Area and Costs'!K8*(K60*'General Inputs&amp;Outputs'!$C$12*K2+'Input_LC Materials'!K25)/1000</f>
        <v>0</v>
      </c>
      <c r="L8" s="157">
        <f>'Input_Area and Costs'!L8*(L60*'General Inputs&amp;Outputs'!$C$12*L2+'Input_LC Materials'!L25)/1000</f>
        <v>0</v>
      </c>
      <c r="M8" s="157">
        <f t="shared" si="0"/>
        <v>272146.41987921111</v>
      </c>
      <c r="N8" s="17"/>
    </row>
    <row r="9" spans="1:44" ht="29.25" customHeight="1" x14ac:dyDescent="0.35">
      <c r="A9" s="21" t="s">
        <v>63</v>
      </c>
      <c r="B9" s="157">
        <f>'Input_Area and Costs'!B9*(B63*'General Inputs&amp;Outputs'!$C$12*B2+'Input_LC Materials'!B26)/1000</f>
        <v>0</v>
      </c>
      <c r="C9" s="157">
        <f>'Input_Area and Costs'!C9*(C63*'General Inputs&amp;Outputs'!$C$12*C2+'Input_LC Materials'!C26)/1000</f>
        <v>0</v>
      </c>
      <c r="D9" s="157">
        <f>'Input_Area and Costs'!D9*(D63*'General Inputs&amp;Outputs'!$C$12*D2+'Input_LC Materials'!D26)/1000</f>
        <v>0</v>
      </c>
      <c r="E9" s="157">
        <f>'Input_Area and Costs'!E9*(E63*'General Inputs&amp;Outputs'!$C$12*E2+'Input_LC Materials'!E26)/1000</f>
        <v>0</v>
      </c>
      <c r="F9" s="157">
        <f>'Input_Area and Costs'!F9*(F63*'General Inputs&amp;Outputs'!$C$12*F2+'Input_LC Materials'!F26)/1000</f>
        <v>0</v>
      </c>
      <c r="G9" s="157">
        <f>'Input_Area and Costs'!G9*(G63*'General Inputs&amp;Outputs'!$C$12*G2+'Input_LC Materials'!G26)/1000</f>
        <v>0</v>
      </c>
      <c r="H9" s="157">
        <f>'Input_Area and Costs'!H9*(H63*'General Inputs&amp;Outputs'!$C$12*H2+'Input_LC Materials'!H26)/1000</f>
        <v>0</v>
      </c>
      <c r="I9" s="157">
        <f>'Input_Area and Costs'!I9*(I63*'General Inputs&amp;Outputs'!$C$12*I2+'Input_LC Materials'!I26)/1000</f>
        <v>0</v>
      </c>
      <c r="J9" s="157">
        <f>'Input_Area and Costs'!J9*(J63*'General Inputs&amp;Outputs'!$C$12*J2+'Input_LC Materials'!J26)/1000</f>
        <v>0</v>
      </c>
      <c r="K9" s="157">
        <f>'Input_Area and Costs'!K9*(K63*'General Inputs&amp;Outputs'!$C$12*K2+'Input_LC Materials'!K26)/1000</f>
        <v>0</v>
      </c>
      <c r="L9" s="157">
        <f>'Input_Area and Costs'!L9*(L63*'General Inputs&amp;Outputs'!$C$12*L2+'Input_LC Materials'!L26)/1000</f>
        <v>0</v>
      </c>
      <c r="M9" s="157">
        <f t="shared" si="0"/>
        <v>0</v>
      </c>
      <c r="N9" s="17"/>
    </row>
    <row r="10" spans="1:44" ht="29.25" customHeight="1" x14ac:dyDescent="0.35">
      <c r="A10" s="21" t="s">
        <v>64</v>
      </c>
      <c r="B10" s="157">
        <f>'Input_Area and Costs'!B10*(B66*'General Inputs&amp;Outputs'!$C$12*B2+'Input_LC Materials'!B27)/1000</f>
        <v>0</v>
      </c>
      <c r="C10" s="157">
        <f>'Input_Area and Costs'!C10*(C66*'General Inputs&amp;Outputs'!$C$12*C2+'Input_LC Materials'!C27)/1000</f>
        <v>0</v>
      </c>
      <c r="D10" s="157">
        <f>'Input_Area and Costs'!D10*(D66*'General Inputs&amp;Outputs'!$C$12*D2+'Input_LC Materials'!D27)/1000</f>
        <v>383.09599999999966</v>
      </c>
      <c r="E10" s="157">
        <f>'Input_Area and Costs'!E10*(E66*'General Inputs&amp;Outputs'!$C$12*E2+'Input_LC Materials'!E27)/1000</f>
        <v>0</v>
      </c>
      <c r="F10" s="157">
        <f>'Input_Area and Costs'!F10*(F66*'General Inputs&amp;Outputs'!$C$12*F2+'Input_LC Materials'!F27)/1000</f>
        <v>0</v>
      </c>
      <c r="G10" s="157">
        <f>'Input_Area and Costs'!G10*(G66*'General Inputs&amp;Outputs'!$C$12*G2+'Input_LC Materials'!G27)/1000</f>
        <v>0</v>
      </c>
      <c r="H10" s="157">
        <f>'Input_Area and Costs'!H10*(H66*'General Inputs&amp;Outputs'!$C$12*H2+'Input_LC Materials'!H27)/1000</f>
        <v>0</v>
      </c>
      <c r="I10" s="157">
        <f>'Input_Area and Costs'!I10*(I66*'General Inputs&amp;Outputs'!$C$12*I2+'Input_LC Materials'!I27)/1000</f>
        <v>0</v>
      </c>
      <c r="J10" s="157">
        <f>'Input_Area and Costs'!J10*(J66*'General Inputs&amp;Outputs'!$C$12*J2+'Input_LC Materials'!J27)/1000</f>
        <v>0</v>
      </c>
      <c r="K10" s="157">
        <f>'Input_Area and Costs'!K10*(K66*'General Inputs&amp;Outputs'!$C$12*K2+'Input_LC Materials'!K27)/1000</f>
        <v>0</v>
      </c>
      <c r="L10" s="157">
        <f>'Input_Area and Costs'!L10*(L66*'General Inputs&amp;Outputs'!$C$12*L2+'Input_LC Materials'!L27)/1000</f>
        <v>335832.55390034779</v>
      </c>
      <c r="M10" s="157">
        <f t="shared" si="0"/>
        <v>336215.64990034781</v>
      </c>
      <c r="N10" s="17"/>
    </row>
    <row r="11" spans="1:44" ht="29.25" customHeight="1" x14ac:dyDescent="0.35">
      <c r="A11" s="42"/>
      <c r="B11" s="29"/>
      <c r="C11" s="29"/>
      <c r="D11" s="29"/>
      <c r="E11" s="29"/>
      <c r="F11" s="29"/>
      <c r="G11" s="29"/>
      <c r="H11" s="29"/>
      <c r="I11" s="63"/>
      <c r="J11" s="63"/>
      <c r="K11" s="63"/>
      <c r="L11" s="17"/>
      <c r="M11" s="17"/>
      <c r="N11" s="17"/>
    </row>
    <row r="12" spans="1:44" ht="42" customHeight="1" x14ac:dyDescent="0.3">
      <c r="A12" s="15" t="s">
        <v>130</v>
      </c>
      <c r="B12" s="15"/>
      <c r="C12" s="15"/>
      <c r="D12" s="15"/>
      <c r="E12" s="15"/>
      <c r="F12" s="15"/>
      <c r="G12" s="15"/>
      <c r="H12" s="15"/>
      <c r="I12" s="15"/>
      <c r="J12" s="15"/>
      <c r="K12" s="15"/>
      <c r="L12" s="16"/>
      <c r="M12" s="16"/>
      <c r="N12" s="16"/>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row>
    <row r="13" spans="1:44" ht="12.75" customHeight="1" x14ac:dyDescent="0.35">
      <c r="A13" s="42"/>
      <c r="B13" s="29"/>
      <c r="C13" s="29"/>
      <c r="D13" s="29"/>
      <c r="E13" s="29"/>
      <c r="F13" s="29"/>
      <c r="G13" s="29"/>
      <c r="H13" s="29"/>
      <c r="I13" s="63"/>
      <c r="J13" s="63"/>
      <c r="K13" s="63"/>
      <c r="L13" s="17"/>
      <c r="M13" s="17"/>
      <c r="N13" s="17"/>
    </row>
    <row r="14" spans="1:44" ht="52.5" customHeight="1" x14ac:dyDescent="0.3">
      <c r="A14" s="21" t="s">
        <v>131</v>
      </c>
      <c r="B14" s="38" t="s">
        <v>46</v>
      </c>
      <c r="C14" s="38" t="s">
        <v>48</v>
      </c>
      <c r="D14" s="38" t="s">
        <v>49</v>
      </c>
      <c r="E14" s="38" t="s">
        <v>50</v>
      </c>
      <c r="F14" s="38" t="s">
        <v>51</v>
      </c>
      <c r="G14" s="38" t="s">
        <v>52</v>
      </c>
      <c r="H14" s="38" t="s">
        <v>53</v>
      </c>
      <c r="I14" s="38" t="s">
        <v>54</v>
      </c>
      <c r="J14" s="38" t="s">
        <v>55</v>
      </c>
      <c r="K14" s="38" t="s">
        <v>763</v>
      </c>
      <c r="L14" s="38" t="s">
        <v>648</v>
      </c>
      <c r="M14" s="56" t="s">
        <v>67</v>
      </c>
    </row>
    <row r="15" spans="1:44" ht="30" customHeight="1" x14ac:dyDescent="0.3">
      <c r="A15" s="21" t="s">
        <v>58</v>
      </c>
      <c r="B15" s="23">
        <f>('Input_LC Materials'!B21)/(B48*'General Inputs&amp;Outputs'!$C$12+'Input_LC Materials'!B21)</f>
        <v>0.23565546140141777</v>
      </c>
      <c r="C15" s="23">
        <f>('Input_LC Materials'!C21)/(C48*'General Inputs&amp;Outputs'!$C$12+'Input_LC Materials'!C21)</f>
        <v>0.23415474048761561</v>
      </c>
      <c r="D15" s="23">
        <f>('Input_LC Materials'!D21)/(D48*'General Inputs&amp;Outputs'!$C$12+'Input_LC Materials'!D21)</f>
        <v>0.29904598702502078</v>
      </c>
      <c r="E15" s="23">
        <f>('Input_LC Materials'!E21)/(E48*'General Inputs&amp;Outputs'!$C$12+'Input_LC Materials'!E21)</f>
        <v>0.26786716489832302</v>
      </c>
      <c r="F15" s="23">
        <f>('Input_LC Materials'!F21)/(F48*'General Inputs&amp;Outputs'!$C$12+'Input_LC Materials'!F21)</f>
        <v>0.26897545204348183</v>
      </c>
      <c r="G15" s="23">
        <f>('Input_LC Materials'!G21)/(G48*'General Inputs&amp;Outputs'!$C$12+'Input_LC Materials'!G21)</f>
        <v>0.33751773953736075</v>
      </c>
      <c r="H15" s="23">
        <f>('Input_LC Materials'!H21)/(H48*'General Inputs&amp;Outputs'!$C$12+'Input_LC Materials'!H21)</f>
        <v>0.24604700483460262</v>
      </c>
      <c r="I15" s="23">
        <f>('Input_LC Materials'!I21)/(I48*'General Inputs&amp;Outputs'!$C$12+'Input_LC Materials'!I21)</f>
        <v>0.27546939358882078</v>
      </c>
      <c r="J15" s="23">
        <f>('Input_LC Materials'!J21)/(J48*'General Inputs&amp;Outputs'!$C$12+'Input_LC Materials'!J21)</f>
        <v>0.42046095431733965</v>
      </c>
      <c r="K15" s="23">
        <f>('Input_LC Materials'!K21)/(K48*'General Inputs&amp;Outputs'!$C$12+'Input_LC Materials'!K21)</f>
        <v>0.42364611465217633</v>
      </c>
      <c r="L15" s="23">
        <f>('Input_LC Materials'!L21)/(L48*'General Inputs&amp;Outputs'!$C$12+'Input_LC Materials'!L21)</f>
        <v>0.17336575777567326</v>
      </c>
      <c r="M15" s="23">
        <f t="shared" ref="M15:M21" si="1">AVERAGE(B15:L15)</f>
        <v>0.28929143368743931</v>
      </c>
      <c r="N15" s="26"/>
      <c r="O15" s="46"/>
    </row>
    <row r="16" spans="1:44" ht="30" customHeight="1" x14ac:dyDescent="0.3">
      <c r="A16" s="21" t="s">
        <v>59</v>
      </c>
      <c r="B16" s="23">
        <f>('Input_LC Materials'!B22)/(B51*'General Inputs&amp;Outputs'!$C$12+'Input_LC Materials'!B22)</f>
        <v>9.4441267177586233E-2</v>
      </c>
      <c r="C16" s="23">
        <f>('Input_LC Materials'!C22)/(C51*'General Inputs&amp;Outputs'!$C$12+'Input_LC Materials'!C22)</f>
        <v>9.5567207899227971E-2</v>
      </c>
      <c r="D16" s="23">
        <f>('Input_LC Materials'!D22)/(D51*'General Inputs&amp;Outputs'!$C$12+'Input_LC Materials'!D22)</f>
        <v>0.14570342868675315</v>
      </c>
      <c r="E16" s="23">
        <f>('Input_LC Materials'!E22)/(E51*'General Inputs&amp;Outputs'!$C$12+'Input_LC Materials'!E22)</f>
        <v>0.11930214609196077</v>
      </c>
      <c r="F16" s="23">
        <f>('Input_LC Materials'!F22)/(F51*'General Inputs&amp;Outputs'!$C$12+'Input_LC Materials'!F22)</f>
        <v>0.13667275087243513</v>
      </c>
      <c r="G16" s="23">
        <f>('Input_LC Materials'!G22)/(G51*'General Inputs&amp;Outputs'!$C$12+'Input_LC Materials'!G22)</f>
        <v>0.17011593206060754</v>
      </c>
      <c r="H16" s="23">
        <f>('Input_LC Materials'!H22)/(H51*'General Inputs&amp;Outputs'!$C$12+'Input_LC Materials'!H22)</f>
        <v>6.9901368931567953E-2</v>
      </c>
      <c r="I16" s="23">
        <f>('Input_LC Materials'!I22)/(I51*'General Inputs&amp;Outputs'!$C$12+'Input_LC Materials'!I22)</f>
        <v>0.12707380648230845</v>
      </c>
      <c r="J16" s="23">
        <f>('Input_LC Materials'!J22)/(J51*'General Inputs&amp;Outputs'!$C$12+'Input_LC Materials'!J22)</f>
        <v>0.41526617497165275</v>
      </c>
      <c r="K16" s="23">
        <f>('Input_LC Materials'!K22)/(K51*'General Inputs&amp;Outputs'!$C$12+'Input_LC Materials'!K22)</f>
        <v>0.29363672743819857</v>
      </c>
      <c r="L16" s="23">
        <f>('Input_LC Materials'!L22)/(L51*'General Inputs&amp;Outputs'!$C$12+'Input_LC Materials'!L22)</f>
        <v>0.13569296221646357</v>
      </c>
      <c r="M16" s="23">
        <f t="shared" si="1"/>
        <v>0.16394307025716021</v>
      </c>
      <c r="N16" s="26"/>
      <c r="O16" s="46"/>
    </row>
    <row r="17" spans="1:39" ht="30" customHeight="1" x14ac:dyDescent="0.3">
      <c r="A17" s="21" t="s">
        <v>60</v>
      </c>
      <c r="B17" s="23">
        <f>('Input_LC Materials'!B23)/(B54*'General Inputs&amp;Outputs'!$C$12+'Input_LC Materials'!B23)</f>
        <v>1.5878878183422634E-2</v>
      </c>
      <c r="C17" s="23">
        <f>('Input_LC Materials'!C23)/(C54*'General Inputs&amp;Outputs'!$C$12+'Input_LC Materials'!C23)</f>
        <v>2.4109043691111481E-2</v>
      </c>
      <c r="D17" s="23">
        <f>('Input_LC Materials'!D23)/(D54*'General Inputs&amp;Outputs'!$C$12+'Input_LC Materials'!D23)</f>
        <v>2.4117247627959519E-2</v>
      </c>
      <c r="E17" s="23">
        <f>('Input_LC Materials'!E23)/(E54*'General Inputs&amp;Outputs'!$C$12+'Input_LC Materials'!E23)</f>
        <v>2.7390097508970368E-2</v>
      </c>
      <c r="F17" s="23">
        <f>('Input_LC Materials'!F23)/(F54*'General Inputs&amp;Outputs'!$C$12+'Input_LC Materials'!F23)</f>
        <v>2.9194911637628555E-2</v>
      </c>
      <c r="G17" s="23">
        <f>('Input_LC Materials'!G23)/(G54*'General Inputs&amp;Outputs'!$C$12+'Input_LC Materials'!G23)</f>
        <v>2.9249767996031559E-2</v>
      </c>
      <c r="H17" s="23">
        <f>('Input_LC Materials'!H23)/(H54*'General Inputs&amp;Outputs'!$C$12+'Input_LC Materials'!H23)</f>
        <v>1.8508269629579778E-2</v>
      </c>
      <c r="I17" s="23">
        <f>('Input_LC Materials'!I23)/(I54*'General Inputs&amp;Outputs'!$C$12+'Input_LC Materials'!I23)</f>
        <v>2.0784997658183937E-2</v>
      </c>
      <c r="J17" s="23">
        <f>('Input_LC Materials'!J23)/(J54*'General Inputs&amp;Outputs'!$C$12+'Input_LC Materials'!J23)</f>
        <v>4.7659419222995901E-2</v>
      </c>
      <c r="K17" s="23">
        <f>('Input_LC Materials'!K23)/(K54*'General Inputs&amp;Outputs'!$C$12+'Input_LC Materials'!K23)</f>
        <v>5.3704680858574751E-2</v>
      </c>
      <c r="L17" s="23">
        <f>('Input_LC Materials'!L23)/(L54*'General Inputs&amp;Outputs'!$C$12+'Input_LC Materials'!L23)</f>
        <v>1.7071918790888638E-2</v>
      </c>
      <c r="M17" s="23">
        <f t="shared" si="1"/>
        <v>2.7969930255031559E-2</v>
      </c>
      <c r="N17" s="26"/>
      <c r="O17" s="46"/>
    </row>
    <row r="18" spans="1:39" ht="30" customHeight="1" x14ac:dyDescent="0.3">
      <c r="A18" s="21" t="s">
        <v>61</v>
      </c>
      <c r="B18" s="23">
        <f>('Input_LC Materials'!B24)/(B57*'General Inputs&amp;Outputs'!$C$12+'Input_LC Materials'!B24)</f>
        <v>0.12685829835978146</v>
      </c>
      <c r="C18" s="23">
        <f>('Input_LC Materials'!C24)/(C57*'General Inputs&amp;Outputs'!$C$12+'Input_LC Materials'!C24)</f>
        <v>0.10126624836601519</v>
      </c>
      <c r="D18" s="23">
        <f>('Input_LC Materials'!D24)/(D57*'General Inputs&amp;Outputs'!$C$12+'Input_LC Materials'!D24)</f>
        <v>0.23842286118091158</v>
      </c>
      <c r="E18" s="23">
        <f>('Input_LC Materials'!E24)/(E57*'General Inputs&amp;Outputs'!$C$12+'Input_LC Materials'!E24)</f>
        <v>0.12924230597825101</v>
      </c>
      <c r="F18" s="23">
        <f>('Input_LC Materials'!F24)/(F57*'General Inputs&amp;Outputs'!$C$12+'Input_LC Materials'!F24)</f>
        <v>0.16013023035016147</v>
      </c>
      <c r="G18" s="23">
        <f>('Input_LC Materials'!G24)/(G57*'General Inputs&amp;Outputs'!$C$12+'Input_LC Materials'!G24)</f>
        <v>0.24918648883167238</v>
      </c>
      <c r="H18" s="23">
        <f>('Input_LC Materials'!H24)/(H57*'General Inputs&amp;Outputs'!$C$12+'Input_LC Materials'!H24)</f>
        <v>9.4530364667767583E-2</v>
      </c>
      <c r="I18" s="23">
        <f>('Input_LC Materials'!I24)/(I57*'General Inputs&amp;Outputs'!$C$12+'Input_LC Materials'!I24)</f>
        <v>0.20909891727428545</v>
      </c>
      <c r="J18" s="23">
        <f>('Input_LC Materials'!J24)/(J57*'General Inputs&amp;Outputs'!$C$12+'Input_LC Materials'!J24)</f>
        <v>0.60567548053846199</v>
      </c>
      <c r="K18" s="23">
        <f>('Input_LC Materials'!K24)/(K57*'General Inputs&amp;Outputs'!$C$12+'Input_LC Materials'!K24)</f>
        <v>0.46020787775873517</v>
      </c>
      <c r="L18" s="23">
        <f>('Input_LC Materials'!L24)/(L57*'General Inputs&amp;Outputs'!$C$12+'Input_LC Materials'!L24)</f>
        <v>0.42279156060642847</v>
      </c>
      <c r="M18" s="23">
        <f t="shared" si="1"/>
        <v>0.25431005762840653</v>
      </c>
      <c r="N18" s="26"/>
      <c r="O18" s="46"/>
    </row>
    <row r="19" spans="1:39" ht="30" customHeight="1" x14ac:dyDescent="0.3">
      <c r="A19" s="21" t="s">
        <v>62</v>
      </c>
      <c r="B19" s="23">
        <f>('Input_LC Materials'!B25)/(B60*'General Inputs&amp;Outputs'!$C$12+'Input_LC Materials'!B25)</f>
        <v>4.9304782614972287E-2</v>
      </c>
      <c r="C19" s="23"/>
      <c r="D19" s="23"/>
      <c r="E19" s="23"/>
      <c r="F19" s="23"/>
      <c r="G19" s="23"/>
      <c r="H19" s="23">
        <f>('Input_LC Materials'!H25)/(H60*'General Inputs&amp;Outputs'!$C$12+'Input_LC Materials'!H25)</f>
        <v>2.5781795934876995E-2</v>
      </c>
      <c r="I19" s="23">
        <f>('Input_LC Materials'!I25)/(I60*'General Inputs&amp;Outputs'!$C$12+'Input_LC Materials'!I25)</f>
        <v>6.364926349446634E-2</v>
      </c>
      <c r="J19" s="23"/>
      <c r="K19" s="23">
        <f>('Input_LC Materials'!K25)/(K60*'General Inputs&amp;Outputs'!$C$12+'Input_LC Materials'!K25)</f>
        <v>0.17979415826090012</v>
      </c>
      <c r="L19" s="23">
        <f>('Input_LC Materials'!L25)/(L60*'General Inputs&amp;Outputs'!$C$12+'Input_LC Materials'!L25)</f>
        <v>9.7631110409586774E-2</v>
      </c>
      <c r="M19" s="23">
        <f t="shared" si="1"/>
        <v>8.3232222142960499E-2</v>
      </c>
      <c r="N19" s="26"/>
      <c r="O19" s="46"/>
    </row>
    <row r="20" spans="1:39" ht="30" customHeight="1" x14ac:dyDescent="0.3">
      <c r="A20" s="21" t="s">
        <v>63</v>
      </c>
      <c r="B20" s="23"/>
      <c r="C20" s="23"/>
      <c r="D20" s="23"/>
      <c r="E20" s="23"/>
      <c r="F20" s="23"/>
      <c r="G20" s="23"/>
      <c r="H20" s="23"/>
      <c r="I20" s="23"/>
      <c r="J20" s="23"/>
      <c r="K20" s="23"/>
      <c r="L20" s="23">
        <f>('Input_LC Materials'!L26)/(L63*'General Inputs&amp;Outputs'!$C$12+'Input_LC Materials'!L26)</f>
        <v>4.4494986235008326E-2</v>
      </c>
      <c r="M20" s="23">
        <f t="shared" si="1"/>
        <v>4.4494986235008326E-2</v>
      </c>
      <c r="N20" s="26"/>
      <c r="O20" s="46"/>
    </row>
    <row r="21" spans="1:39" ht="30" customHeight="1" x14ac:dyDescent="0.3">
      <c r="A21" s="21" t="s">
        <v>64</v>
      </c>
      <c r="B21" s="23"/>
      <c r="C21" s="23"/>
      <c r="D21" s="23"/>
      <c r="E21" s="23"/>
      <c r="F21" s="23"/>
      <c r="G21" s="23"/>
      <c r="H21" s="23"/>
      <c r="I21" s="23"/>
      <c r="J21" s="23"/>
      <c r="K21" s="23"/>
      <c r="L21" s="23">
        <f>('Input_LC Materials'!L27)/(L66*'General Inputs&amp;Outputs'!$C$12+'Input_LC Materials'!L27)</f>
        <v>3.2079102144447688E-2</v>
      </c>
      <c r="M21" s="23">
        <f t="shared" si="1"/>
        <v>3.2079102144447688E-2</v>
      </c>
      <c r="N21" s="26"/>
      <c r="O21" s="46"/>
    </row>
    <row r="22" spans="1:39" ht="29.25" customHeight="1" x14ac:dyDescent="0.35">
      <c r="A22" s="42"/>
      <c r="B22" s="29"/>
      <c r="C22" s="29"/>
      <c r="D22" s="29"/>
      <c r="E22" s="29"/>
      <c r="F22" s="29"/>
      <c r="G22" s="29"/>
      <c r="H22" s="29"/>
      <c r="I22" s="63"/>
      <c r="J22" s="63"/>
      <c r="K22" s="63"/>
      <c r="L22" s="17"/>
      <c r="M22" s="17"/>
      <c r="N22" s="17"/>
    </row>
    <row r="23" spans="1:39" ht="42" customHeight="1" x14ac:dyDescent="0.3">
      <c r="A23" s="15" t="s">
        <v>132</v>
      </c>
      <c r="B23" s="15"/>
      <c r="C23" s="15"/>
      <c r="D23" s="15"/>
      <c r="E23" s="15"/>
      <c r="F23" s="15"/>
      <c r="G23" s="15"/>
      <c r="H23" s="15"/>
      <c r="I23" s="15"/>
      <c r="J23" s="15"/>
      <c r="K23" s="15"/>
      <c r="L23" s="16"/>
      <c r="M23" s="16"/>
      <c r="N23" s="16"/>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row>
    <row r="24" spans="1:39" ht="15.75" customHeight="1" x14ac:dyDescent="0.35">
      <c r="L24" s="17"/>
      <c r="M24" s="17"/>
      <c r="N24" s="17"/>
    </row>
    <row r="25" spans="1:39" ht="15.75" customHeight="1" x14ac:dyDescent="0.35">
      <c r="A25" s="18" t="s">
        <v>133</v>
      </c>
      <c r="B25" s="38" t="s">
        <v>46</v>
      </c>
      <c r="C25" s="38" t="s">
        <v>48</v>
      </c>
      <c r="D25" s="38" t="s">
        <v>49</v>
      </c>
      <c r="E25" s="38" t="s">
        <v>50</v>
      </c>
      <c r="F25" s="38" t="s">
        <v>51</v>
      </c>
      <c r="G25" s="38" t="s">
        <v>52</v>
      </c>
      <c r="H25" s="38" t="s">
        <v>53</v>
      </c>
      <c r="I25" s="38" t="s">
        <v>54</v>
      </c>
      <c r="J25" s="38" t="s">
        <v>55</v>
      </c>
      <c r="K25" s="38" t="s">
        <v>763</v>
      </c>
      <c r="L25" s="38" t="s">
        <v>648</v>
      </c>
      <c r="M25" s="56" t="s">
        <v>134</v>
      </c>
      <c r="N25" s="17"/>
    </row>
    <row r="26" spans="1:39" ht="30" customHeight="1" x14ac:dyDescent="0.35">
      <c r="A26" s="21" t="s">
        <v>58</v>
      </c>
      <c r="B26" s="157">
        <f>('Input_Area and Costs'!B4)*('Output_Carbon savings'!B87*'General Inputs&amp;Outputs'!$C$12*B2+'Input_LC Materials'!B21)/1000</f>
        <v>0</v>
      </c>
      <c r="C26" s="157">
        <f>('Input_Area and Costs'!C4)*('Output_Carbon savings'!C87*'General Inputs&amp;Outputs'!$C$12*C2+'Input_LC Materials'!C21)/1000</f>
        <v>1117905.9015573044</v>
      </c>
      <c r="D26" s="157">
        <f>('Input_Area and Costs'!D4)*('Output_Carbon savings'!D87*'General Inputs&amp;Outputs'!$C$12*D2+'Input_LC Materials'!D21)/1000</f>
        <v>54772.533375313549</v>
      </c>
      <c r="E26" s="157">
        <f>('Input_Area and Costs'!E4)*('Output_Carbon savings'!E87*'General Inputs&amp;Outputs'!$C$12*E2+'Input_LC Materials'!E21)/1000</f>
        <v>249419.19822631302</v>
      </c>
      <c r="F26" s="157">
        <f>('Input_Area and Costs'!F4)*('Output_Carbon savings'!F87*'General Inputs&amp;Outputs'!$C$12*F2+'Input_LC Materials'!F21)/1000</f>
        <v>356774.73844907712</v>
      </c>
      <c r="G26" s="157">
        <f>('Input_Area and Costs'!G4)*('Output_Carbon savings'!G87*'General Inputs&amp;Outputs'!$C$12*G2+'Input_LC Materials'!G21)/1000</f>
        <v>120710.03248928495</v>
      </c>
      <c r="H26" s="157">
        <f>('Input_Area and Costs'!H4)*('Output_Carbon savings'!H87*'General Inputs&amp;Outputs'!$C$12*H2+'Input_LC Materials'!H21)/1000</f>
        <v>201968.21933045448</v>
      </c>
      <c r="I26" s="157">
        <f>('Input_Area and Costs'!I4)*('Output_Carbon savings'!I87*'General Inputs&amp;Outputs'!$C$12*I2+'Input_LC Materials'!I21)/1000</f>
        <v>0</v>
      </c>
      <c r="J26" s="157">
        <f>('Input_Area and Costs'!J4)*('Output_Carbon savings'!J87*'General Inputs&amp;Outputs'!$C$12*J2+'Input_LC Materials'!J21)/1000</f>
        <v>0</v>
      </c>
      <c r="K26" s="157">
        <f>('Input_Area and Costs'!K4)*('Output_Carbon savings'!K87*'General Inputs&amp;Outputs'!$C$12*K2+'Input_LC Materials'!K21)/1000</f>
        <v>0</v>
      </c>
      <c r="L26" s="157">
        <f>('Input_Area and Costs'!L4)*('Output_Carbon savings'!L87*'General Inputs&amp;Outputs'!$C$12*L2+'Input_LC Materials'!L21)/1000</f>
        <v>0</v>
      </c>
      <c r="M26" s="157">
        <f t="shared" ref="M26:M32" si="2">SUM(B26:L26)</f>
        <v>2101550.6234277477</v>
      </c>
      <c r="N26" s="17"/>
    </row>
    <row r="27" spans="1:39" ht="30" customHeight="1" x14ac:dyDescent="0.35">
      <c r="A27" s="21" t="s">
        <v>59</v>
      </c>
      <c r="B27" s="157">
        <f>'Input_Area and Costs'!B5*('Output_Carbon savings'!B90*'General Inputs&amp;Outputs'!$C$12*B2+'Input_LC Materials'!B22)/1000</f>
        <v>0</v>
      </c>
      <c r="C27" s="157">
        <f>'Input_Area and Costs'!C5*('Output_Carbon savings'!C90*'General Inputs&amp;Outputs'!$C$12*C2+'Input_LC Materials'!C22)/1000</f>
        <v>0</v>
      </c>
      <c r="D27" s="157">
        <f>'Input_Area and Costs'!D5*('Output_Carbon savings'!D90*'General Inputs&amp;Outputs'!$C$12*D2+'Input_LC Materials'!D22)/1000</f>
        <v>0</v>
      </c>
      <c r="E27" s="157">
        <f>'Input_Area and Costs'!E5*('Output_Carbon savings'!E90*'General Inputs&amp;Outputs'!$C$12*E2+'Input_LC Materials'!E22)/1000</f>
        <v>0</v>
      </c>
      <c r="F27" s="157">
        <f>'Input_Area and Costs'!F5*('Output_Carbon savings'!F90*'General Inputs&amp;Outputs'!$C$12*F2+'Input_LC Materials'!F22)/1000</f>
        <v>0</v>
      </c>
      <c r="G27" s="157">
        <f>'Input_Area and Costs'!G5*('Output_Carbon savings'!G90*'General Inputs&amp;Outputs'!$C$12*G2+'Input_LC Materials'!G22)/1000</f>
        <v>0</v>
      </c>
      <c r="H27" s="157">
        <f>'Input_Area and Costs'!H5*('Output_Carbon savings'!H90*'General Inputs&amp;Outputs'!$C$12*H2+'Input_LC Materials'!H22)/1000</f>
        <v>0</v>
      </c>
      <c r="I27" s="157">
        <f>'Input_Area and Costs'!I5*('Output_Carbon savings'!I90*'General Inputs&amp;Outputs'!$C$12*I2+'Input_LC Materials'!I22)/1000</f>
        <v>0</v>
      </c>
      <c r="J27" s="157">
        <f>'Input_Area and Costs'!J5*('Output_Carbon savings'!J90*'General Inputs&amp;Outputs'!$C$12*J2+'Input_LC Materials'!J22)/1000</f>
        <v>0</v>
      </c>
      <c r="K27" s="157">
        <f>'Input_Area and Costs'!K5*('Output_Carbon savings'!K90*'General Inputs&amp;Outputs'!$C$12*K2+'Input_LC Materials'!K22)/1000</f>
        <v>0</v>
      </c>
      <c r="L27" s="157">
        <f>'Input_Area and Costs'!L5*('Output_Carbon savings'!L90*'General Inputs&amp;Outputs'!$C$12*L2+'Input_LC Materials'!L22)/1000</f>
        <v>0</v>
      </c>
      <c r="M27" s="157">
        <f t="shared" si="2"/>
        <v>0</v>
      </c>
      <c r="N27" s="17"/>
    </row>
    <row r="28" spans="1:39" ht="30" customHeight="1" x14ac:dyDescent="0.35">
      <c r="A28" s="21" t="s">
        <v>60</v>
      </c>
      <c r="B28" s="157">
        <f>'Input_Area and Costs'!B6*('Output_Carbon savings'!B93*'General Inputs&amp;Outputs'!$C$12*B2+'Input_LC Materials'!B23)/1000</f>
        <v>0</v>
      </c>
      <c r="C28" s="157">
        <f>'Input_Area and Costs'!C6*('Output_Carbon savings'!C93*'General Inputs&amp;Outputs'!$C$12*C2+'Input_LC Materials'!C23)/1000</f>
        <v>0</v>
      </c>
      <c r="D28" s="157">
        <f>'Input_Area and Costs'!D6*('Output_Carbon savings'!D93*'General Inputs&amp;Outputs'!$C$12*D2+'Input_LC Materials'!D23)/1000</f>
        <v>0</v>
      </c>
      <c r="E28" s="157">
        <f>'Input_Area and Costs'!E6*('Output_Carbon savings'!E93*'General Inputs&amp;Outputs'!$C$12*E2+'Input_LC Materials'!E23)/1000</f>
        <v>97881.691968833504</v>
      </c>
      <c r="F28" s="157">
        <f>'Input_Area and Costs'!F6*('Output_Carbon savings'!F93*'General Inputs&amp;Outputs'!$C$12*F2+'Input_LC Materials'!F23)/1000</f>
        <v>0</v>
      </c>
      <c r="G28" s="157">
        <f>'Input_Area and Costs'!G6*('Output_Carbon savings'!G93*'General Inputs&amp;Outputs'!$C$12*G2+'Input_LC Materials'!G23)/1000</f>
        <v>0</v>
      </c>
      <c r="H28" s="157">
        <f>'Input_Area and Costs'!H6*('Output_Carbon savings'!H93*'General Inputs&amp;Outputs'!$C$12*H2+'Input_LC Materials'!H23)/1000</f>
        <v>0</v>
      </c>
      <c r="I28" s="157">
        <f>'Input_Area and Costs'!I6*('Output_Carbon savings'!I93*'General Inputs&amp;Outputs'!$C$12*I2+'Input_LC Materials'!I23)/1000</f>
        <v>0</v>
      </c>
      <c r="J28" s="157">
        <f>'Input_Area and Costs'!J6*('Output_Carbon savings'!J93*'General Inputs&amp;Outputs'!$C$12*J2+'Input_LC Materials'!J23)/1000</f>
        <v>141697.73857208257</v>
      </c>
      <c r="K28" s="157">
        <f>'Input_Area and Costs'!K6*('Output_Carbon savings'!K93*'General Inputs&amp;Outputs'!$C$12*K2+'Input_LC Materials'!K23)/1000</f>
        <v>0</v>
      </c>
      <c r="L28" s="157">
        <f>'Input_Area and Costs'!L6*('Output_Carbon savings'!L93*'General Inputs&amp;Outputs'!$C$12*L2+'Input_LC Materials'!L23)/1000</f>
        <v>0</v>
      </c>
      <c r="M28" s="157">
        <f t="shared" si="2"/>
        <v>239579.43054091607</v>
      </c>
      <c r="N28" s="17"/>
    </row>
    <row r="29" spans="1:39" ht="30" customHeight="1" x14ac:dyDescent="0.35">
      <c r="A29" s="21" t="s">
        <v>61</v>
      </c>
      <c r="B29" s="157">
        <f>'Input_Area and Costs'!B7*('Output_Carbon savings'!B96*'General Inputs&amp;Outputs'!$C$12*B2+'Input_LC Materials'!B24)/1000</f>
        <v>0</v>
      </c>
      <c r="C29" s="157">
        <f>'Input_Area and Costs'!C7*('Output_Carbon savings'!C96*'General Inputs&amp;Outputs'!$C$12*C2+'Input_LC Materials'!C24)/1000</f>
        <v>3111.9296389520837</v>
      </c>
      <c r="D29" s="157">
        <f>'Input_Area and Costs'!D7*('Output_Carbon savings'!D96*'General Inputs&amp;Outputs'!$C$12*D2+'Input_LC Materials'!D24)/1000</f>
        <v>0</v>
      </c>
      <c r="E29" s="157">
        <f>'Input_Area and Costs'!E7*('Output_Carbon savings'!E96*'General Inputs&amp;Outputs'!$C$12*E2+'Input_LC Materials'!E24)/1000</f>
        <v>0</v>
      </c>
      <c r="F29" s="157">
        <f>'Input_Area and Costs'!F7*('Output_Carbon savings'!F96*'General Inputs&amp;Outputs'!$C$12*F2+'Input_LC Materials'!F24)/1000</f>
        <v>0</v>
      </c>
      <c r="G29" s="157">
        <f>'Input_Area and Costs'!G7*('Output_Carbon savings'!G96*'General Inputs&amp;Outputs'!$C$12*G2+'Input_LC Materials'!G24)/1000</f>
        <v>0</v>
      </c>
      <c r="H29" s="157">
        <f>'Input_Area and Costs'!H7*('Output_Carbon savings'!H96*'General Inputs&amp;Outputs'!$C$12*H2+'Input_LC Materials'!H24)/1000</f>
        <v>0</v>
      </c>
      <c r="I29" s="157">
        <f>'Input_Area and Costs'!I7*('Output_Carbon savings'!I96*'General Inputs&amp;Outputs'!$C$12*I2+'Input_LC Materials'!I24)/1000</f>
        <v>0</v>
      </c>
      <c r="J29" s="157">
        <f>'Input_Area and Costs'!J7*('Output_Carbon savings'!J96*'General Inputs&amp;Outputs'!$C$12*J2+'Input_LC Materials'!J24)/1000</f>
        <v>0</v>
      </c>
      <c r="K29" s="157">
        <f>'Input_Area and Costs'!K7*('Output_Carbon savings'!K96*'General Inputs&amp;Outputs'!$C$12*K2+'Input_LC Materials'!K24)/1000</f>
        <v>4087.849123871445</v>
      </c>
      <c r="L29" s="157">
        <f>'Input_Area and Costs'!L7*('Output_Carbon savings'!L96*'General Inputs&amp;Outputs'!$C$12*L2+'Input_LC Materials'!L24)/1000</f>
        <v>0</v>
      </c>
      <c r="M29" s="157">
        <f t="shared" si="2"/>
        <v>7199.7787628235292</v>
      </c>
      <c r="N29" s="17"/>
    </row>
    <row r="30" spans="1:39" ht="30" customHeight="1" x14ac:dyDescent="0.35">
      <c r="A30" s="21" t="s">
        <v>62</v>
      </c>
      <c r="B30" s="157">
        <f>'Input_Area and Costs'!B8*('Output_Carbon savings'!B99*'General Inputs&amp;Outputs'!$C$12*B2+'Input_LC Materials'!B25)/1000</f>
        <v>168483.2196556734</v>
      </c>
      <c r="C30" s="157">
        <f>'Input_Area and Costs'!C8*('Output_Carbon savings'!C99*'General Inputs&amp;Outputs'!$C$12*C2+'Input_LC Materials'!C25)/1000</f>
        <v>0</v>
      </c>
      <c r="D30" s="157">
        <f>'Input_Area and Costs'!D8*('Output_Carbon savings'!D99*'General Inputs&amp;Outputs'!$C$12*D2+'Input_LC Materials'!D25)/1000</f>
        <v>0</v>
      </c>
      <c r="E30" s="157">
        <f>'Input_Area and Costs'!E8*('Output_Carbon savings'!E99*'General Inputs&amp;Outputs'!$C$12*E2+'Input_LC Materials'!E25)/1000</f>
        <v>0</v>
      </c>
      <c r="F30" s="157">
        <f>'Input_Area and Costs'!F8*('Output_Carbon savings'!F99*'General Inputs&amp;Outputs'!$C$12*F2+'Input_LC Materials'!F25)/1000</f>
        <v>0</v>
      </c>
      <c r="G30" s="157">
        <f>'Input_Area and Costs'!G8*('Output_Carbon savings'!G99*'General Inputs&amp;Outputs'!$C$12*G2+'Input_LC Materials'!G25)/1000</f>
        <v>2892.4319999999998</v>
      </c>
      <c r="H30" s="157">
        <f>'Input_Area and Costs'!H8*('Output_Carbon savings'!H99*'General Inputs&amp;Outputs'!$C$12*H2+'Input_LC Materials'!H25)/1000</f>
        <v>0</v>
      </c>
      <c r="I30" s="157">
        <f>'Input_Area and Costs'!I8*('Output_Carbon savings'!I99*'General Inputs&amp;Outputs'!$C$12*I2+'Input_LC Materials'!I25)/1000</f>
        <v>32320.280490747533</v>
      </c>
      <c r="J30" s="157">
        <f>'Input_Area and Costs'!J8*('Output_Carbon savings'!J99*'General Inputs&amp;Outputs'!$C$12*J2+'Input_LC Materials'!J25)/1000</f>
        <v>0</v>
      </c>
      <c r="K30" s="157">
        <f>'Input_Area and Costs'!K8*('Output_Carbon savings'!K99*'General Inputs&amp;Outputs'!$C$12*K2+'Input_LC Materials'!K25)/1000</f>
        <v>0</v>
      </c>
      <c r="L30" s="157">
        <f>'Input_Area and Costs'!L8*('Output_Carbon savings'!L99*'General Inputs&amp;Outputs'!$C$12*L2+'Input_LC Materials'!L25)/1000</f>
        <v>0</v>
      </c>
      <c r="M30" s="157">
        <f t="shared" si="2"/>
        <v>203695.93214642094</v>
      </c>
      <c r="N30" s="17"/>
    </row>
    <row r="31" spans="1:39" ht="30" customHeight="1" x14ac:dyDescent="0.35">
      <c r="A31" s="21" t="s">
        <v>63</v>
      </c>
      <c r="B31" s="157">
        <f>'Input_Area and Costs'!B9*('Output_Carbon savings'!B102*'General Inputs&amp;Outputs'!$C$12*B2+'Input_LC Materials'!B26)/1000</f>
        <v>0</v>
      </c>
      <c r="C31" s="157">
        <f>'Input_Area and Costs'!C9*('Output_Carbon savings'!C102*'General Inputs&amp;Outputs'!$C$12*C2+'Input_LC Materials'!C26)/1000</f>
        <v>0</v>
      </c>
      <c r="D31" s="157">
        <f>'Input_Area and Costs'!D9*('Output_Carbon savings'!D102*'General Inputs&amp;Outputs'!$C$12*D2+'Input_LC Materials'!D26)/1000</f>
        <v>0</v>
      </c>
      <c r="E31" s="157">
        <f>'Input_Area and Costs'!E9*('Output_Carbon savings'!E102*'General Inputs&amp;Outputs'!$C$12*E2+'Input_LC Materials'!E26)/1000</f>
        <v>0</v>
      </c>
      <c r="F31" s="157">
        <f>'Input_Area and Costs'!F9*('Output_Carbon savings'!F102*'General Inputs&amp;Outputs'!$C$12*F2+'Input_LC Materials'!F26)/1000</f>
        <v>0</v>
      </c>
      <c r="G31" s="157">
        <f>'Input_Area and Costs'!G9*('Output_Carbon savings'!G102*'General Inputs&amp;Outputs'!$C$12*G2+'Input_LC Materials'!G26)/1000</f>
        <v>0</v>
      </c>
      <c r="H31" s="157">
        <f>'Input_Area and Costs'!H9*('Output_Carbon savings'!H102*'General Inputs&amp;Outputs'!$C$12*H2+'Input_LC Materials'!H26)/1000</f>
        <v>0</v>
      </c>
      <c r="I31" s="157">
        <f>'Input_Area and Costs'!I9*('Output_Carbon savings'!I102*'General Inputs&amp;Outputs'!$C$12*I2+'Input_LC Materials'!I26)/1000</f>
        <v>0</v>
      </c>
      <c r="J31" s="157">
        <f>'Input_Area and Costs'!J9*('Output_Carbon savings'!J102*'General Inputs&amp;Outputs'!$C$12*J2+'Input_LC Materials'!J26)/1000</f>
        <v>0</v>
      </c>
      <c r="K31" s="157">
        <f>'Input_Area and Costs'!K9*('Output_Carbon savings'!K102*'General Inputs&amp;Outputs'!$C$12*K2+'Input_LC Materials'!K26)/1000</f>
        <v>0</v>
      </c>
      <c r="L31" s="157">
        <f>'Input_Area and Costs'!L9*('Output_Carbon savings'!L102*'General Inputs&amp;Outputs'!$C$12*L2+'Input_LC Materials'!L26)/1000</f>
        <v>0</v>
      </c>
      <c r="M31" s="157">
        <f t="shared" si="2"/>
        <v>0</v>
      </c>
      <c r="N31" s="17"/>
    </row>
    <row r="32" spans="1:39" ht="30" customHeight="1" x14ac:dyDescent="0.35">
      <c r="A32" s="21" t="s">
        <v>64</v>
      </c>
      <c r="B32" s="157">
        <f>'Input_Area and Costs'!B10*('Output_Carbon savings'!B105*'General Inputs&amp;Outputs'!$C$12*B2+'Input_LC Materials'!B27)/1000</f>
        <v>0</v>
      </c>
      <c r="C32" s="157">
        <f>'Input_Area and Costs'!C10*('Output_Carbon savings'!C105*'General Inputs&amp;Outputs'!$C$12*C2+'Input_LC Materials'!C27)/1000</f>
        <v>0</v>
      </c>
      <c r="D32" s="157">
        <f>'Input_Area and Costs'!D10*('Output_Carbon savings'!D105*'General Inputs&amp;Outputs'!$C$12*D2+'Input_LC Materials'!D27)/1000</f>
        <v>383.09599999999966</v>
      </c>
      <c r="E32" s="157">
        <f>'Input_Area and Costs'!E10*('Output_Carbon savings'!E105*'General Inputs&amp;Outputs'!$C$12*E2+'Input_LC Materials'!E27)/1000</f>
        <v>0</v>
      </c>
      <c r="F32" s="157">
        <f>'Input_Area and Costs'!F10*('Output_Carbon savings'!F105*'General Inputs&amp;Outputs'!$C$12*F2+'Input_LC Materials'!F27)/1000</f>
        <v>0</v>
      </c>
      <c r="G32" s="157">
        <f>'Input_Area and Costs'!G10*('Output_Carbon savings'!G105*'General Inputs&amp;Outputs'!$C$12*G2+'Input_LC Materials'!G27)/1000</f>
        <v>0</v>
      </c>
      <c r="H32" s="157">
        <f>'Input_Area and Costs'!H10*('Output_Carbon savings'!H105*'General Inputs&amp;Outputs'!$C$12*H2+'Input_LC Materials'!H27)/1000</f>
        <v>0</v>
      </c>
      <c r="I32" s="157">
        <f>'Input_Area and Costs'!I10*('Output_Carbon savings'!I105*'General Inputs&amp;Outputs'!$C$12*I2+'Input_LC Materials'!I27)/1000</f>
        <v>0</v>
      </c>
      <c r="J32" s="157">
        <f>'Input_Area and Costs'!J10*('Output_Carbon savings'!J105*'General Inputs&amp;Outputs'!$C$12*J2+'Input_LC Materials'!J27)/1000</f>
        <v>0</v>
      </c>
      <c r="K32" s="157">
        <f>'Input_Area and Costs'!K10*('Output_Carbon savings'!K105*'General Inputs&amp;Outputs'!$C$12*K2+'Input_LC Materials'!K27)/1000</f>
        <v>0</v>
      </c>
      <c r="L32" s="157">
        <f>'Input_Area and Costs'!L10*('Output_Carbon savings'!L105*'General Inputs&amp;Outputs'!$C$12*L2+'Input_LC Materials'!L27)/1000</f>
        <v>213461.20189220403</v>
      </c>
      <c r="M32" s="157">
        <f t="shared" si="2"/>
        <v>213844.29789220402</v>
      </c>
      <c r="N32" s="17"/>
    </row>
    <row r="33" spans="1:39" ht="25.5" customHeight="1" x14ac:dyDescent="0.35">
      <c r="L33" s="17"/>
      <c r="M33" s="17"/>
      <c r="N33" s="17"/>
    </row>
    <row r="34" spans="1:39" ht="42" customHeight="1" x14ac:dyDescent="0.3">
      <c r="A34" s="15" t="s">
        <v>135</v>
      </c>
      <c r="B34" s="15"/>
      <c r="C34" s="15"/>
      <c r="D34" s="15"/>
      <c r="E34" s="15"/>
      <c r="F34" s="15"/>
      <c r="G34" s="15"/>
      <c r="H34" s="15"/>
      <c r="I34" s="15"/>
      <c r="J34" s="15"/>
      <c r="K34" s="15"/>
      <c r="L34" s="16"/>
      <c r="M34" s="16"/>
      <c r="N34" s="16"/>
      <c r="O34" s="15"/>
      <c r="P34" s="15"/>
      <c r="Q34" s="15"/>
      <c r="R34" s="15"/>
      <c r="S34" s="15"/>
      <c r="T34" s="15"/>
      <c r="U34" s="15"/>
      <c r="V34" s="15"/>
      <c r="W34" s="15"/>
      <c r="X34" s="15"/>
      <c r="Y34" s="15"/>
      <c r="Z34" s="15"/>
      <c r="AA34" s="15"/>
      <c r="AB34" s="15"/>
      <c r="AC34" s="15"/>
      <c r="AD34" s="15"/>
      <c r="AE34" s="15"/>
      <c r="AF34" s="15"/>
      <c r="AG34" s="15"/>
      <c r="AH34" s="15"/>
      <c r="AI34" s="15"/>
      <c r="AJ34" s="15"/>
      <c r="AK34" s="15"/>
      <c r="AL34" s="15"/>
      <c r="AM34" s="15"/>
    </row>
    <row r="35" spans="1:39" ht="15.75" customHeight="1" x14ac:dyDescent="0.35">
      <c r="L35" s="17"/>
      <c r="M35" s="17"/>
      <c r="N35" s="17"/>
    </row>
    <row r="36" spans="1:39" ht="49.5" customHeight="1" x14ac:dyDescent="0.35">
      <c r="A36" s="21" t="s">
        <v>131</v>
      </c>
      <c r="B36" s="38" t="s">
        <v>46</v>
      </c>
      <c r="C36" s="38" t="s">
        <v>48</v>
      </c>
      <c r="D36" s="38" t="s">
        <v>49</v>
      </c>
      <c r="E36" s="38" t="s">
        <v>50</v>
      </c>
      <c r="F36" s="38" t="s">
        <v>51</v>
      </c>
      <c r="G36" s="38" t="s">
        <v>52</v>
      </c>
      <c r="H36" s="38" t="s">
        <v>53</v>
      </c>
      <c r="I36" s="38" t="s">
        <v>54</v>
      </c>
      <c r="J36" s="38" t="s">
        <v>55</v>
      </c>
      <c r="K36" s="38" t="s">
        <v>763</v>
      </c>
      <c r="L36" s="19" t="s">
        <v>648</v>
      </c>
      <c r="M36" s="56" t="s">
        <v>67</v>
      </c>
      <c r="O36" s="17"/>
    </row>
    <row r="37" spans="1:39" ht="30" customHeight="1" x14ac:dyDescent="0.35">
      <c r="A37" s="21" t="s">
        <v>58</v>
      </c>
      <c r="B37" s="23">
        <f>('Input_LC Materials'!B21)/('Output_Carbon savings'!B87*'General Inputs&amp;Outputs'!$C$12+'Input_LC Materials'!B21)</f>
        <v>0.25460937943471557</v>
      </c>
      <c r="C37" s="23">
        <f>('Input_LC Materials'!C21)/('Output_Carbon savings'!C87*'General Inputs&amp;Outputs'!$C$12+'Input_LC Materials'!C21)</f>
        <v>0.29211777488432877</v>
      </c>
      <c r="D37" s="23">
        <f>('Input_LC Materials'!D21)/('Output_Carbon savings'!D87*'General Inputs&amp;Outputs'!$C$12+'Input_LC Materials'!D21)</f>
        <v>0.35327789719349495</v>
      </c>
      <c r="E37" s="23">
        <f>('Input_LC Materials'!E21)/('Output_Carbon savings'!E87*'General Inputs&amp;Outputs'!$C$12+'Input_LC Materials'!E21)</f>
        <v>0.34652552453124302</v>
      </c>
      <c r="F37" s="23">
        <f>('Input_LC Materials'!F21)/('Output_Carbon savings'!F87*'General Inputs&amp;Outputs'!$C$12+'Input_LC Materials'!F21)</f>
        <v>0.36649783190671426</v>
      </c>
      <c r="G37" s="23">
        <f>('Input_LC Materials'!G21)/('Output_Carbon savings'!G87*'General Inputs&amp;Outputs'!$C$12+'Input_LC Materials'!G21)</f>
        <v>0.39243527579952603</v>
      </c>
      <c r="H37" s="23">
        <f>('Input_LC Materials'!H21)/('Output_Carbon savings'!H87*'General Inputs&amp;Outputs'!$C$12+'Input_LC Materials'!H21)</f>
        <v>0.27932698877849566</v>
      </c>
      <c r="I37" s="23">
        <f>('Input_LC Materials'!I21)/('Output_Carbon savings'!I87*'General Inputs&amp;Outputs'!$C$12+'Input_LC Materials'!I21)</f>
        <v>0.3208385073827984</v>
      </c>
      <c r="J37" s="23">
        <f>('Input_LC Materials'!J21)/('Output_Carbon savings'!J87*'General Inputs&amp;Outputs'!$C$12+'Input_LC Materials'!J21)</f>
        <v>0.64553217279393749</v>
      </c>
      <c r="K37" s="23">
        <f>('Input_LC Materials'!K21)/('Output_Carbon savings'!K87*'General Inputs&amp;Outputs'!$C$12+'Input_LC Materials'!K21)</f>
        <v>0.54138152950910867</v>
      </c>
      <c r="L37" s="23">
        <f>('Input_LC Materials'!L21)/('Output_Carbon savings'!L87*'General Inputs&amp;Outputs'!$C$12+'Input_LC Materials'!L21)</f>
        <v>0.22197871863662769</v>
      </c>
      <c r="M37" s="23">
        <f t="shared" ref="M37:M43" si="3">AVERAGE(B37:L37)</f>
        <v>0.36495650916827188</v>
      </c>
      <c r="O37" s="17"/>
    </row>
    <row r="38" spans="1:39" ht="30" customHeight="1" x14ac:dyDescent="0.35">
      <c r="A38" s="21" t="s">
        <v>59</v>
      </c>
      <c r="B38" s="23">
        <f>('Input_LC Materials'!B22)/('Output_Carbon savings'!B90*'General Inputs&amp;Outputs'!$C$12+'Input_LC Materials'!B22)</f>
        <v>0.18420996474646273</v>
      </c>
      <c r="C38" s="23">
        <f>('Input_LC Materials'!C22)/('Output_Carbon savings'!C90*'General Inputs&amp;Outputs'!$C$12+'Input_LC Materials'!C22)</f>
        <v>0.26481478227620686</v>
      </c>
      <c r="D38" s="23">
        <f>('Input_LC Materials'!D22)/('Output_Carbon savings'!D90*'General Inputs&amp;Outputs'!$C$12+'Input_LC Materials'!D22)</f>
        <v>0.27267160745019536</v>
      </c>
      <c r="E38" s="23">
        <f>('Input_LC Materials'!E22)/('Output_Carbon savings'!E90*'General Inputs&amp;Outputs'!$C$12+'Input_LC Materials'!E22)</f>
        <v>0.30714569319342983</v>
      </c>
      <c r="F38" s="23">
        <f>('Input_LC Materials'!F22)/('Output_Carbon savings'!F90*'General Inputs&amp;Outputs'!$C$12+'Input_LC Materials'!F22)</f>
        <v>0.34450635082042796</v>
      </c>
      <c r="G38" s="23">
        <f>('Input_LC Materials'!G22)/('Output_Carbon savings'!G90*'General Inputs&amp;Outputs'!$C$12+'Input_LC Materials'!G22)</f>
        <v>0.30762321180579122</v>
      </c>
      <c r="H38" s="23">
        <f>('Input_LC Materials'!H22)/('Output_Carbon savings'!H90*'General Inputs&amp;Outputs'!$C$12+'Input_LC Materials'!H22)</f>
        <v>0.15862655726479039</v>
      </c>
      <c r="I38" s="23">
        <f>('Input_LC Materials'!I22)/('Output_Carbon savings'!I90*'General Inputs&amp;Outputs'!$C$12+'Input_LC Materials'!I22)</f>
        <v>0.24291859784439707</v>
      </c>
      <c r="J38" s="23">
        <f>('Input_LC Materials'!J22)/('Output_Carbon savings'!J90*'General Inputs&amp;Outputs'!$C$12+'Input_LC Materials'!J22)</f>
        <v>0.62165833852078556</v>
      </c>
      <c r="K38" s="23">
        <f>('Input_LC Materials'!K22)/('Output_Carbon savings'!K90*'General Inputs&amp;Outputs'!$C$12+'Input_LC Materials'!K22)</f>
        <v>0.47085312678933006</v>
      </c>
      <c r="L38" s="23">
        <f>('Input_LC Materials'!L22)/('Output_Carbon savings'!L90*'General Inputs&amp;Outputs'!$C$12+'Input_LC Materials'!L22)</f>
        <v>0.52338478865086135</v>
      </c>
      <c r="M38" s="23">
        <f t="shared" si="3"/>
        <v>0.33621936539660707</v>
      </c>
      <c r="O38" s="17"/>
    </row>
    <row r="39" spans="1:39" ht="30" customHeight="1" x14ac:dyDescent="0.35">
      <c r="A39" s="21" t="s">
        <v>60</v>
      </c>
      <c r="B39" s="23">
        <f>('Input_LC Materials'!B23)/('Output_Carbon savings'!B93*'General Inputs&amp;Outputs'!$C$12+'Input_LC Materials'!B23)</f>
        <v>3.1136886340240373E-2</v>
      </c>
      <c r="C39" s="23">
        <f>('Input_LC Materials'!C23)/('Output_Carbon savings'!C93*'General Inputs&amp;Outputs'!$C$12+'Input_LC Materials'!C23)</f>
        <v>4.3941070712912561E-2</v>
      </c>
      <c r="D39" s="23">
        <f>('Input_LC Materials'!D23)/('Output_Carbon savings'!D93*'General Inputs&amp;Outputs'!$C$12+'Input_LC Materials'!D23)</f>
        <v>4.720690324834434E-2</v>
      </c>
      <c r="E39" s="23">
        <f>('Input_LC Materials'!E23)/('Output_Carbon savings'!E93*'General Inputs&amp;Outputs'!$C$12+'Input_LC Materials'!E23)</f>
        <v>4.446583607497058E-2</v>
      </c>
      <c r="F39" s="23">
        <f>('Input_LC Materials'!F23)/('Output_Carbon savings'!F93*'General Inputs&amp;Outputs'!$C$12+'Input_LC Materials'!F23)</f>
        <v>4.321222129111315E-2</v>
      </c>
      <c r="G39" s="23">
        <f>('Input_LC Materials'!G23)/('Output_Carbon savings'!G93*'General Inputs&amp;Outputs'!$C$12+'Input_LC Materials'!G23)</f>
        <v>5.4976874345329774E-2</v>
      </c>
      <c r="H39" s="23">
        <f>('Input_LC Materials'!H23)/('Output_Carbon savings'!H93*'General Inputs&amp;Outputs'!$C$12+'Input_LC Materials'!H23)</f>
        <v>4.532240017667049E-2</v>
      </c>
      <c r="I39" s="23">
        <f>('Input_LC Materials'!I23)/('Output_Carbon savings'!I93*'General Inputs&amp;Outputs'!$C$12+'Input_LC Materials'!I23)</f>
        <v>4.1385132890407406E-2</v>
      </c>
      <c r="J39" s="23">
        <f>('Input_LC Materials'!J23)/('Output_Carbon savings'!J93*'General Inputs&amp;Outputs'!$C$12+'Input_LC Materials'!J23)</f>
        <v>5.2940575309068316E-2</v>
      </c>
      <c r="K39" s="23">
        <f>('Input_LC Materials'!K23)/('Output_Carbon savings'!K93*'General Inputs&amp;Outputs'!$C$12+'Input_LC Materials'!K23)</f>
        <v>9.1382280368454263E-2</v>
      </c>
      <c r="L39" s="23">
        <f>('Input_LC Materials'!L23)/('Output_Carbon savings'!L93*'General Inputs&amp;Outputs'!$C$12+'Input_LC Materials'!L23)</f>
        <v>2.588703272931701E-2</v>
      </c>
      <c r="M39" s="23">
        <f t="shared" si="3"/>
        <v>4.7441564862438931E-2</v>
      </c>
      <c r="O39" s="17"/>
    </row>
    <row r="40" spans="1:39" ht="30" customHeight="1" x14ac:dyDescent="0.35">
      <c r="A40" s="21" t="s">
        <v>61</v>
      </c>
      <c r="B40" s="23">
        <f>('Input_LC Materials'!B24)/('Output_Carbon savings'!B96*'General Inputs&amp;Outputs'!$C$12+'Input_LC Materials'!B24)</f>
        <v>0.15369839377596423</v>
      </c>
      <c r="C40" s="23">
        <f>('Input_LC Materials'!C24)/('Output_Carbon savings'!C96*'General Inputs&amp;Outputs'!$C$12+'Input_LC Materials'!C24)</f>
        <v>0.15735741175938145</v>
      </c>
      <c r="D40" s="23">
        <f>('Input_LC Materials'!D24)/('Output_Carbon savings'!D96*'General Inputs&amp;Outputs'!$C$12+'Input_LC Materials'!D24)</f>
        <v>0.26536943372287253</v>
      </c>
      <c r="E40" s="23">
        <f>('Input_LC Materials'!E24)/('Output_Carbon savings'!E96*'General Inputs&amp;Outputs'!$C$12+'Input_LC Materials'!E24)</f>
        <v>0.20284289855374746</v>
      </c>
      <c r="F40" s="23">
        <f>('Input_LC Materials'!F24)/('Output_Carbon savings'!F96*'General Inputs&amp;Outputs'!$C$12+'Input_LC Materials'!F24)</f>
        <v>0.281334054079587</v>
      </c>
      <c r="G40" s="23">
        <f>('Input_LC Materials'!G24)/('Output_Carbon savings'!G96*'General Inputs&amp;Outputs'!$C$12+'Input_LC Materials'!G24)</f>
        <v>0.28599747809717402</v>
      </c>
      <c r="H40" s="23">
        <f>('Input_LC Materials'!H24)/('Output_Carbon savings'!H96*'General Inputs&amp;Outputs'!$C$12+'Input_LC Materials'!H24)</f>
        <v>0.11430997207699806</v>
      </c>
      <c r="I40" s="23">
        <f>('Input_LC Materials'!I24)/('Output_Carbon savings'!I96*'General Inputs&amp;Outputs'!$C$12+'Input_LC Materials'!I24)</f>
        <v>0.23374851062626339</v>
      </c>
      <c r="J40" s="23">
        <f>('Input_LC Materials'!J24)/('Output_Carbon savings'!J96*'General Inputs&amp;Outputs'!$C$12+'Input_LC Materials'!J24)</f>
        <v>0.84376762581031539</v>
      </c>
      <c r="K40" s="23">
        <f>('Input_LC Materials'!K24)/('Output_Carbon savings'!K96*'General Inputs&amp;Outputs'!$C$12+'Input_LC Materials'!K24)</f>
        <v>0.49589885012198154</v>
      </c>
      <c r="L40" s="23">
        <f>('Input_LC Materials'!L24)/('Output_Carbon savings'!L96*'General Inputs&amp;Outputs'!$C$12+'Input_LC Materials'!L24)</f>
        <v>0.61690613969793784</v>
      </c>
      <c r="M40" s="23">
        <f t="shared" si="3"/>
        <v>0.33193006984747481</v>
      </c>
      <c r="O40" s="17"/>
    </row>
    <row r="41" spans="1:39" ht="30" customHeight="1" x14ac:dyDescent="0.35">
      <c r="A41" s="21" t="s">
        <v>62</v>
      </c>
      <c r="B41" s="23">
        <f>('Input_LC Materials'!B25)/('Output_Carbon savings'!B99*'General Inputs&amp;Outputs'!$C$12+'Input_LC Materials'!B25)</f>
        <v>6.5306470559651983E-2</v>
      </c>
      <c r="C41" s="23"/>
      <c r="D41" s="23"/>
      <c r="E41" s="23"/>
      <c r="F41" s="23"/>
      <c r="G41" s="23"/>
      <c r="H41" s="23">
        <f>('Input_LC Materials'!H25)/('Output_Carbon savings'!H99*'General Inputs&amp;Outputs'!$C$12+'Input_LC Materials'!H25)</f>
        <v>3.5641222278841291E-2</v>
      </c>
      <c r="I41" s="23">
        <f>('Input_LC Materials'!I25)/('Output_Carbon savings'!I99*'General Inputs&amp;Outputs'!$C$12+'Input_LC Materials'!I25)</f>
        <v>8.3863878484774945E-2</v>
      </c>
      <c r="J41" s="23"/>
      <c r="K41" s="23">
        <f>('Input_LC Materials'!K25)/('Output_Carbon savings'!K99*'General Inputs&amp;Outputs'!$C$12+'Input_LC Materials'!K25)</f>
        <v>0.22791704028852214</v>
      </c>
      <c r="L41" s="23">
        <f>('Input_LC Materials'!L25)/('Output_Carbon savings'!L99*'General Inputs&amp;Outputs'!$C$12+'Input_LC Materials'!L25)</f>
        <v>0.16824435173927407</v>
      </c>
      <c r="M41" s="23">
        <f t="shared" si="3"/>
        <v>0.11619459267021288</v>
      </c>
      <c r="O41" s="17"/>
    </row>
    <row r="42" spans="1:39" ht="30" customHeight="1" x14ac:dyDescent="0.35">
      <c r="A42" s="21" t="s">
        <v>63</v>
      </c>
      <c r="B42" s="23"/>
      <c r="C42" s="23"/>
      <c r="D42" s="23"/>
      <c r="E42" s="23"/>
      <c r="F42" s="23"/>
      <c r="G42" s="23"/>
      <c r="H42" s="23">
        <f>('Input_LC Materials'!H26)/('Output_Carbon savings'!H102*'General Inputs&amp;Outputs'!$C$12+'Input_LC Materials'!H26)</f>
        <v>2.3269266621115701E-2</v>
      </c>
      <c r="I42" s="23"/>
      <c r="J42" s="23"/>
      <c r="K42" s="23"/>
      <c r="L42" s="23">
        <f>('Input_LC Materials'!L26)/('Output_Carbon savings'!L102*'General Inputs&amp;Outputs'!$C$12+'Input_LC Materials'!L26)</f>
        <v>0.10427508182622469</v>
      </c>
      <c r="M42" s="23">
        <f t="shared" si="3"/>
        <v>6.3772174223670194E-2</v>
      </c>
      <c r="O42" s="17"/>
    </row>
    <row r="43" spans="1:39" ht="30" customHeight="1" x14ac:dyDescent="0.35">
      <c r="A43" s="21" t="s">
        <v>64</v>
      </c>
      <c r="B43" s="23"/>
      <c r="C43" s="23"/>
      <c r="D43" s="23"/>
      <c r="E43" s="23"/>
      <c r="F43" s="23"/>
      <c r="G43" s="23"/>
      <c r="H43" s="23">
        <f>('Input_LC Materials'!H27)/('Output_Carbon savings'!H105*'General Inputs&amp;Outputs'!$C$12+'Input_LC Materials'!H27)</f>
        <v>1.6211951682978922E-2</v>
      </c>
      <c r="I43" s="23"/>
      <c r="J43" s="23"/>
      <c r="K43" s="23"/>
      <c r="L43" s="23">
        <f>('Input_LC Materials'!L27)/('Output_Carbon savings'!L105*'General Inputs&amp;Outputs'!$C$12+'Input_LC Materials'!L27)</f>
        <v>5.0469156476690147E-2</v>
      </c>
      <c r="M43" s="23">
        <f t="shared" si="3"/>
        <v>3.3340554079834536E-2</v>
      </c>
      <c r="O43" s="17"/>
    </row>
    <row r="44" spans="1:39" ht="27" customHeight="1" x14ac:dyDescent="0.35">
      <c r="A44" s="42"/>
      <c r="B44" s="26"/>
      <c r="C44" s="26"/>
      <c r="D44" s="26"/>
      <c r="E44" s="26"/>
      <c r="F44" s="26"/>
      <c r="G44" s="26"/>
      <c r="H44" s="26"/>
      <c r="I44" s="29"/>
      <c r="J44" s="44"/>
      <c r="K44" s="44"/>
      <c r="L44" s="17"/>
      <c r="M44" s="17"/>
      <c r="N44" s="17"/>
    </row>
    <row r="45" spans="1:39" ht="42" customHeight="1" x14ac:dyDescent="0.3">
      <c r="A45" s="15" t="s">
        <v>136</v>
      </c>
      <c r="B45" s="15"/>
      <c r="C45" s="15"/>
      <c r="D45" s="15"/>
      <c r="E45" s="15"/>
      <c r="F45" s="15"/>
      <c r="G45" s="15"/>
      <c r="H45" s="15"/>
      <c r="I45" s="15"/>
      <c r="J45" s="15"/>
      <c r="K45" s="15"/>
      <c r="L45" s="16"/>
      <c r="M45" s="16"/>
      <c r="N45" s="16"/>
      <c r="O45" s="15"/>
      <c r="P45" s="15"/>
      <c r="Q45" s="15"/>
      <c r="R45" s="15"/>
      <c r="S45" s="15"/>
      <c r="T45" s="15"/>
      <c r="U45" s="15"/>
      <c r="V45" s="15"/>
      <c r="W45" s="15"/>
      <c r="X45" s="15"/>
      <c r="Y45" s="15"/>
      <c r="Z45" s="15"/>
      <c r="AA45" s="15"/>
      <c r="AB45" s="15"/>
      <c r="AC45" s="15"/>
      <c r="AD45" s="15"/>
      <c r="AE45" s="15"/>
      <c r="AF45" s="15"/>
      <c r="AG45" s="15"/>
      <c r="AH45" s="15"/>
      <c r="AI45" s="15"/>
      <c r="AJ45" s="15"/>
      <c r="AK45" s="15"/>
      <c r="AL45" s="15"/>
      <c r="AM45" s="15"/>
    </row>
    <row r="46" spans="1:39" ht="15.75" customHeight="1" x14ac:dyDescent="0.35">
      <c r="L46" s="17"/>
      <c r="M46" s="17"/>
      <c r="N46" s="17"/>
    </row>
    <row r="47" spans="1:39" ht="40.5" customHeight="1" x14ac:dyDescent="0.35">
      <c r="A47" s="31" t="s">
        <v>137</v>
      </c>
      <c r="B47" s="19" t="s">
        <v>46</v>
      </c>
      <c r="C47" s="19" t="s">
        <v>48</v>
      </c>
      <c r="D47" s="19" t="s">
        <v>49</v>
      </c>
      <c r="E47" s="19" t="s">
        <v>50</v>
      </c>
      <c r="F47" s="19" t="s">
        <v>51</v>
      </c>
      <c r="G47" s="19" t="s">
        <v>52</v>
      </c>
      <c r="H47" s="19" t="s">
        <v>53</v>
      </c>
      <c r="I47" s="19" t="s">
        <v>54</v>
      </c>
      <c r="J47" s="19" t="s">
        <v>55</v>
      </c>
      <c r="K47" s="19" t="s">
        <v>763</v>
      </c>
      <c r="L47" s="19" t="s">
        <v>648</v>
      </c>
      <c r="M47" s="19" t="s">
        <v>67</v>
      </c>
      <c r="N47" s="17"/>
    </row>
    <row r="48" spans="1:39" ht="51" customHeight="1" x14ac:dyDescent="0.3">
      <c r="A48" s="19" t="s">
        <v>58</v>
      </c>
      <c r="B48" s="14">
        <f t="shared" ref="B48:L48" si="4">B49+B50</f>
        <v>18.974333685925288</v>
      </c>
      <c r="C48" s="14">
        <f t="shared" si="4"/>
        <v>18.72316109592477</v>
      </c>
      <c r="D48" s="14">
        <f t="shared" si="4"/>
        <v>13.712177416736345</v>
      </c>
      <c r="E48" s="14">
        <f t="shared" si="4"/>
        <v>15.646294618936913</v>
      </c>
      <c r="F48" s="14">
        <f t="shared" si="4"/>
        <v>15.558238149478004</v>
      </c>
      <c r="G48" s="14">
        <f t="shared" si="4"/>
        <v>11.482396142857077</v>
      </c>
      <c r="H48" s="14">
        <f t="shared" si="4"/>
        <v>17.541522637915239</v>
      </c>
      <c r="I48" s="14">
        <f t="shared" si="4"/>
        <v>15.386443959810272</v>
      </c>
      <c r="J48" s="14">
        <f t="shared" si="4"/>
        <v>8.063283059328942</v>
      </c>
      <c r="K48" s="14">
        <f t="shared" ref="K48" si="5">K49+K50</f>
        <v>7.9586768955370006</v>
      </c>
      <c r="L48" s="14">
        <f t="shared" si="4"/>
        <v>27.893624192383466</v>
      </c>
      <c r="M48" s="14">
        <f>AVERAGE(B48:L48)</f>
        <v>15.540013804984847</v>
      </c>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row>
    <row r="49" spans="1:39" ht="38.25" hidden="1" customHeight="1" outlineLevel="1" x14ac:dyDescent="0.3">
      <c r="A49" s="19" t="s">
        <v>105</v>
      </c>
      <c r="B49" s="14">
        <f>'Input_Energy Context'!B12*'Input_EDGE energy savings'!B7</f>
        <v>15.971333685925288</v>
      </c>
      <c r="C49" s="14">
        <f>'Input_Energy Context'!C12*'Input_EDGE energy savings'!C7</f>
        <v>11.56216109592477</v>
      </c>
      <c r="D49" s="14">
        <f>'Input_Energy Context'!D12*'Input_EDGE energy savings'!D7</f>
        <v>9.0921774167363445</v>
      </c>
      <c r="E49" s="14">
        <f>'Input_Energy Context'!E12*'Input_EDGE energy savings'!E7</f>
        <v>8.4852946189369121</v>
      </c>
      <c r="F49" s="14">
        <f>'Input_Energy Context'!F12*'Input_EDGE energy savings'!F7</f>
        <v>7.7042381494780035</v>
      </c>
      <c r="G49" s="14">
        <f>'Input_Energy Context'!G12*'Input_EDGE energy savings'!G7</f>
        <v>7.6708961428570763</v>
      </c>
      <c r="H49" s="14">
        <f>'Input_Energy Context'!H12*'Input_EDGE energy savings'!H7</f>
        <v>13.38352263791524</v>
      </c>
      <c r="I49" s="14">
        <f>'Input_Energy Context'!I12*'Input_EDGE energy savings'!I7</f>
        <v>10.766443959810271</v>
      </c>
      <c r="J49" s="14">
        <f>'Input_Energy Context'!J12*'Input_EDGE energy savings'!J7</f>
        <v>0.90228305932894182</v>
      </c>
      <c r="K49" s="14">
        <f>'Input_Energy Context'!K12*'Input_EDGE energy savings'!K7</f>
        <v>3.3386768955370005</v>
      </c>
      <c r="L49" s="14">
        <f>'Input_Energy Context'!L12*'Input_EDGE energy savings'!L7</f>
        <v>17.960624192383467</v>
      </c>
      <c r="M49" s="14"/>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row>
    <row r="50" spans="1:39" ht="38.25" hidden="1" customHeight="1" outlineLevel="1" x14ac:dyDescent="0.3">
      <c r="A50" s="19" t="s">
        <v>106</v>
      </c>
      <c r="B50" s="14">
        <f>'Input_Energy Context'!$B$13*'Input_EDGE energy savings'!B8</f>
        <v>3.0030000000000001</v>
      </c>
      <c r="C50" s="14">
        <f>'Input_Energy Context'!$B$13*'Input_EDGE energy savings'!C8</f>
        <v>7.1610000000000005</v>
      </c>
      <c r="D50" s="14">
        <f>'Input_Energy Context'!$B$13*'Input_EDGE energy savings'!D8</f>
        <v>4.62</v>
      </c>
      <c r="E50" s="14">
        <f>'Input_Energy Context'!$B$13*'Input_EDGE energy savings'!E8</f>
        <v>7.1610000000000005</v>
      </c>
      <c r="F50" s="14">
        <f>'Input_Energy Context'!$B$13*'Input_EDGE energy savings'!F8</f>
        <v>7.8540000000000001</v>
      </c>
      <c r="G50" s="14">
        <f>'Input_Energy Context'!$B$13*'Input_EDGE energy savings'!G8</f>
        <v>3.8115000000000001</v>
      </c>
      <c r="H50" s="14">
        <f>'Input_Energy Context'!$B$13*'Input_EDGE energy savings'!H8</f>
        <v>4.1580000000000004</v>
      </c>
      <c r="I50" s="14">
        <f>'Input_Energy Context'!$B$13*'Input_EDGE energy savings'!I8</f>
        <v>4.62</v>
      </c>
      <c r="J50" s="14">
        <f>'Input_Energy Context'!$B$13*'Input_EDGE energy savings'!J8</f>
        <v>7.1610000000000005</v>
      </c>
      <c r="K50" s="14">
        <f>'Input_Energy Context'!$B$13*'Input_EDGE energy savings'!K8</f>
        <v>4.62</v>
      </c>
      <c r="L50" s="14">
        <f>'Input_Energy Context'!$B$13*'Input_EDGE energy savings'!L8</f>
        <v>9.9329999999999998</v>
      </c>
      <c r="M50" s="14"/>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row>
    <row r="51" spans="1:39" ht="34.5" customHeight="1" collapsed="1" x14ac:dyDescent="0.3">
      <c r="A51" s="19" t="s">
        <v>59</v>
      </c>
      <c r="B51" s="14">
        <f t="shared" ref="B51:L51" si="6">B52+B53</f>
        <v>38.847347498783677</v>
      </c>
      <c r="C51" s="14">
        <f t="shared" si="6"/>
        <v>23.978847593013892</v>
      </c>
      <c r="D51" s="14">
        <f t="shared" si="6"/>
        <v>23.754475449445014</v>
      </c>
      <c r="E51" s="14">
        <f t="shared" si="6"/>
        <v>18.704219346748992</v>
      </c>
      <c r="F51" s="14">
        <f t="shared" si="6"/>
        <v>16.004953545796049</v>
      </c>
      <c r="G51" s="14">
        <f t="shared" si="6"/>
        <v>19.764188675595079</v>
      </c>
      <c r="H51" s="14">
        <f t="shared" si="6"/>
        <v>33.713530090274382</v>
      </c>
      <c r="I51" s="14">
        <f t="shared" si="6"/>
        <v>27.830950510842399</v>
      </c>
      <c r="J51" s="14">
        <f t="shared" si="6"/>
        <v>5.7047709588496147</v>
      </c>
      <c r="K51" s="14">
        <f t="shared" ref="K51" si="7">K52+K53</f>
        <v>9.7459524413074803</v>
      </c>
      <c r="L51" s="14">
        <f t="shared" si="6"/>
        <v>25.805797145057845</v>
      </c>
      <c r="M51" s="14">
        <f>AVERAGE(B51:L51)</f>
        <v>22.168639386883129</v>
      </c>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row>
    <row r="52" spans="1:39" ht="38.25" hidden="1" customHeight="1" outlineLevel="1" x14ac:dyDescent="0.3">
      <c r="A52" s="19" t="s">
        <v>105</v>
      </c>
      <c r="B52" s="14">
        <f>'Input_Energy Context'!B12*'Input_EDGE energy savings'!B10</f>
        <v>37.692347498783676</v>
      </c>
      <c r="C52" s="14">
        <f>'Input_Energy Context'!C12*'Input_EDGE energy savings'!C10</f>
        <v>19.820847593013891</v>
      </c>
      <c r="D52" s="14">
        <f>'Input_Energy Context'!D12*'Input_EDGE energy savings'!D10</f>
        <v>22.137475449445013</v>
      </c>
      <c r="E52" s="14">
        <f>'Input_Energy Context'!E12*'Input_EDGE energy savings'!E10</f>
        <v>14.546219346748993</v>
      </c>
      <c r="F52" s="14">
        <f>'Input_Energy Context'!F12*'Input_EDGE energy savings'!F10</f>
        <v>11.73145354579605</v>
      </c>
      <c r="G52" s="14">
        <f>'Input_Energy Context'!G12*'Input_EDGE energy savings'!G10</f>
        <v>18.37818867559508</v>
      </c>
      <c r="H52" s="14">
        <f>'Input_Energy Context'!H12*'Input_EDGE energy savings'!H10</f>
        <v>31.86553009027438</v>
      </c>
      <c r="I52" s="14">
        <f>'Input_Energy Context'!I12*'Input_EDGE energy savings'!I10</f>
        <v>26.213950510842398</v>
      </c>
      <c r="J52" s="14">
        <f>'Input_Energy Context'!J12*'Input_EDGE energy savings'!J10</f>
        <v>1.5467709588496146</v>
      </c>
      <c r="K52" s="14">
        <f>'Input_Energy Context'!K12*'Input_EDGE energy savings'!K10</f>
        <v>8.1289524413074794</v>
      </c>
      <c r="L52" s="14">
        <f>'Input_Energy Context'!L12*'Input_EDGE energy savings'!L10</f>
        <v>20.723797145057844</v>
      </c>
      <c r="M52" s="14"/>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row>
    <row r="53" spans="1:39" ht="38.25" hidden="1" customHeight="1" outlineLevel="1" x14ac:dyDescent="0.3">
      <c r="A53" s="19" t="s">
        <v>106</v>
      </c>
      <c r="B53" s="14">
        <f>'Input_Energy Context'!$B$13*'Input_EDGE energy savings'!B11</f>
        <v>1.155</v>
      </c>
      <c r="C53" s="14">
        <f>'Input_Energy Context'!$B$13*'Input_EDGE energy savings'!C11</f>
        <v>4.1580000000000004</v>
      </c>
      <c r="D53" s="14">
        <f>'Input_Energy Context'!$B$13*'Input_EDGE energy savings'!D11</f>
        <v>1.617</v>
      </c>
      <c r="E53" s="14">
        <f>'Input_Energy Context'!$B$13*'Input_EDGE energy savings'!E11</f>
        <v>4.1580000000000004</v>
      </c>
      <c r="F53" s="14">
        <f>'Input_Energy Context'!$B$13*'Input_EDGE energy savings'!F11</f>
        <v>4.2735000000000003</v>
      </c>
      <c r="G53" s="14">
        <f>'Input_Energy Context'!$B$13*'Input_EDGE energy savings'!G11</f>
        <v>1.3860000000000001</v>
      </c>
      <c r="H53" s="14">
        <f>'Input_Energy Context'!$B$13*'Input_EDGE energy savings'!H11</f>
        <v>1.8480000000000001</v>
      </c>
      <c r="I53" s="14">
        <f>'Input_Energy Context'!$B$13*'Input_EDGE energy savings'!I11</f>
        <v>1.617</v>
      </c>
      <c r="J53" s="14">
        <f>'Input_Energy Context'!$B$13*'Input_EDGE energy savings'!J11</f>
        <v>4.1580000000000004</v>
      </c>
      <c r="K53" s="14">
        <f>'Input_Energy Context'!$B$13*'Input_EDGE energy savings'!K11</f>
        <v>1.617</v>
      </c>
      <c r="L53" s="14">
        <f>'Input_Energy Context'!$B$13*'Input_EDGE energy savings'!L11</f>
        <v>5.0819999999999999</v>
      </c>
      <c r="M53" s="14"/>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row>
    <row r="54" spans="1:39" ht="38.25" customHeight="1" collapsed="1" x14ac:dyDescent="0.3">
      <c r="A54" s="19" t="s">
        <v>60</v>
      </c>
      <c r="B54" s="14">
        <f t="shared" ref="B54:L54" si="8">B55+B56</f>
        <v>78.726988302693343</v>
      </c>
      <c r="C54" s="14">
        <f t="shared" si="8"/>
        <v>44.164426692819838</v>
      </c>
      <c r="D54" s="14">
        <f t="shared" si="8"/>
        <v>51.400199145278961</v>
      </c>
      <c r="E54" s="14">
        <f t="shared" si="8"/>
        <v>38.743280995269799</v>
      </c>
      <c r="F54" s="14">
        <f t="shared" si="8"/>
        <v>36.280742510533187</v>
      </c>
      <c r="G54" s="14">
        <f t="shared" si="8"/>
        <v>42.157998023809206</v>
      </c>
      <c r="H54" s="14">
        <f t="shared" si="8"/>
        <v>57.859158746244496</v>
      </c>
      <c r="I54" s="14">
        <f t="shared" si="8"/>
        <v>59.844326058173536</v>
      </c>
      <c r="J54" s="14">
        <f t="shared" si="8"/>
        <v>25.382736818817662</v>
      </c>
      <c r="K54" s="14">
        <f t="shared" ref="K54" si="9">K55+K56</f>
        <v>22.38254434270835</v>
      </c>
      <c r="L54" s="14">
        <f t="shared" si="8"/>
        <v>73.136522764912385</v>
      </c>
      <c r="M54" s="14">
        <f>AVERAGE(B54:L54)</f>
        <v>48.188993127387334</v>
      </c>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row>
    <row r="55" spans="1:39" ht="38.25" hidden="1" customHeight="1" outlineLevel="1" x14ac:dyDescent="0.3">
      <c r="A55" s="19" t="s">
        <v>105</v>
      </c>
      <c r="B55" s="14">
        <f>'Input_Energy Context'!B12*'Input_EDGE energy savings'!B13</f>
        <v>74.106988302693338</v>
      </c>
      <c r="C55" s="14">
        <f>'Input_Energy Context'!C12*'Input_EDGE energy savings'!C13</f>
        <v>20.371426692819835</v>
      </c>
      <c r="D55" s="14">
        <f>'Input_Energy Context'!D12*'Input_EDGE energy savings'!D13</f>
        <v>45.856199145278957</v>
      </c>
      <c r="E55" s="14">
        <f>'Input_Energy Context'!E12*'Input_EDGE energy savings'!E13</f>
        <v>14.950280995269798</v>
      </c>
      <c r="F55" s="14">
        <f>'Input_Energy Context'!F12*'Input_EDGE energy savings'!F13</f>
        <v>12.256742510533186</v>
      </c>
      <c r="G55" s="14">
        <f>'Input_Energy Context'!G12*'Input_EDGE energy savings'!G13</f>
        <v>37.075998023809206</v>
      </c>
      <c r="H55" s="14">
        <f>'Input_Energy Context'!H12*'Input_EDGE energy savings'!H13</f>
        <v>51.622158746244494</v>
      </c>
      <c r="I55" s="14">
        <f>'Input_Energy Context'!I12*'Input_EDGE energy savings'!I13</f>
        <v>54.300326058173539</v>
      </c>
      <c r="J55" s="14">
        <f>'Input_Energy Context'!J12*'Input_EDGE energy savings'!J13</f>
        <v>1.5897368188176593</v>
      </c>
      <c r="K55" s="14">
        <f>'Input_Energy Context'!K12*'Input_EDGE energy savings'!K13</f>
        <v>16.838544342708349</v>
      </c>
      <c r="L55" s="14">
        <f>'Input_Energy Context'!L12*'Input_EDGE energy savings'!L13</f>
        <v>28.322522764912389</v>
      </c>
      <c r="M55" s="14"/>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row>
    <row r="56" spans="1:39" ht="38.25" hidden="1" customHeight="1" outlineLevel="1" x14ac:dyDescent="0.3">
      <c r="A56" s="19" t="s">
        <v>106</v>
      </c>
      <c r="B56" s="14">
        <f>'Input_Energy Context'!$B$13*'Input_EDGE energy savings'!B14</f>
        <v>4.62</v>
      </c>
      <c r="C56" s="14">
        <f>'Input_Energy Context'!$B$13*'Input_EDGE energy savings'!C14</f>
        <v>23.793000000000003</v>
      </c>
      <c r="D56" s="14">
        <f>'Input_Energy Context'!$B$13*'Input_EDGE energy savings'!D14</f>
        <v>5.5440000000000005</v>
      </c>
      <c r="E56" s="14">
        <f>'Input_Energy Context'!$B$13*'Input_EDGE energy savings'!E14</f>
        <v>23.793000000000003</v>
      </c>
      <c r="F56" s="14">
        <f>'Input_Energy Context'!$B$13*'Input_EDGE energy savings'!F14</f>
        <v>24.024000000000001</v>
      </c>
      <c r="G56" s="14">
        <f>'Input_Energy Context'!$B$13*'Input_EDGE energy savings'!G14</f>
        <v>5.0819999999999999</v>
      </c>
      <c r="H56" s="14">
        <f>'Input_Energy Context'!$B$13*'Input_EDGE energy savings'!H14</f>
        <v>6.2370000000000001</v>
      </c>
      <c r="I56" s="14">
        <f>'Input_Energy Context'!$B$13*'Input_EDGE energy savings'!I14</f>
        <v>5.5440000000000005</v>
      </c>
      <c r="J56" s="14">
        <f>'Input_Energy Context'!$B$13*'Input_EDGE energy savings'!J14</f>
        <v>23.793000000000003</v>
      </c>
      <c r="K56" s="14">
        <f>'Input_Energy Context'!$B$13*'Input_EDGE energy savings'!K14</f>
        <v>5.5440000000000005</v>
      </c>
      <c r="L56" s="14">
        <f>'Input_Energy Context'!$B$13*'Input_EDGE energy savings'!L14</f>
        <v>44.814</v>
      </c>
      <c r="M56" s="14"/>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row>
    <row r="57" spans="1:39" ht="37.5" customHeight="1" collapsed="1" x14ac:dyDescent="0.3">
      <c r="A57" s="19" t="s">
        <v>61</v>
      </c>
      <c r="B57" s="14">
        <f t="shared" ref="B57:L57" si="10">B58+B59</f>
        <v>12.777066948740231</v>
      </c>
      <c r="C57" s="14">
        <f t="shared" si="10"/>
        <v>7.2999491976712978</v>
      </c>
      <c r="D57" s="14">
        <f t="shared" si="10"/>
        <v>5.9296809239584851</v>
      </c>
      <c r="E57" s="14">
        <f t="shared" si="10"/>
        <v>5.5417397822496639</v>
      </c>
      <c r="F57" s="14">
        <f t="shared" si="10"/>
        <v>4.3141190747390015</v>
      </c>
      <c r="G57" s="14">
        <f t="shared" si="10"/>
        <v>5.593361770833285</v>
      </c>
      <c r="H57" s="14">
        <f t="shared" si="10"/>
        <v>7.8787272216658515</v>
      </c>
      <c r="I57" s="14">
        <f t="shared" si="10"/>
        <v>7.0215938868327852</v>
      </c>
      <c r="J57" s="14">
        <f t="shared" si="10"/>
        <v>1.2085903196165382</v>
      </c>
      <c r="K57" s="14">
        <f t="shared" ref="K57" si="11">K58+K59</f>
        <v>2.177397975350218</v>
      </c>
      <c r="L57" s="14">
        <f t="shared" si="10"/>
        <v>2.5343797145057847</v>
      </c>
      <c r="M57" s="14">
        <f>AVERAGE(B57:L57)</f>
        <v>5.6615097105602858</v>
      </c>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row>
    <row r="58" spans="1:39" ht="38.25" hidden="1" customHeight="1" outlineLevel="1" x14ac:dyDescent="0.3">
      <c r="A58" s="19" t="s">
        <v>105</v>
      </c>
      <c r="B58" s="14">
        <f>'Input_Energy Context'!B12*'Input_EDGE energy savings'!B16</f>
        <v>12.777066948740231</v>
      </c>
      <c r="C58" s="14">
        <f>'Input_Energy Context'!C12*'Input_EDGE energy savings'!C16</f>
        <v>6.6069491976712973</v>
      </c>
      <c r="D58" s="14">
        <f>'Input_Energy Context'!D12*'Input_EDGE energy savings'!D16</f>
        <v>5.9296809239584851</v>
      </c>
      <c r="E58" s="14">
        <f>'Input_Energy Context'!E12*'Input_EDGE energy savings'!E16</f>
        <v>4.8487397822496643</v>
      </c>
      <c r="F58" s="14">
        <f>'Input_Energy Context'!F12*'Input_EDGE energy savings'!F16</f>
        <v>3.8521190747390017</v>
      </c>
      <c r="G58" s="14">
        <f>'Input_Energy Context'!G12*'Input_EDGE energy savings'!G16</f>
        <v>5.593361770833285</v>
      </c>
      <c r="H58" s="14">
        <f>'Input_Energy Context'!H12*'Input_EDGE energy savings'!H16</f>
        <v>7.6477272216658516</v>
      </c>
      <c r="I58" s="14">
        <f>'Input_Energy Context'!I12*'Input_EDGE energy savings'!I16</f>
        <v>7.0215938868327852</v>
      </c>
      <c r="J58" s="14">
        <f>'Input_Energy Context'!J12*'Input_EDGE energy savings'!J16</f>
        <v>0.51559031961653812</v>
      </c>
      <c r="K58" s="14">
        <f>'Input_Energy Context'!K12*'Input_EDGE energy savings'!K16</f>
        <v>2.177397975350218</v>
      </c>
      <c r="L58" s="14">
        <f>'Input_Energy Context'!L12*'Input_EDGE energy savings'!L16</f>
        <v>2.0723797145057845</v>
      </c>
      <c r="M58" s="14"/>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row>
    <row r="59" spans="1:39" ht="38.25" hidden="1" customHeight="1" outlineLevel="1" x14ac:dyDescent="0.3">
      <c r="A59" s="19" t="s">
        <v>106</v>
      </c>
      <c r="B59" s="14">
        <f>'Input_Energy Context'!$B$13*'Input_EDGE energy savings'!B17</f>
        <v>0</v>
      </c>
      <c r="C59" s="14">
        <f>'Input_Energy Context'!$B$13*'Input_EDGE energy savings'!C17</f>
        <v>0.69300000000000006</v>
      </c>
      <c r="D59" s="14">
        <f>'Input_Energy Context'!$B$13*'Input_EDGE energy savings'!D17</f>
        <v>0</v>
      </c>
      <c r="E59" s="14">
        <f>'Input_Energy Context'!$B$13*'Input_EDGE energy savings'!E17</f>
        <v>0.69300000000000006</v>
      </c>
      <c r="F59" s="14">
        <f>'Input_Energy Context'!$B$13*'Input_EDGE energy savings'!F17</f>
        <v>0.46200000000000002</v>
      </c>
      <c r="G59" s="14">
        <f>'Input_Energy Context'!$B$13*'Input_EDGE energy savings'!G17</f>
        <v>0</v>
      </c>
      <c r="H59" s="14">
        <f>'Input_Energy Context'!$B$13*'Input_EDGE energy savings'!H17</f>
        <v>0.23100000000000001</v>
      </c>
      <c r="I59" s="14">
        <f>'Input_Energy Context'!$B$13*'Input_EDGE energy savings'!I17</f>
        <v>0</v>
      </c>
      <c r="J59" s="14">
        <f>'Input_Energy Context'!$B$13*'Input_EDGE energy savings'!J17</f>
        <v>0.69300000000000006</v>
      </c>
      <c r="K59" s="14">
        <f>'Input_Energy Context'!$B$13*'Input_EDGE energy savings'!K17</f>
        <v>0</v>
      </c>
      <c r="L59" s="14">
        <f>'Input_Energy Context'!$B$13*'Input_EDGE energy savings'!L17</f>
        <v>0.46200000000000002</v>
      </c>
      <c r="M59" s="14"/>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row>
    <row r="60" spans="1:39" ht="43.5" customHeight="1" collapsed="1" x14ac:dyDescent="0.3">
      <c r="A60" s="19" t="s">
        <v>62</v>
      </c>
      <c r="B60" s="64">
        <f t="shared" ref="B60:J60" si="12">B61+B62</f>
        <v>61.968774701390117</v>
      </c>
      <c r="C60" s="64">
        <f t="shared" si="12"/>
        <v>0</v>
      </c>
      <c r="D60" s="64">
        <f t="shared" si="12"/>
        <v>0</v>
      </c>
      <c r="E60" s="64">
        <f t="shared" si="12"/>
        <v>0</v>
      </c>
      <c r="F60" s="64">
        <f t="shared" si="12"/>
        <v>0</v>
      </c>
      <c r="G60" s="64">
        <f t="shared" si="12"/>
        <v>0</v>
      </c>
      <c r="H60" s="64">
        <f t="shared" si="12"/>
        <v>51.622158746244494</v>
      </c>
      <c r="I60" s="64">
        <f t="shared" si="12"/>
        <v>47.278732171340756</v>
      </c>
      <c r="J60" s="64">
        <f t="shared" si="12"/>
        <v>0</v>
      </c>
      <c r="K60" s="64">
        <f t="shared" ref="K60" si="13">K61+K62</f>
        <v>14.661146367358134</v>
      </c>
      <c r="L60" s="14">
        <f t="shared" ref="L60" si="14">L61+L62</f>
        <v>29.704109241249579</v>
      </c>
      <c r="M60" s="14">
        <f>AVERAGE(B60:L60)</f>
        <v>18.657720111598461</v>
      </c>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row>
    <row r="61" spans="1:39" ht="27" hidden="1" customHeight="1" outlineLevel="1" x14ac:dyDescent="0.3">
      <c r="A61" s="19" t="s">
        <v>105</v>
      </c>
      <c r="B61" s="14">
        <f>'Input_EDGE energy savings'!B19*'Input_Energy Context'!B12</f>
        <v>61.968774701390117</v>
      </c>
      <c r="C61" s="14"/>
      <c r="D61" s="14"/>
      <c r="E61" s="14"/>
      <c r="F61" s="14"/>
      <c r="G61" s="14"/>
      <c r="H61" s="14">
        <f>'Input_Energy Context'!H12*'Input_EDGE energy savings'!H19</f>
        <v>51.622158746244494</v>
      </c>
      <c r="I61" s="14">
        <f>'Input_Energy Context'!I12*'Input_EDGE energy savings'!I19</f>
        <v>47.278732171340756</v>
      </c>
      <c r="J61" s="14"/>
      <c r="K61" s="14">
        <f>'Input_Energy Context'!K12*'Input_EDGE energy savings'!K19</f>
        <v>14.661146367358134</v>
      </c>
      <c r="L61" s="14">
        <f>'Input_Energy Context'!L12*'Input_EDGE energy savings'!L19</f>
        <v>29.704109241249579</v>
      </c>
      <c r="M61" s="14"/>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row>
    <row r="62" spans="1:39" ht="27" hidden="1" customHeight="1" outlineLevel="1" x14ac:dyDescent="0.3">
      <c r="A62" s="19" t="s">
        <v>106</v>
      </c>
      <c r="B62" s="14">
        <f>'Input_Energy Context'!B13*'Input_EDGE energy savings'!B20</f>
        <v>0</v>
      </c>
      <c r="C62" s="14"/>
      <c r="D62" s="14"/>
      <c r="E62" s="14"/>
      <c r="F62" s="14"/>
      <c r="G62" s="14"/>
      <c r="H62" s="14">
        <f>'Input_EDGE energy savings'!H20*'Input_Energy Context'!$B$13</f>
        <v>0</v>
      </c>
      <c r="I62" s="14">
        <f>'Input_EDGE energy savings'!I20*'Input_Energy Context'!$B$13</f>
        <v>0</v>
      </c>
      <c r="J62" s="14"/>
      <c r="K62" s="14">
        <f>'Input_EDGE energy savings'!K20*'Input_Energy Context'!$B$13</f>
        <v>0</v>
      </c>
      <c r="L62" s="14">
        <f>'Input_EDGE energy savings'!L20*'Input_Energy Context'!$B$13</f>
        <v>0</v>
      </c>
      <c r="M62" s="14"/>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row>
    <row r="63" spans="1:39" ht="39.75" customHeight="1" collapsed="1" x14ac:dyDescent="0.3">
      <c r="A63" s="19" t="s">
        <v>63</v>
      </c>
      <c r="B63" s="14">
        <f t="shared" ref="B63:H63" si="15">B64+B65</f>
        <v>0</v>
      </c>
      <c r="C63" s="14">
        <f t="shared" si="15"/>
        <v>0</v>
      </c>
      <c r="D63" s="14">
        <f t="shared" si="15"/>
        <v>0</v>
      </c>
      <c r="E63" s="14">
        <f t="shared" si="15"/>
        <v>0</v>
      </c>
      <c r="F63" s="14">
        <f t="shared" si="15"/>
        <v>0</v>
      </c>
      <c r="G63" s="14">
        <f t="shared" si="15"/>
        <v>0</v>
      </c>
      <c r="H63" s="14">
        <f t="shared" si="15"/>
        <v>39.441083099301821</v>
      </c>
      <c r="I63" s="14">
        <f t="shared" ref="I63:J63" si="16">I64+I65</f>
        <v>0</v>
      </c>
      <c r="J63" s="14">
        <f t="shared" si="16"/>
        <v>0</v>
      </c>
      <c r="K63" s="14">
        <f t="shared" ref="K63" si="17">K64+K65</f>
        <v>0</v>
      </c>
      <c r="L63" s="14">
        <f>L64+L65</f>
        <v>39.175109241249579</v>
      </c>
      <c r="M63" s="14">
        <f>AVERAGE(B63:L63)</f>
        <v>7.1469265764137644</v>
      </c>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row>
    <row r="64" spans="1:39" ht="38.25" hidden="1" customHeight="1" outlineLevel="1" x14ac:dyDescent="0.3">
      <c r="A64" s="19" t="s">
        <v>105</v>
      </c>
      <c r="B64" s="14"/>
      <c r="C64" s="14"/>
      <c r="D64" s="14"/>
      <c r="E64" s="14"/>
      <c r="F64" s="14"/>
      <c r="G64" s="14"/>
      <c r="H64" s="14">
        <f>'Input_Energy Context'!H12*'Input_EDGE energy savings'!H22</f>
        <v>35.052083099301818</v>
      </c>
      <c r="I64" s="14">
        <f>'Input_Energy Context'!I12*'Input_EDGE energy savings'!I22</f>
        <v>0</v>
      </c>
      <c r="J64" s="14">
        <f>'Input_Energy Context'!J12*'Input_EDGE energy savings'!J22</f>
        <v>0</v>
      </c>
      <c r="K64" s="14">
        <f>'Input_Energy Context'!K12*'Input_EDGE energy savings'!K22</f>
        <v>0</v>
      </c>
      <c r="L64" s="14">
        <f>'Input_Energy Context'!L12*'Input_EDGE energy savings'!L22</f>
        <v>29.704109241249579</v>
      </c>
      <c r="M64" s="14"/>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row>
    <row r="65" spans="1:44" ht="38.25" hidden="1" customHeight="1" outlineLevel="1" x14ac:dyDescent="0.3">
      <c r="A65" s="19" t="s">
        <v>106</v>
      </c>
      <c r="B65" s="14"/>
      <c r="C65" s="14"/>
      <c r="D65" s="14"/>
      <c r="E65" s="14"/>
      <c r="F65" s="14"/>
      <c r="G65" s="14"/>
      <c r="H65" s="14">
        <f>'Input_Energy Context'!$B$13*'Input_EDGE energy savings'!H23</f>
        <v>4.3890000000000002</v>
      </c>
      <c r="I65" s="14">
        <f>'Input_Energy Context'!$B$13*'Input_EDGE energy savings'!I23</f>
        <v>0</v>
      </c>
      <c r="J65" s="14">
        <f>'Input_Energy Context'!$B$13*'Input_EDGE energy savings'!J23</f>
        <v>0</v>
      </c>
      <c r="K65" s="14">
        <f>'Input_Energy Context'!$B$13*'Input_EDGE energy savings'!K23</f>
        <v>0</v>
      </c>
      <c r="L65" s="14">
        <f>'Input_Energy Context'!$B$13*'Input_EDGE energy savings'!L23</f>
        <v>9.4710000000000001</v>
      </c>
      <c r="M65" s="14"/>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row>
    <row r="66" spans="1:44" ht="36.75" customHeight="1" collapsed="1" x14ac:dyDescent="0.3">
      <c r="A66" s="19" t="s">
        <v>64</v>
      </c>
      <c r="B66" s="14">
        <f t="shared" ref="B66:G66" si="18">B67+B68</f>
        <v>0</v>
      </c>
      <c r="C66" s="14">
        <f t="shared" si="18"/>
        <v>0</v>
      </c>
      <c r="D66" s="14">
        <f t="shared" si="18"/>
        <v>0</v>
      </c>
      <c r="E66" s="14">
        <f t="shared" si="18"/>
        <v>0</v>
      </c>
      <c r="F66" s="14">
        <f t="shared" si="18"/>
        <v>0</v>
      </c>
      <c r="G66" s="14">
        <f t="shared" si="18"/>
        <v>0</v>
      </c>
      <c r="H66" s="14">
        <f>L67+L68</f>
        <v>53.645469348049986</v>
      </c>
      <c r="I66" s="14">
        <f>N67+N68</f>
        <v>0</v>
      </c>
      <c r="J66" s="14">
        <f>O67+O68</f>
        <v>0</v>
      </c>
      <c r="K66" s="14">
        <f>P67+P68</f>
        <v>0</v>
      </c>
      <c r="L66" s="14">
        <f>Q67+Q68</f>
        <v>55.043492862644612</v>
      </c>
      <c r="M66" s="14">
        <f>AVERAGE(B66:L66)</f>
        <v>9.8808147464267808</v>
      </c>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row>
    <row r="67" spans="1:44" ht="38.25" hidden="1" customHeight="1" outlineLevel="1" x14ac:dyDescent="0.3">
      <c r="A67" s="19" t="s">
        <v>105</v>
      </c>
      <c r="B67" s="9"/>
      <c r="C67" s="9"/>
      <c r="D67" s="9"/>
      <c r="E67" s="9"/>
      <c r="F67" s="9"/>
      <c r="G67" s="9"/>
      <c r="H67" s="9"/>
      <c r="I67" s="9"/>
      <c r="J67" s="9"/>
      <c r="K67" s="9"/>
      <c r="L67" s="57">
        <f>'Input_Energy Context'!H12*'Input_EDGE energy savings'!H25</f>
        <v>52.259469348049983</v>
      </c>
      <c r="M67" s="57" t="e">
        <f>'Input_Energy Context'!#REF!*'Input_EDGE energy savings'!#REF!</f>
        <v>#REF!</v>
      </c>
      <c r="N67" s="9"/>
      <c r="O67" s="9"/>
      <c r="P67" s="9"/>
      <c r="Q67" s="57">
        <f>'Input_Energy Context'!L12*'Input_EDGE energy savings'!L25</f>
        <v>51.809492862644611</v>
      </c>
      <c r="R67" s="9"/>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row>
    <row r="68" spans="1:44" ht="38.25" hidden="1" customHeight="1" outlineLevel="1" x14ac:dyDescent="0.3">
      <c r="A68" s="19" t="s">
        <v>106</v>
      </c>
      <c r="B68" s="9"/>
      <c r="C68" s="9"/>
      <c r="D68" s="9"/>
      <c r="E68" s="9"/>
      <c r="F68" s="9"/>
      <c r="G68" s="9"/>
      <c r="H68" s="9"/>
      <c r="I68" s="9"/>
      <c r="J68" s="9"/>
      <c r="K68" s="9"/>
      <c r="L68" s="57">
        <f>'Input_Energy Context'!$B$13*'Input_EDGE energy savings'!H26</f>
        <v>1.3860000000000001</v>
      </c>
      <c r="M68" s="57" t="e">
        <f>'Input_Energy Context'!$B$13*'Input_EDGE energy savings'!#REF!</f>
        <v>#REF!</v>
      </c>
      <c r="N68" s="9"/>
      <c r="O68" s="9"/>
      <c r="P68" s="9"/>
      <c r="Q68" s="57">
        <f>'Input_Energy Context'!$B$13*'Input_EDGE energy savings'!L26</f>
        <v>3.234</v>
      </c>
      <c r="R68" s="9"/>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row>
    <row r="69" spans="1:44" ht="38.25" customHeight="1" collapsed="1" x14ac:dyDescent="0.3">
      <c r="A69" s="52"/>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row>
    <row r="70" spans="1:44" ht="90" customHeight="1" x14ac:dyDescent="0.35">
      <c r="A70" s="19" t="s">
        <v>138</v>
      </c>
      <c r="N70" s="44"/>
      <c r="O70" s="44"/>
      <c r="P70" s="44"/>
      <c r="Q70" s="44"/>
      <c r="R70" s="44"/>
      <c r="S70" s="44"/>
      <c r="T70" s="44"/>
      <c r="U70" s="44"/>
      <c r="V70" s="44"/>
      <c r="W70" s="44"/>
      <c r="X70" s="44"/>
      <c r="Y70" s="44"/>
      <c r="Z70" s="44"/>
      <c r="AA70" s="44"/>
    </row>
    <row r="71" spans="1:44" ht="57" hidden="1" customHeight="1" outlineLevel="1" x14ac:dyDescent="0.35">
      <c r="B71" s="56" t="s">
        <v>95</v>
      </c>
      <c r="C71" s="56" t="s">
        <v>96</v>
      </c>
      <c r="D71" s="56" t="s">
        <v>97</v>
      </c>
      <c r="E71" s="56" t="s">
        <v>96</v>
      </c>
      <c r="F71" s="56" t="s">
        <v>98</v>
      </c>
      <c r="G71" s="56" t="s">
        <v>99</v>
      </c>
      <c r="H71" s="38" t="s">
        <v>100</v>
      </c>
      <c r="I71" s="38" t="s">
        <v>101</v>
      </c>
      <c r="J71" s="38" t="s">
        <v>102</v>
      </c>
      <c r="K71" s="38" t="s">
        <v>101</v>
      </c>
      <c r="L71" s="38" t="s">
        <v>103</v>
      </c>
      <c r="M71" s="44"/>
      <c r="N71" s="44"/>
      <c r="O71" s="44"/>
      <c r="P71" s="44"/>
      <c r="Q71" s="44"/>
      <c r="R71" s="44"/>
      <c r="S71" s="44"/>
      <c r="T71" s="44"/>
      <c r="U71" s="44"/>
      <c r="V71" s="44"/>
    </row>
    <row r="72" spans="1:44" ht="24" hidden="1" customHeight="1" outlineLevel="1" x14ac:dyDescent="0.35">
      <c r="A72" s="47"/>
      <c r="B72" s="14">
        <f t="shared" ref="B72:L72" si="19">AVERAGE(B48,B51,B54,B57,B60,B63,B66)</f>
        <v>30.184930162504667</v>
      </c>
      <c r="C72" s="14">
        <f t="shared" si="19"/>
        <v>13.452340654204255</v>
      </c>
      <c r="D72" s="14">
        <f t="shared" si="19"/>
        <v>13.542361847916974</v>
      </c>
      <c r="E72" s="14">
        <f t="shared" si="19"/>
        <v>11.233647820457909</v>
      </c>
      <c r="F72" s="14">
        <f t="shared" si="19"/>
        <v>10.30829332579232</v>
      </c>
      <c r="G72" s="14">
        <f t="shared" si="19"/>
        <v>11.285420659013521</v>
      </c>
      <c r="H72" s="14">
        <f t="shared" si="19"/>
        <v>37.385949984242316</v>
      </c>
      <c r="I72" s="14">
        <f t="shared" si="19"/>
        <v>22.480292369571394</v>
      </c>
      <c r="J72" s="14">
        <f t="shared" si="19"/>
        <v>5.7656258795161088</v>
      </c>
      <c r="K72" s="14">
        <f t="shared" si="19"/>
        <v>8.1322454317515973</v>
      </c>
      <c r="L72" s="14">
        <f t="shared" si="19"/>
        <v>36.184719308857602</v>
      </c>
      <c r="M72" s="44"/>
      <c r="N72" s="44"/>
      <c r="O72" s="44"/>
      <c r="P72" s="44"/>
      <c r="Q72" s="44"/>
      <c r="R72" s="44"/>
      <c r="S72" s="44"/>
      <c r="T72" s="44"/>
      <c r="U72" s="44"/>
      <c r="V72" s="44"/>
    </row>
    <row r="73" spans="1:44" ht="15.75" hidden="1" customHeight="1" outlineLevel="1" x14ac:dyDescent="0.35">
      <c r="A73" s="47"/>
      <c r="N73" s="44"/>
      <c r="O73" s="44"/>
      <c r="P73" s="44"/>
      <c r="Q73" s="44"/>
      <c r="R73" s="44"/>
      <c r="S73" s="44"/>
      <c r="T73" s="44"/>
      <c r="U73" s="44"/>
      <c r="V73" s="44"/>
      <c r="W73" s="44"/>
      <c r="X73" s="44"/>
      <c r="Y73" s="44"/>
      <c r="Z73" s="44"/>
      <c r="AA73" s="44"/>
    </row>
    <row r="74" spans="1:44" ht="15.75" customHeight="1" collapsed="1" x14ac:dyDescent="0.35">
      <c r="A74" s="18" t="s">
        <v>101</v>
      </c>
      <c r="B74" s="58">
        <f>AVERAGE(D72:D72,,G72,,I72,K72)</f>
        <v>9.240053384708915</v>
      </c>
      <c r="N74" s="44"/>
      <c r="O74" s="44"/>
      <c r="P74" s="44"/>
      <c r="Q74" s="44"/>
      <c r="R74" s="44"/>
      <c r="S74" s="44"/>
      <c r="T74" s="44"/>
      <c r="U74" s="44"/>
      <c r="V74" s="44"/>
      <c r="W74" s="44"/>
      <c r="X74" s="44"/>
      <c r="Y74" s="44"/>
      <c r="Z74" s="44"/>
      <c r="AA74" s="44"/>
    </row>
    <row r="75" spans="1:44" ht="15.75" customHeight="1" x14ac:dyDescent="0.35">
      <c r="A75" s="18" t="s">
        <v>100</v>
      </c>
      <c r="B75" s="58">
        <f>AVERAGE(H72)</f>
        <v>37.385949984242316</v>
      </c>
      <c r="N75" s="44"/>
      <c r="O75" s="44"/>
      <c r="P75" s="44"/>
      <c r="Q75" s="44"/>
      <c r="R75" s="44"/>
      <c r="S75" s="44"/>
      <c r="T75" s="44"/>
      <c r="U75" s="44"/>
      <c r="V75" s="44"/>
      <c r="W75" s="44"/>
      <c r="X75" s="44"/>
      <c r="Y75" s="44"/>
      <c r="Z75" s="44"/>
      <c r="AA75" s="44"/>
    </row>
    <row r="76" spans="1:44" ht="15.75" customHeight="1" x14ac:dyDescent="0.35">
      <c r="A76" s="18" t="s">
        <v>108</v>
      </c>
      <c r="B76" s="58">
        <f>AVERAGE(,B72,G72)</f>
        <v>13.823450273839397</v>
      </c>
      <c r="N76" s="44"/>
      <c r="O76" s="44"/>
      <c r="P76" s="44"/>
      <c r="Q76" s="44"/>
      <c r="R76" s="44"/>
      <c r="S76" s="44"/>
      <c r="T76" s="44"/>
      <c r="U76" s="44"/>
      <c r="V76" s="44"/>
      <c r="W76" s="44"/>
      <c r="X76" s="44"/>
      <c r="Y76" s="44"/>
      <c r="Z76" s="44"/>
      <c r="AA76" s="44"/>
    </row>
    <row r="77" spans="1:44" ht="15.75" customHeight="1" x14ac:dyDescent="0.35">
      <c r="A77" s="18" t="s">
        <v>109</v>
      </c>
      <c r="B77" s="58">
        <f>AVERAGE(F72)</f>
        <v>10.30829332579232</v>
      </c>
      <c r="N77" s="44"/>
      <c r="O77" s="44"/>
      <c r="P77" s="44"/>
      <c r="Q77" s="44"/>
      <c r="R77" s="44"/>
      <c r="S77" s="44"/>
      <c r="T77" s="44"/>
      <c r="U77" s="44"/>
      <c r="V77" s="44"/>
      <c r="W77" s="44"/>
      <c r="X77" s="44"/>
      <c r="Y77" s="44"/>
      <c r="Z77" s="44"/>
      <c r="AA77" s="44"/>
    </row>
    <row r="78" spans="1:44" ht="15.75" customHeight="1" x14ac:dyDescent="0.35">
      <c r="A78" s="18" t="s">
        <v>110</v>
      </c>
      <c r="B78" s="58">
        <f>AVERAGE(C72,E72,J72)</f>
        <v>10.150538118059425</v>
      </c>
      <c r="N78" s="44"/>
      <c r="O78" s="44"/>
      <c r="P78" s="44"/>
      <c r="Q78" s="44"/>
      <c r="R78" s="44"/>
      <c r="S78" s="44"/>
      <c r="T78" s="44"/>
      <c r="U78" s="44"/>
      <c r="V78" s="44"/>
      <c r="W78" s="44"/>
      <c r="X78" s="44"/>
      <c r="Y78" s="44"/>
      <c r="Z78" s="44"/>
      <c r="AA78" s="44"/>
    </row>
    <row r="79" spans="1:44" ht="15.75" hidden="1" customHeight="1" x14ac:dyDescent="0.35">
      <c r="A79" s="18" t="s">
        <v>111</v>
      </c>
      <c r="B79" s="58" t="e">
        <f>AVERAGE(#REF!)</f>
        <v>#REF!</v>
      </c>
      <c r="N79" s="44"/>
      <c r="O79" s="44"/>
      <c r="P79" s="44"/>
      <c r="Q79" s="44"/>
      <c r="R79" s="44"/>
      <c r="S79" s="44"/>
      <c r="T79" s="44"/>
      <c r="U79" s="44"/>
      <c r="V79" s="44"/>
      <c r="W79" s="44"/>
      <c r="X79" s="44"/>
      <c r="Y79" s="44"/>
      <c r="Z79" s="44"/>
      <c r="AA79" s="44"/>
    </row>
    <row r="80" spans="1:44" ht="15.75" customHeight="1" x14ac:dyDescent="0.35">
      <c r="A80" s="18" t="s">
        <v>103</v>
      </c>
      <c r="B80" s="58">
        <f>AVERAGE(L72)</f>
        <v>36.184719308857602</v>
      </c>
      <c r="N80" s="44"/>
      <c r="O80" s="44"/>
      <c r="P80" s="44"/>
      <c r="Q80" s="44"/>
      <c r="R80" s="44"/>
      <c r="S80" s="44"/>
      <c r="T80" s="44"/>
      <c r="U80" s="44"/>
      <c r="V80" s="44"/>
      <c r="W80" s="44"/>
      <c r="X80" s="44"/>
      <c r="Y80" s="44"/>
      <c r="Z80" s="44"/>
      <c r="AA80" s="44"/>
    </row>
    <row r="81" spans="1:44" ht="15.75" customHeight="1" x14ac:dyDescent="0.35">
      <c r="A81" s="47"/>
      <c r="N81" s="44"/>
      <c r="O81" s="44"/>
      <c r="P81" s="44"/>
      <c r="Q81" s="44"/>
      <c r="R81" s="44"/>
      <c r="S81" s="44"/>
      <c r="T81" s="44"/>
      <c r="U81" s="44"/>
      <c r="V81" s="44"/>
      <c r="W81" s="44"/>
      <c r="X81" s="44"/>
      <c r="Y81" s="44"/>
      <c r="Z81" s="44"/>
      <c r="AA81" s="44"/>
    </row>
    <row r="82" spans="1:44" ht="15.75" customHeight="1" x14ac:dyDescent="0.35">
      <c r="A82" s="47"/>
      <c r="N82" s="44"/>
      <c r="O82" s="44"/>
      <c r="P82" s="44"/>
      <c r="Q82" s="44"/>
      <c r="R82" s="44"/>
      <c r="S82" s="44"/>
      <c r="T82" s="44"/>
      <c r="U82" s="44"/>
      <c r="V82" s="44"/>
      <c r="W82" s="44"/>
      <c r="X82" s="44"/>
      <c r="Y82" s="44"/>
      <c r="Z82" s="44"/>
      <c r="AA82" s="44"/>
    </row>
    <row r="83" spans="1:44" ht="15.75" customHeight="1" x14ac:dyDescent="0.35">
      <c r="A83" s="47"/>
      <c r="N83" s="44"/>
      <c r="O83" s="44"/>
      <c r="P83" s="44"/>
      <c r="Q83" s="44"/>
      <c r="R83" s="44"/>
      <c r="S83" s="44"/>
      <c r="T83" s="44"/>
      <c r="U83" s="44"/>
      <c r="V83" s="44"/>
      <c r="W83" s="44"/>
      <c r="X83" s="44"/>
      <c r="Y83" s="44"/>
      <c r="Z83" s="44"/>
      <c r="AA83" s="44"/>
    </row>
    <row r="84" spans="1:44" ht="42" customHeight="1" x14ac:dyDescent="0.3">
      <c r="A84" s="15" t="s">
        <v>139</v>
      </c>
      <c r="B84" s="15"/>
      <c r="C84" s="15"/>
      <c r="D84" s="15"/>
      <c r="E84" s="15"/>
      <c r="F84" s="15"/>
      <c r="G84" s="15"/>
      <c r="H84" s="15"/>
      <c r="I84" s="15"/>
      <c r="J84" s="15"/>
      <c r="K84" s="15"/>
      <c r="L84" s="15"/>
      <c r="M84" s="15"/>
      <c r="N84" s="15"/>
      <c r="O84" s="15"/>
      <c r="P84" s="16"/>
      <c r="Q84" s="16"/>
      <c r="R84" s="16"/>
      <c r="S84" s="16"/>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row>
    <row r="85" spans="1:44" ht="15.75" customHeight="1" x14ac:dyDescent="0.35">
      <c r="A85" s="47"/>
      <c r="N85" s="44"/>
      <c r="O85" s="44"/>
      <c r="P85" s="44"/>
      <c r="Q85" s="44"/>
      <c r="R85" s="44"/>
      <c r="S85" s="44"/>
      <c r="T85" s="44"/>
      <c r="U85" s="44"/>
      <c r="V85" s="44"/>
      <c r="W85" s="44"/>
      <c r="X85" s="44"/>
      <c r="Y85" s="44"/>
      <c r="Z85" s="44"/>
      <c r="AA85" s="44"/>
    </row>
    <row r="86" spans="1:44" ht="48" customHeight="1" x14ac:dyDescent="0.35">
      <c r="A86" s="31" t="s">
        <v>137</v>
      </c>
      <c r="B86" s="19" t="s">
        <v>46</v>
      </c>
      <c r="C86" s="19" t="s">
        <v>48</v>
      </c>
      <c r="D86" s="19" t="s">
        <v>49</v>
      </c>
      <c r="E86" s="19" t="s">
        <v>50</v>
      </c>
      <c r="F86" s="19" t="s">
        <v>51</v>
      </c>
      <c r="G86" s="19" t="s">
        <v>52</v>
      </c>
      <c r="H86" s="19" t="s">
        <v>53</v>
      </c>
      <c r="I86" s="19" t="s">
        <v>54</v>
      </c>
      <c r="J86" s="19" t="s">
        <v>55</v>
      </c>
      <c r="K86" s="19" t="s">
        <v>763</v>
      </c>
      <c r="L86" s="19" t="s">
        <v>648</v>
      </c>
      <c r="M86" s="19" t="s">
        <v>67</v>
      </c>
      <c r="N86" s="44"/>
      <c r="O86" s="44"/>
      <c r="P86" s="44"/>
      <c r="Q86" s="44"/>
      <c r="R86" s="44"/>
      <c r="S86" s="44"/>
      <c r="T86" s="44"/>
      <c r="U86" s="44"/>
      <c r="V86" s="44"/>
    </row>
    <row r="87" spans="1:44" ht="40.5" customHeight="1" x14ac:dyDescent="0.3">
      <c r="A87" s="19" t="s">
        <v>58</v>
      </c>
      <c r="B87" s="14">
        <f t="shared" ref="B87:L87" si="20">B88+B89</f>
        <v>17.126333685925289</v>
      </c>
      <c r="C87" s="14">
        <f t="shared" si="20"/>
        <v>13.872161095924771</v>
      </c>
      <c r="D87" s="14">
        <f t="shared" si="20"/>
        <v>10.709177416736345</v>
      </c>
      <c r="E87" s="14">
        <f t="shared" si="20"/>
        <v>10.795294618936913</v>
      </c>
      <c r="F87" s="14">
        <f t="shared" si="20"/>
        <v>9.8950455063199119</v>
      </c>
      <c r="G87" s="14">
        <f t="shared" si="20"/>
        <v>9.0568961428570773</v>
      </c>
      <c r="H87" s="14">
        <f t="shared" si="20"/>
        <v>14.769522637915241</v>
      </c>
      <c r="I87" s="14">
        <f t="shared" si="20"/>
        <v>12.383443959810272</v>
      </c>
      <c r="J87" s="14">
        <f t="shared" si="20"/>
        <v>3.212283059328942</v>
      </c>
      <c r="K87" s="14">
        <f t="shared" ref="K87" si="21">K88+K89</f>
        <v>4.9556768955370005</v>
      </c>
      <c r="L87" s="14">
        <f t="shared" si="20"/>
        <v>20.50383095421487</v>
      </c>
      <c r="M87" s="14">
        <f>AVERAGE(B87:L87)</f>
        <v>11.57087872486424</v>
      </c>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row>
    <row r="88" spans="1:44" ht="38.25" hidden="1" customHeight="1" outlineLevel="1" x14ac:dyDescent="0.3">
      <c r="A88" s="19" t="s">
        <v>105</v>
      </c>
      <c r="B88" s="14">
        <f>'Input_Energy Context'!B12*'Input_EDGE energy savings'!B47</f>
        <v>15.971333685925288</v>
      </c>
      <c r="C88" s="14">
        <f>'Input_Energy Context'!C12*'Input_EDGE energy savings'!C47</f>
        <v>11.56216109592477</v>
      </c>
      <c r="D88" s="14">
        <f>'Input_Energy Context'!D12*'Input_EDGE energy savings'!D47</f>
        <v>9.0921774167363445</v>
      </c>
      <c r="E88" s="14">
        <f>'Input_Energy Context'!E12*'Input_EDGE energy savings'!E47</f>
        <v>8.4852946189369121</v>
      </c>
      <c r="F88" s="14">
        <f>'Input_Energy Context'!F12*'Input_EDGE energy savings'!F47</f>
        <v>7.3540455063199124</v>
      </c>
      <c r="G88" s="14">
        <f>'Input_Energy Context'!G12*'Input_EDGE energy savings'!G47</f>
        <v>7.6708961428570763</v>
      </c>
      <c r="H88" s="14">
        <f>'Input_Energy Context'!H12*'Input_EDGE energy savings'!H47</f>
        <v>13.38352263791524</v>
      </c>
      <c r="I88" s="14">
        <f>'Input_Energy Context'!I12*'Input_EDGE energy savings'!I47</f>
        <v>10.766443959810271</v>
      </c>
      <c r="J88" s="14">
        <f>'Input_Energy Context'!J12*'Input_EDGE energy savings'!J47</f>
        <v>0.90228305932894182</v>
      </c>
      <c r="K88" s="14">
        <f>'Input_Energy Context'!K12*'Input_EDGE energy savings'!K47</f>
        <v>3.3386768955370005</v>
      </c>
      <c r="L88" s="14">
        <f>'Input_Energy Context'!L12*'Input_EDGE energy savings'!L47</f>
        <v>17.269830954214871</v>
      </c>
      <c r="M88" s="14"/>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row>
    <row r="89" spans="1:44" ht="38.25" hidden="1" customHeight="1" outlineLevel="1" x14ac:dyDescent="0.3">
      <c r="A89" s="19" t="s">
        <v>106</v>
      </c>
      <c r="B89" s="14">
        <f>'Input_Energy Context'!$B$13*'Input_EDGE energy savings'!B48</f>
        <v>1.155</v>
      </c>
      <c r="C89" s="14">
        <f>'Input_Energy Context'!$B$13*'Input_EDGE energy savings'!C48</f>
        <v>2.31</v>
      </c>
      <c r="D89" s="14">
        <f>'Input_Energy Context'!$B$13*'Input_EDGE energy savings'!D48</f>
        <v>1.617</v>
      </c>
      <c r="E89" s="14">
        <f>'Input_Energy Context'!$B$13*'Input_EDGE energy savings'!E48</f>
        <v>2.31</v>
      </c>
      <c r="F89" s="14">
        <f>'Input_Energy Context'!$B$13*'Input_EDGE energy savings'!F48</f>
        <v>2.5409999999999999</v>
      </c>
      <c r="G89" s="14">
        <f>'Input_Energy Context'!$B$13*'Input_EDGE energy savings'!G48</f>
        <v>1.3860000000000001</v>
      </c>
      <c r="H89" s="14">
        <f>'Input_Energy Context'!$B$13*'Input_EDGE energy savings'!H48</f>
        <v>1.3860000000000001</v>
      </c>
      <c r="I89" s="14">
        <f>'Input_Energy Context'!$B$13*'Input_EDGE energy savings'!I48</f>
        <v>1.617</v>
      </c>
      <c r="J89" s="14">
        <f>'Input_Energy Context'!$B$13*'Input_EDGE energy savings'!J48</f>
        <v>2.31</v>
      </c>
      <c r="K89" s="14">
        <f>'Input_Energy Context'!$B$13*'Input_EDGE energy savings'!K48</f>
        <v>1.617</v>
      </c>
      <c r="L89" s="14">
        <f>'Input_Energy Context'!$B$13*'Input_EDGE energy savings'!L48</f>
        <v>3.234</v>
      </c>
      <c r="M89" s="14"/>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row>
    <row r="90" spans="1:44" ht="34.5" customHeight="1" collapsed="1" x14ac:dyDescent="0.3">
      <c r="A90" s="19" t="s">
        <v>59</v>
      </c>
      <c r="B90" s="14">
        <f t="shared" ref="B90:L90" si="22">B91+B92</f>
        <v>17.942040380799313</v>
      </c>
      <c r="C90" s="14">
        <f t="shared" si="22"/>
        <v>7.0342118982534725</v>
      </c>
      <c r="D90" s="14">
        <f t="shared" si="22"/>
        <v>10.806801539930809</v>
      </c>
      <c r="E90" s="14">
        <f t="shared" si="22"/>
        <v>5.7155548366872484</v>
      </c>
      <c r="F90" s="14">
        <f t="shared" si="22"/>
        <v>4.8209448236856831</v>
      </c>
      <c r="G90" s="14">
        <f t="shared" si="22"/>
        <v>9.1186374880951675</v>
      </c>
      <c r="H90" s="14">
        <f t="shared" si="22"/>
        <v>13.439212036109751</v>
      </c>
      <c r="I90" s="14">
        <f t="shared" si="22"/>
        <v>12.626656478054642</v>
      </c>
      <c r="J90" s="14">
        <f t="shared" si="22"/>
        <v>2.465692739712404</v>
      </c>
      <c r="K90" s="14">
        <f t="shared" ref="K90" si="23">K91+K92</f>
        <v>4.5529966255836962</v>
      </c>
      <c r="L90" s="14">
        <f t="shared" si="22"/>
        <v>3.6893797145057845</v>
      </c>
      <c r="M90" s="14">
        <f>AVERAGE(B90:L90)</f>
        <v>8.3829207783107265</v>
      </c>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row>
    <row r="91" spans="1:44" ht="38.25" hidden="1" customHeight="1" outlineLevel="1" x14ac:dyDescent="0.3">
      <c r="A91" s="19" t="s">
        <v>105</v>
      </c>
      <c r="B91" s="14">
        <f>'Input_Energy Context'!B12*'Input_EDGE energy savings'!B50</f>
        <v>17.249040380799311</v>
      </c>
      <c r="C91" s="14">
        <f>'Input_Energy Context'!C12*'Input_EDGE energy savings'!C50</f>
        <v>4.9552118982534727</v>
      </c>
      <c r="D91" s="14">
        <f>'Input_Energy Context'!D12*'Input_EDGE energy savings'!D50</f>
        <v>9.88280153993081</v>
      </c>
      <c r="E91" s="14">
        <f>'Input_Energy Context'!E12*'Input_EDGE energy savings'!E50</f>
        <v>3.6365548366872482</v>
      </c>
      <c r="F91" s="14">
        <f>'Input_Energy Context'!F12*'Input_EDGE energy savings'!F50</f>
        <v>2.626444823685683</v>
      </c>
      <c r="G91" s="14">
        <f>'Input_Energy Context'!G12*'Input_EDGE energy savings'!G50</f>
        <v>8.3101374880951671</v>
      </c>
      <c r="H91" s="14">
        <f>'Input_Energy Context'!H12*'Input_EDGE energy savings'!H50</f>
        <v>12.746212036109752</v>
      </c>
      <c r="I91" s="14">
        <f>'Input_Energy Context'!I12*'Input_EDGE energy savings'!I50</f>
        <v>11.702656478054642</v>
      </c>
      <c r="J91" s="14">
        <f>'Input_Energy Context'!J12*'Input_EDGE energy savings'!J50</f>
        <v>0.38669273971240364</v>
      </c>
      <c r="K91" s="14">
        <f>'Input_Energy Context'!K12*'Input_EDGE energy savings'!K50</f>
        <v>3.6289966255836963</v>
      </c>
      <c r="L91" s="14">
        <f>'Input_Energy Context'!L12*'Input_EDGE energy savings'!L50</f>
        <v>2.0723797145057845</v>
      </c>
      <c r="M91" s="14"/>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row>
    <row r="92" spans="1:44" ht="38.25" hidden="1" customHeight="1" outlineLevel="1" x14ac:dyDescent="0.3">
      <c r="A92" s="19" t="s">
        <v>106</v>
      </c>
      <c r="B92" s="14">
        <f>'Input_Energy Context'!$B$13*'Input_EDGE energy savings'!B51</f>
        <v>0.69300000000000006</v>
      </c>
      <c r="C92" s="14">
        <f>'Input_Energy Context'!$B$13*'Input_EDGE energy savings'!C51</f>
        <v>2.0790000000000002</v>
      </c>
      <c r="D92" s="14">
        <f>'Input_Energy Context'!$B$13*'Input_EDGE energy savings'!D51</f>
        <v>0.92400000000000004</v>
      </c>
      <c r="E92" s="14">
        <f>'Input_Energy Context'!$B$13*'Input_EDGE energy savings'!E51</f>
        <v>2.0790000000000002</v>
      </c>
      <c r="F92" s="14">
        <f>'Input_Energy Context'!$B$13*'Input_EDGE energy savings'!F51</f>
        <v>2.1945000000000001</v>
      </c>
      <c r="G92" s="14">
        <f>'Input_Energy Context'!$B$13*'Input_EDGE energy savings'!G51</f>
        <v>0.8085</v>
      </c>
      <c r="H92" s="14">
        <f>'Input_Energy Context'!$B$13*'Input_EDGE energy savings'!H51</f>
        <v>0.69300000000000006</v>
      </c>
      <c r="I92" s="14">
        <f>'Input_Energy Context'!$B$13*'Input_EDGE energy savings'!I51</f>
        <v>0.92400000000000004</v>
      </c>
      <c r="J92" s="14">
        <f>'Input_Energy Context'!$B$13*'Input_EDGE energy savings'!J51</f>
        <v>2.0790000000000002</v>
      </c>
      <c r="K92" s="14">
        <f>'Input_Energy Context'!$B$13*'Input_EDGE energy savings'!K51</f>
        <v>0.92400000000000004</v>
      </c>
      <c r="L92" s="14">
        <f>'Input_Energy Context'!$B$13*'Input_EDGE energy savings'!L51</f>
        <v>1.617</v>
      </c>
      <c r="M92" s="14"/>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row>
    <row r="93" spans="1:44" ht="38.25" customHeight="1" collapsed="1" x14ac:dyDescent="0.3">
      <c r="A93" s="19" t="s">
        <v>60</v>
      </c>
      <c r="B93" s="14">
        <f t="shared" ref="B93:L93" si="24">B94+B95</f>
        <v>39.525934109035639</v>
      </c>
      <c r="C93" s="14">
        <f t="shared" si="24"/>
        <v>23.739158199611886</v>
      </c>
      <c r="D93" s="14">
        <f t="shared" si="24"/>
        <v>25.638227203056083</v>
      </c>
      <c r="E93" s="14">
        <f t="shared" si="24"/>
        <v>23.446123297041613</v>
      </c>
      <c r="F93" s="14">
        <f t="shared" si="24"/>
        <v>24.157963215790456</v>
      </c>
      <c r="G93" s="14">
        <f t="shared" si="24"/>
        <v>21.835205985118897</v>
      </c>
      <c r="H93" s="14">
        <f t="shared" si="24"/>
        <v>22.982386248748163</v>
      </c>
      <c r="I93" s="14">
        <f t="shared" si="24"/>
        <v>29.423525474353657</v>
      </c>
      <c r="J93" s="14">
        <f t="shared" si="24"/>
        <v>22.72393171993609</v>
      </c>
      <c r="K93" s="14">
        <f t="shared" ref="K93" si="25">K94+K95</f>
        <v>12.630312981214088</v>
      </c>
      <c r="L93" s="14">
        <f t="shared" si="24"/>
        <v>47.799345905348758</v>
      </c>
      <c r="M93" s="14">
        <f>AVERAGE(B93:L93)</f>
        <v>26.718374030841392</v>
      </c>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row>
    <row r="94" spans="1:44" ht="38.25" hidden="1" customHeight="1" outlineLevel="1" x14ac:dyDescent="0.3">
      <c r="A94" s="19" t="s">
        <v>105</v>
      </c>
      <c r="B94" s="14">
        <f>'Input_Energy Context'!B12*'Input_EDGE energy savings'!B53</f>
        <v>35.136934109035636</v>
      </c>
      <c r="C94" s="14">
        <f>'Input_Energy Context'!C12*'Input_EDGE energy savings'!C53</f>
        <v>1.1011581996118829</v>
      </c>
      <c r="D94" s="14">
        <f>'Input_Energy Context'!D12*'Input_EDGE energy savings'!D53</f>
        <v>20.556227203056082</v>
      </c>
      <c r="E94" s="14">
        <f>'Input_Energy Context'!E12*'Input_EDGE energy savings'!E53</f>
        <v>0.80812329704161068</v>
      </c>
      <c r="F94" s="14">
        <f>'Input_Energy Context'!F12*'Input_EDGE energy savings'!F53</f>
        <v>1.7509632157904553</v>
      </c>
      <c r="G94" s="14">
        <f>'Input_Energy Context'!G12*'Input_EDGE energy savings'!G53</f>
        <v>17.099705985118899</v>
      </c>
      <c r="H94" s="14">
        <f>'Input_Energy Context'!H12*'Input_EDGE energy savings'!H53</f>
        <v>17.207386248748165</v>
      </c>
      <c r="I94" s="14">
        <f>'Input_Energy Context'!I12*'Input_EDGE energy savings'!I53</f>
        <v>24.341525474353656</v>
      </c>
      <c r="J94" s="14">
        <f>'Input_Energy Context'!J12*'Input_EDGE energy savings'!J53</f>
        <v>8.5931719936089695E-2</v>
      </c>
      <c r="K94" s="14">
        <f>'Input_Energy Context'!K12*'Input_EDGE energy savings'!K53</f>
        <v>7.5483129812140879</v>
      </c>
      <c r="L94" s="14">
        <f>'Input_Energy Context'!L12*'Input_EDGE energy savings'!L53</f>
        <v>5.5263459053487587</v>
      </c>
      <c r="M94" s="14"/>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row>
    <row r="95" spans="1:44" ht="38.25" hidden="1" customHeight="1" outlineLevel="1" x14ac:dyDescent="0.3">
      <c r="A95" s="19" t="s">
        <v>106</v>
      </c>
      <c r="B95" s="14">
        <f>'Input_Energy Context'!$B$13*'Input_EDGE energy savings'!B54</f>
        <v>4.3890000000000002</v>
      </c>
      <c r="C95" s="14">
        <f>'Input_Energy Context'!$B$13*'Input_EDGE energy savings'!C54</f>
        <v>22.638000000000002</v>
      </c>
      <c r="D95" s="14">
        <f>'Input_Energy Context'!$B$13*'Input_EDGE energy savings'!D54</f>
        <v>5.0819999999999999</v>
      </c>
      <c r="E95" s="14">
        <f>'Input_Energy Context'!$B$13*'Input_EDGE energy savings'!E54</f>
        <v>22.638000000000002</v>
      </c>
      <c r="F95" s="14">
        <f>'Input_Energy Context'!$B$13*'Input_EDGE energy savings'!F54</f>
        <v>22.407</v>
      </c>
      <c r="G95" s="14">
        <f>'Input_Energy Context'!$B$13*'Input_EDGE energy savings'!G54</f>
        <v>4.7355</v>
      </c>
      <c r="H95" s="14">
        <f>'Input_Energy Context'!$B$13*'Input_EDGE energy savings'!H54</f>
        <v>5.7750000000000004</v>
      </c>
      <c r="I95" s="14">
        <f>'Input_Energy Context'!$B$13*'Input_EDGE energy savings'!I54</f>
        <v>5.0819999999999999</v>
      </c>
      <c r="J95" s="14">
        <f>'Input_Energy Context'!$B$13*'Input_EDGE energy savings'!J54</f>
        <v>22.638000000000002</v>
      </c>
      <c r="K95" s="14">
        <f>'Input_Energy Context'!$B$13*'Input_EDGE energy savings'!K54</f>
        <v>5.0819999999999999</v>
      </c>
      <c r="L95" s="14">
        <f>'Input_Energy Context'!$B$13*'Input_EDGE energy savings'!L54</f>
        <v>42.273000000000003</v>
      </c>
      <c r="M95" s="14"/>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row>
    <row r="96" spans="1:44" ht="33" customHeight="1" collapsed="1" x14ac:dyDescent="0.3">
      <c r="A96" s="19" t="s">
        <v>61</v>
      </c>
      <c r="B96" s="14">
        <f t="shared" ref="B96:L96" si="26">B97+B98</f>
        <v>10.221653558992184</v>
      </c>
      <c r="C96" s="14">
        <f t="shared" si="26"/>
        <v>4.4046327984475315</v>
      </c>
      <c r="D96" s="14">
        <f t="shared" si="26"/>
        <v>5.1390568007640205</v>
      </c>
      <c r="E96" s="14">
        <f t="shared" si="26"/>
        <v>3.2324931881664427</v>
      </c>
      <c r="F96" s="14">
        <f t="shared" si="26"/>
        <v>2.1011558589485464</v>
      </c>
      <c r="G96" s="14">
        <f t="shared" si="26"/>
        <v>4.6344997529761507</v>
      </c>
      <c r="H96" s="14">
        <f t="shared" si="26"/>
        <v>6.3731060180548758</v>
      </c>
      <c r="I96" s="14">
        <f t="shared" si="26"/>
        <v>6.0853813685884139</v>
      </c>
      <c r="J96" s="14">
        <f t="shared" si="26"/>
        <v>0.34372687974435878</v>
      </c>
      <c r="K96" s="14">
        <f t="shared" ref="K96" si="27">K97+K98</f>
        <v>1.887078245303522</v>
      </c>
      <c r="L96" s="14">
        <f t="shared" si="26"/>
        <v>1.1527932381685948</v>
      </c>
      <c r="M96" s="14">
        <f>AVERAGE(B96:L96)</f>
        <v>4.1432343371049667</v>
      </c>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row>
    <row r="97" spans="1:44" ht="38.25" hidden="1" customHeight="1" outlineLevel="1" x14ac:dyDescent="0.3">
      <c r="A97" s="19" t="s">
        <v>105</v>
      </c>
      <c r="B97" s="14">
        <f>'Input_Energy Context'!B12*'Input_EDGE energy savings'!B56</f>
        <v>10.221653558992184</v>
      </c>
      <c r="C97" s="14">
        <f>'Input_Energy Context'!C12*'Input_EDGE energy savings'!C56</f>
        <v>4.4046327984475315</v>
      </c>
      <c r="D97" s="14">
        <f>'Input_Energy Context'!D12*'Input_EDGE energy savings'!D56</f>
        <v>5.1390568007640205</v>
      </c>
      <c r="E97" s="14">
        <f>'Input_Energy Context'!E12*'Input_EDGE energy savings'!E56</f>
        <v>3.2324931881664427</v>
      </c>
      <c r="F97" s="14">
        <f>'Input_Energy Context'!F12*'Input_EDGE energy savings'!F56</f>
        <v>2.1011558589485464</v>
      </c>
      <c r="G97" s="14">
        <f>'Input_Energy Context'!G12*'Input_EDGE energy savings'!G56</f>
        <v>4.6344997529761507</v>
      </c>
      <c r="H97" s="14">
        <f>'Input_Energy Context'!H12*'Input_EDGE energy savings'!H56</f>
        <v>6.3731060180548758</v>
      </c>
      <c r="I97" s="14">
        <f>'Input_Energy Context'!I12*'Input_EDGE energy savings'!I56</f>
        <v>6.0853813685884139</v>
      </c>
      <c r="J97" s="14">
        <f>'Input_Energy Context'!J12*'Input_EDGE energy savings'!J56</f>
        <v>0.34372687974435878</v>
      </c>
      <c r="K97" s="14">
        <f>'Input_Energy Context'!K12*'Input_EDGE energy savings'!K56</f>
        <v>1.887078245303522</v>
      </c>
      <c r="L97" s="14">
        <f>'Input_Energy Context'!L12*'Input_EDGE energy savings'!L56</f>
        <v>0.69079323816859484</v>
      </c>
      <c r="M97" s="14"/>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row>
    <row r="98" spans="1:44" ht="38.25" hidden="1" customHeight="1" outlineLevel="1" x14ac:dyDescent="0.3">
      <c r="A98" s="19" t="s">
        <v>106</v>
      </c>
      <c r="B98" s="14">
        <f>'Input_Energy Context'!$B$13*'Input_EDGE energy savings'!B57</f>
        <v>0</v>
      </c>
      <c r="C98" s="14">
        <f>'Input_Energy Context'!$B$13*'Input_EDGE energy savings'!C57</f>
        <v>0</v>
      </c>
      <c r="D98" s="14">
        <f>'Input_Energy Context'!$B$13*'Input_EDGE energy savings'!D57</f>
        <v>0</v>
      </c>
      <c r="E98" s="14">
        <f>'Input_Energy Context'!$B$13*'Input_EDGE energy savings'!E57</f>
        <v>0</v>
      </c>
      <c r="F98" s="14">
        <f>'Input_Energy Context'!$B$13*'Input_EDGE energy savings'!F57</f>
        <v>0</v>
      </c>
      <c r="G98" s="14">
        <f>'Input_Energy Context'!$B$13*'Input_EDGE energy savings'!G57</f>
        <v>0</v>
      </c>
      <c r="H98" s="14">
        <f>'Input_Energy Context'!$B$13*'Input_EDGE energy savings'!H57</f>
        <v>0</v>
      </c>
      <c r="I98" s="14">
        <f>'Input_Energy Context'!$B$13*'Input_EDGE energy savings'!I57</f>
        <v>0</v>
      </c>
      <c r="J98" s="14">
        <f>'Input_Energy Context'!$B$13*'Input_EDGE energy savings'!J57</f>
        <v>0</v>
      </c>
      <c r="K98" s="14">
        <f>'Input_Energy Context'!$B$13*'Input_EDGE energy savings'!K57</f>
        <v>0</v>
      </c>
      <c r="L98" s="14">
        <f>'Input_Energy Context'!$B$13*'Input_EDGE energy savings'!L57</f>
        <v>0.46200000000000002</v>
      </c>
      <c r="M98" s="14"/>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row>
    <row r="99" spans="1:44" ht="33" customHeight="1" collapsed="1" x14ac:dyDescent="0.3">
      <c r="A99" s="19" t="s">
        <v>62</v>
      </c>
      <c r="B99" s="64">
        <f>B100+B101</f>
        <v>45.99744101546483</v>
      </c>
      <c r="C99" s="14"/>
      <c r="D99" s="14">
        <f t="shared" ref="D99" si="28">D100+D101</f>
        <v>0</v>
      </c>
      <c r="E99" s="14"/>
      <c r="F99" s="14"/>
      <c r="G99" s="14"/>
      <c r="H99" s="14">
        <f t="shared" ref="H99:I99" si="29">H100+H101</f>
        <v>36.964014904718283</v>
      </c>
      <c r="I99" s="14">
        <f t="shared" si="29"/>
        <v>35.107969434163927</v>
      </c>
      <c r="J99" s="14"/>
      <c r="K99" s="14">
        <f t="shared" ref="K99" si="30">K100+K101</f>
        <v>10.886989876751089</v>
      </c>
      <c r="L99" s="14">
        <f t="shared" ref="L99" si="31">L100+L101</f>
        <v>15.888244477877681</v>
      </c>
      <c r="M99" s="14">
        <f>AVERAGE(B99:L99)</f>
        <v>24.140776618162636</v>
      </c>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c r="AM99" s="26"/>
    </row>
    <row r="100" spans="1:44" ht="25.5" hidden="1" customHeight="1" outlineLevel="1" x14ac:dyDescent="0.3">
      <c r="A100" s="19" t="s">
        <v>105</v>
      </c>
      <c r="B100" s="14">
        <f>'Input_Energy Context'!B12*'Input_EDGE energy savings'!B59</f>
        <v>45.99744101546483</v>
      </c>
      <c r="C100" s="14"/>
      <c r="D100" s="14"/>
      <c r="E100" s="14"/>
      <c r="F100" s="14"/>
      <c r="G100" s="14"/>
      <c r="H100" s="14">
        <f>'Input_Energy Context'!H12*'Input_EDGE energy savings'!H59</f>
        <v>36.964014904718283</v>
      </c>
      <c r="I100" s="14">
        <f>'Input_Energy Context'!I12*'Input_EDGE energy savings'!I59</f>
        <v>35.107969434163927</v>
      </c>
      <c r="J100" s="14"/>
      <c r="K100" s="14">
        <f>'Input_Energy Context'!K12*'Input_EDGE energy savings'!K59</f>
        <v>10.886989876751089</v>
      </c>
      <c r="L100" s="14">
        <f>'Input_Energy Context'!L12*'Input_EDGE energy savings'!L59</f>
        <v>15.888244477877681</v>
      </c>
      <c r="M100" s="14"/>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row>
    <row r="101" spans="1:44" ht="25.5" hidden="1" customHeight="1" outlineLevel="1" x14ac:dyDescent="0.3">
      <c r="A101" s="19" t="s">
        <v>106</v>
      </c>
      <c r="B101" s="14">
        <f>'Input_EDGE energy savings'!B60*'Input_Energy Context'!$B$13</f>
        <v>0</v>
      </c>
      <c r="C101" s="14"/>
      <c r="D101" s="14"/>
      <c r="E101" s="14"/>
      <c r="F101" s="14"/>
      <c r="G101" s="14"/>
      <c r="H101" s="14">
        <f>'Input_EDGE energy savings'!H60*'Input_Energy Context'!$B$13</f>
        <v>0</v>
      </c>
      <c r="I101" s="14">
        <f>'Input_EDGE energy savings'!I60*'Input_Energy Context'!$B$13</f>
        <v>0</v>
      </c>
      <c r="J101" s="14"/>
      <c r="K101" s="14">
        <f>'Input_EDGE energy savings'!K60*'Input_Energy Context'!$B$13</f>
        <v>0</v>
      </c>
      <c r="L101" s="14">
        <f>'Input_EDGE energy savings'!L60*'Input_Energy Context'!$B$13</f>
        <v>0</v>
      </c>
      <c r="M101" s="14"/>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row>
    <row r="102" spans="1:44" ht="30.75" customHeight="1" collapsed="1" x14ac:dyDescent="0.3">
      <c r="A102" s="19" t="s">
        <v>63</v>
      </c>
      <c r="B102" s="14"/>
      <c r="C102" s="14"/>
      <c r="D102" s="14">
        <f t="shared" ref="D102" si="32">D103+D104</f>
        <v>0</v>
      </c>
      <c r="E102" s="14"/>
      <c r="F102" s="14"/>
      <c r="G102" s="14"/>
      <c r="H102" s="14">
        <f t="shared" ref="H102" si="33">H103+H104</f>
        <v>22.87924985958109</v>
      </c>
      <c r="I102" s="14"/>
      <c r="J102" s="14"/>
      <c r="K102" s="14"/>
      <c r="L102" s="14">
        <f>L103+L104</f>
        <v>15.670485048866112</v>
      </c>
      <c r="M102" s="14">
        <f>AVERAGE(B102:L102)</f>
        <v>12.849911636149068</v>
      </c>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c r="AM102" s="26"/>
    </row>
    <row r="103" spans="1:44" ht="38.25" hidden="1" customHeight="1" outlineLevel="1" x14ac:dyDescent="0.3">
      <c r="A103" s="19" t="s">
        <v>105</v>
      </c>
      <c r="B103" s="14"/>
      <c r="C103" s="14"/>
      <c r="D103" s="14"/>
      <c r="E103" s="14"/>
      <c r="F103" s="14"/>
      <c r="G103" s="14"/>
      <c r="H103" s="14">
        <f>'Input_Energy Context'!H12*'Input_EDGE energy savings'!H62</f>
        <v>21.031249859581091</v>
      </c>
      <c r="I103" s="14"/>
      <c r="J103" s="14"/>
      <c r="K103" s="14"/>
      <c r="L103" s="14">
        <f>'Input_Energy Context'!L12*'Input_EDGE energy savings'!L62</f>
        <v>11.743485048866113</v>
      </c>
      <c r="M103" s="14"/>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row>
    <row r="104" spans="1:44" ht="38.25" hidden="1" customHeight="1" outlineLevel="1" x14ac:dyDescent="0.3">
      <c r="A104" s="19" t="s">
        <v>106</v>
      </c>
      <c r="B104" s="14"/>
      <c r="C104" s="14"/>
      <c r="D104" s="14"/>
      <c r="E104" s="14"/>
      <c r="F104" s="14"/>
      <c r="G104" s="14"/>
      <c r="H104" s="14">
        <f>'Input_EDGE energy savings'!H63*'Input_Energy Context'!$B$13</f>
        <v>1.8480000000000001</v>
      </c>
      <c r="I104" s="14"/>
      <c r="J104" s="14"/>
      <c r="K104" s="14"/>
      <c r="L104" s="14">
        <f>'Input_EDGE energy savings'!L63*'Input_Energy Context'!$B$13</f>
        <v>3.927</v>
      </c>
      <c r="M104" s="14"/>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c r="AM104" s="26"/>
    </row>
    <row r="105" spans="1:44" ht="29.25" customHeight="1" collapsed="1" x14ac:dyDescent="0.3">
      <c r="A105" s="19" t="s">
        <v>64</v>
      </c>
      <c r="B105" s="14"/>
      <c r="C105" s="14"/>
      <c r="D105" s="14">
        <f t="shared" ref="D105" si="34">D106+D107</f>
        <v>0</v>
      </c>
      <c r="E105" s="14"/>
      <c r="F105" s="14"/>
      <c r="G105" s="14"/>
      <c r="H105" s="14">
        <f>L106+L107</f>
        <v>33.076219488468894</v>
      </c>
      <c r="I105" s="14"/>
      <c r="J105" s="14"/>
      <c r="K105" s="14"/>
      <c r="L105" s="14">
        <f>Q106+Q107</f>
        <v>34.321902479418171</v>
      </c>
      <c r="M105" s="14">
        <f>AVERAGE(B105:L105)</f>
        <v>22.466040655962356</v>
      </c>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c r="AM105" s="26"/>
    </row>
    <row r="106" spans="1:44" ht="38.25" hidden="1" customHeight="1" outlineLevel="1" x14ac:dyDescent="0.3">
      <c r="A106" s="19" t="s">
        <v>105</v>
      </c>
      <c r="B106" s="57"/>
      <c r="C106" s="57"/>
      <c r="D106" s="57"/>
      <c r="E106" s="57"/>
      <c r="F106" s="57"/>
      <c r="G106" s="57"/>
      <c r="H106" s="57"/>
      <c r="I106" s="57"/>
      <c r="J106" s="57"/>
      <c r="K106" s="57"/>
      <c r="L106" s="57">
        <f>'Input_Energy Context'!H12*'Input_EDGE energy savings'!H65</f>
        <v>31.228219488468891</v>
      </c>
      <c r="M106" s="57" t="e">
        <f>'Input_Energy Context'!#REF!*'Input_EDGE energy savings'!#REF!</f>
        <v>#REF!</v>
      </c>
      <c r="N106" s="57"/>
      <c r="O106" s="57"/>
      <c r="P106" s="57"/>
      <c r="Q106" s="57">
        <f>'Input_Energy Context'!L12*'Input_EDGE energy savings'!L65</f>
        <v>30.394902479418171</v>
      </c>
      <c r="R106" s="9"/>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row>
    <row r="107" spans="1:44" ht="38.25" hidden="1" customHeight="1" outlineLevel="1" x14ac:dyDescent="0.3">
      <c r="A107" s="19" t="s">
        <v>106</v>
      </c>
      <c r="B107" s="57"/>
      <c r="C107" s="57"/>
      <c r="D107" s="57"/>
      <c r="E107" s="57"/>
      <c r="F107" s="57"/>
      <c r="G107" s="57"/>
      <c r="H107" s="57"/>
      <c r="I107" s="57"/>
      <c r="J107" s="57"/>
      <c r="K107" s="57"/>
      <c r="L107" s="57">
        <f>'Input_EDGE energy savings'!H63*'Input_Energy Context'!$B$13</f>
        <v>1.8480000000000001</v>
      </c>
      <c r="M107" s="57" t="e">
        <f>'Input_EDGE energy savings'!#REF!*'Input_Energy Context'!$B$13</f>
        <v>#REF!</v>
      </c>
      <c r="N107" s="57"/>
      <c r="O107" s="57"/>
      <c r="P107" s="57"/>
      <c r="Q107" s="57">
        <f>'Input_EDGE energy savings'!L63*'Input_Energy Context'!$B$13</f>
        <v>3.927</v>
      </c>
      <c r="R107" s="9"/>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row>
    <row r="108" spans="1:44" ht="82.5" customHeight="1" collapsed="1" x14ac:dyDescent="0.3">
      <c r="A108" s="50"/>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row>
    <row r="109" spans="1:44" ht="81" customHeight="1" x14ac:dyDescent="0.35">
      <c r="A109" s="19" t="s">
        <v>140</v>
      </c>
      <c r="N109" s="44"/>
      <c r="O109" s="44"/>
      <c r="P109" s="44"/>
      <c r="Q109" s="44"/>
      <c r="R109" s="44"/>
      <c r="S109" s="44"/>
      <c r="T109" s="44"/>
      <c r="U109" s="44"/>
      <c r="V109" s="44"/>
      <c r="W109" s="44"/>
      <c r="X109" s="44"/>
      <c r="Y109" s="44"/>
      <c r="Z109" s="44"/>
      <c r="AA109" s="44"/>
    </row>
    <row r="110" spans="1:44" ht="57" hidden="1" customHeight="1" outlineLevel="1" x14ac:dyDescent="0.35">
      <c r="A110" s="47"/>
      <c r="B110" s="56" t="s">
        <v>95</v>
      </c>
      <c r="C110" s="56" t="s">
        <v>96</v>
      </c>
      <c r="D110" s="56" t="s">
        <v>97</v>
      </c>
      <c r="E110" s="56" t="s">
        <v>96</v>
      </c>
      <c r="F110" s="56" t="s">
        <v>98</v>
      </c>
      <c r="G110" s="56" t="s">
        <v>99</v>
      </c>
      <c r="H110" s="38" t="s">
        <v>100</v>
      </c>
      <c r="I110" s="38" t="s">
        <v>101</v>
      </c>
      <c r="J110" s="38" t="s">
        <v>102</v>
      </c>
      <c r="K110" s="38" t="s">
        <v>101</v>
      </c>
      <c r="L110" s="38" t="s">
        <v>103</v>
      </c>
      <c r="M110" s="44"/>
      <c r="N110" s="44"/>
      <c r="O110" s="44"/>
      <c r="P110" s="44"/>
      <c r="Q110" s="44"/>
      <c r="R110" s="44"/>
      <c r="S110" s="44"/>
      <c r="T110" s="44"/>
      <c r="U110" s="44"/>
      <c r="V110" s="44"/>
    </row>
    <row r="111" spans="1:44" ht="40.5" hidden="1" customHeight="1" outlineLevel="1" x14ac:dyDescent="0.35">
      <c r="A111" s="47"/>
      <c r="B111" s="14">
        <f>AVERAGE(B87,B90,B93,B96,B99,B102,B105)</f>
        <v>26.162680550043451</v>
      </c>
      <c r="C111" s="14">
        <f t="shared" ref="C111:L111" si="35">AVERAGE(C87,C90,C93,C96,C99,C102,C105)</f>
        <v>12.262540998059414</v>
      </c>
      <c r="D111" s="14">
        <f t="shared" si="35"/>
        <v>7.4704661372124646</v>
      </c>
      <c r="E111" s="14">
        <f t="shared" si="35"/>
        <v>10.797366485208055</v>
      </c>
      <c r="F111" s="14">
        <f t="shared" si="35"/>
        <v>10.24377735118615</v>
      </c>
      <c r="G111" s="14">
        <f t="shared" si="35"/>
        <v>11.161309842261822</v>
      </c>
      <c r="H111" s="14">
        <f t="shared" si="35"/>
        <v>21.497673027656617</v>
      </c>
      <c r="I111" s="14">
        <f t="shared" si="35"/>
        <v>19.125395342994182</v>
      </c>
      <c r="J111" s="14">
        <f t="shared" si="35"/>
        <v>7.1864085996804485</v>
      </c>
      <c r="K111" s="14">
        <f t="shared" si="35"/>
        <v>6.9826109248778794</v>
      </c>
      <c r="L111" s="14">
        <f t="shared" si="35"/>
        <v>19.860854545485711</v>
      </c>
      <c r="M111" s="44"/>
      <c r="N111" s="44"/>
      <c r="O111" s="44"/>
      <c r="P111" s="44"/>
      <c r="Q111" s="44"/>
      <c r="R111" s="44"/>
      <c r="S111" s="44"/>
      <c r="T111" s="44"/>
      <c r="U111" s="44"/>
      <c r="V111" s="44"/>
    </row>
    <row r="112" spans="1:44" ht="15.75" hidden="1" customHeight="1" outlineLevel="1" x14ac:dyDescent="0.35">
      <c r="A112" s="47"/>
      <c r="N112" s="44"/>
      <c r="O112" s="44"/>
      <c r="P112" s="44"/>
      <c r="Q112" s="44"/>
      <c r="R112" s="44"/>
      <c r="S112" s="44"/>
      <c r="T112" s="44"/>
      <c r="U112" s="44"/>
      <c r="V112" s="44"/>
      <c r="W112" s="44"/>
      <c r="X112" s="44"/>
      <c r="Y112" s="44"/>
      <c r="Z112" s="44"/>
      <c r="AA112" s="44"/>
    </row>
    <row r="113" spans="1:27" ht="15.75" customHeight="1" collapsed="1" x14ac:dyDescent="0.35">
      <c r="A113" s="18" t="s">
        <v>101</v>
      </c>
      <c r="B113" s="58">
        <f>AVERAGE(D111:D111,,G111,,I111,K111)</f>
        <v>7.4566303745577249</v>
      </c>
      <c r="N113" s="44"/>
      <c r="O113" s="44"/>
      <c r="P113" s="44"/>
      <c r="Q113" s="44"/>
      <c r="R113" s="44"/>
      <c r="S113" s="44"/>
      <c r="T113" s="44"/>
      <c r="U113" s="44"/>
      <c r="V113" s="44"/>
      <c r="W113" s="44"/>
      <c r="X113" s="44"/>
      <c r="Y113" s="44"/>
      <c r="Z113" s="44"/>
      <c r="AA113" s="44"/>
    </row>
    <row r="114" spans="1:27" ht="15.75" customHeight="1" x14ac:dyDescent="0.35">
      <c r="A114" s="18" t="s">
        <v>100</v>
      </c>
      <c r="B114" s="58">
        <f>AVERAGE(H111)</f>
        <v>21.497673027656617</v>
      </c>
      <c r="N114" s="44"/>
      <c r="O114" s="44"/>
      <c r="P114" s="44"/>
      <c r="Q114" s="44"/>
      <c r="R114" s="44"/>
      <c r="S114" s="44"/>
      <c r="T114" s="44"/>
      <c r="U114" s="44"/>
      <c r="V114" s="44"/>
      <c r="W114" s="44"/>
      <c r="X114" s="44"/>
      <c r="Y114" s="44"/>
      <c r="Z114" s="44"/>
      <c r="AA114" s="44"/>
    </row>
    <row r="115" spans="1:27" ht="15.75" customHeight="1" x14ac:dyDescent="0.35">
      <c r="A115" s="18" t="s">
        <v>108</v>
      </c>
      <c r="B115" s="58">
        <f>AVERAGE(,B111,G111)</f>
        <v>12.441330130768426</v>
      </c>
      <c r="N115" s="44"/>
      <c r="O115" s="44"/>
      <c r="P115" s="44"/>
      <c r="Q115" s="44"/>
      <c r="R115" s="44"/>
      <c r="S115" s="44"/>
      <c r="T115" s="44"/>
      <c r="U115" s="44"/>
      <c r="V115" s="44"/>
      <c r="W115" s="44"/>
      <c r="X115" s="44"/>
      <c r="Y115" s="44"/>
      <c r="Z115" s="44"/>
      <c r="AA115" s="44"/>
    </row>
    <row r="116" spans="1:27" ht="15.75" customHeight="1" x14ac:dyDescent="0.35">
      <c r="A116" s="18" t="s">
        <v>109</v>
      </c>
      <c r="B116" s="58">
        <f>AVERAGE(F111)</f>
        <v>10.24377735118615</v>
      </c>
      <c r="N116" s="44"/>
      <c r="O116" s="44"/>
      <c r="P116" s="44"/>
      <c r="Q116" s="44"/>
      <c r="R116" s="44"/>
      <c r="S116" s="44"/>
      <c r="T116" s="44"/>
      <c r="U116" s="44"/>
      <c r="V116" s="44"/>
      <c r="W116" s="44"/>
      <c r="X116" s="44"/>
      <c r="Y116" s="44"/>
      <c r="Z116" s="44"/>
      <c r="AA116" s="44"/>
    </row>
    <row r="117" spans="1:27" ht="15.75" customHeight="1" x14ac:dyDescent="0.35">
      <c r="A117" s="18" t="s">
        <v>110</v>
      </c>
      <c r="B117" s="58">
        <f>AVERAGE(C111,E111,J111)</f>
        <v>10.08210536098264</v>
      </c>
      <c r="N117" s="44"/>
      <c r="O117" s="44"/>
      <c r="P117" s="44"/>
      <c r="Q117" s="44"/>
      <c r="R117" s="44"/>
      <c r="S117" s="44"/>
      <c r="T117" s="44"/>
      <c r="U117" s="44"/>
      <c r="V117" s="44"/>
      <c r="W117" s="44"/>
      <c r="X117" s="44"/>
      <c r="Y117" s="44"/>
      <c r="Z117" s="44"/>
      <c r="AA117" s="44"/>
    </row>
    <row r="118" spans="1:27" ht="15.75" hidden="1" customHeight="1" x14ac:dyDescent="0.35">
      <c r="A118" s="18" t="s">
        <v>111</v>
      </c>
      <c r="B118" s="58" t="e">
        <f>AVERAGE(#REF!)</f>
        <v>#REF!</v>
      </c>
      <c r="N118" s="44"/>
      <c r="O118" s="44"/>
      <c r="P118" s="44"/>
      <c r="Q118" s="44"/>
      <c r="R118" s="44"/>
      <c r="S118" s="44"/>
      <c r="T118" s="44"/>
      <c r="U118" s="44"/>
      <c r="V118" s="44"/>
      <c r="W118" s="44"/>
      <c r="X118" s="44"/>
      <c r="Y118" s="44"/>
      <c r="Z118" s="44"/>
      <c r="AA118" s="44"/>
    </row>
    <row r="119" spans="1:27" ht="15.75" customHeight="1" x14ac:dyDescent="0.35">
      <c r="A119" s="18" t="s">
        <v>103</v>
      </c>
      <c r="B119" s="58">
        <f>AVERAGE(L111)</f>
        <v>19.860854545485711</v>
      </c>
      <c r="N119" s="44"/>
      <c r="O119" s="44"/>
      <c r="P119" s="44"/>
      <c r="Q119" s="44"/>
      <c r="R119" s="44"/>
      <c r="S119" s="44"/>
      <c r="T119" s="44"/>
      <c r="U119" s="44"/>
      <c r="V119" s="44"/>
      <c r="W119" s="44"/>
      <c r="X119" s="44"/>
      <c r="Y119" s="44"/>
      <c r="Z119" s="44"/>
      <c r="AA119" s="44"/>
    </row>
    <row r="120" spans="1:27" ht="15.75" customHeight="1" x14ac:dyDescent="0.35">
      <c r="A120" s="47"/>
      <c r="N120" s="44"/>
      <c r="O120" s="44"/>
      <c r="P120" s="44"/>
      <c r="Q120" s="44"/>
      <c r="R120" s="44"/>
      <c r="S120" s="44"/>
      <c r="T120" s="44"/>
      <c r="U120" s="44"/>
      <c r="V120" s="44"/>
      <c r="W120" s="44"/>
      <c r="X120" s="44"/>
      <c r="Y120" s="44"/>
      <c r="Z120" s="44"/>
      <c r="AA120" s="44"/>
    </row>
    <row r="121" spans="1:27" ht="15.75" customHeight="1" x14ac:dyDescent="0.35">
      <c r="A121" s="47"/>
      <c r="N121" s="44"/>
      <c r="O121" s="44"/>
      <c r="P121" s="44"/>
      <c r="Q121" s="44"/>
      <c r="R121" s="44"/>
      <c r="S121" s="44"/>
      <c r="T121" s="44"/>
      <c r="U121" s="44"/>
      <c r="V121" s="44"/>
      <c r="W121" s="44"/>
      <c r="X121" s="44"/>
      <c r="Y121" s="44"/>
      <c r="Z121" s="44"/>
      <c r="AA121" s="44"/>
    </row>
    <row r="122" spans="1:27" ht="15.75" customHeight="1" x14ac:dyDescent="0.35">
      <c r="A122" s="47"/>
      <c r="N122" s="44"/>
      <c r="O122" s="44"/>
      <c r="P122" s="44"/>
      <c r="Q122" s="44"/>
      <c r="R122" s="44"/>
      <c r="S122" s="44"/>
      <c r="T122" s="44"/>
      <c r="U122" s="44"/>
      <c r="V122" s="44"/>
      <c r="W122" s="44"/>
      <c r="X122" s="44"/>
      <c r="Y122" s="44"/>
      <c r="Z122" s="44"/>
      <c r="AA122" s="44"/>
    </row>
    <row r="123" spans="1:27" ht="15.75" customHeight="1" x14ac:dyDescent="0.35">
      <c r="A123" s="47"/>
      <c r="N123" s="44"/>
      <c r="O123" s="44"/>
      <c r="P123" s="44"/>
      <c r="Q123" s="44"/>
      <c r="R123" s="44"/>
      <c r="S123" s="44"/>
      <c r="T123" s="44"/>
      <c r="U123" s="44"/>
      <c r="V123" s="44"/>
      <c r="W123" s="44"/>
      <c r="X123" s="44"/>
      <c r="Y123" s="44"/>
      <c r="Z123" s="44"/>
      <c r="AA123" s="44"/>
    </row>
    <row r="124" spans="1:27" ht="15.75" customHeight="1" x14ac:dyDescent="0.35">
      <c r="A124" s="47"/>
      <c r="N124" s="44"/>
      <c r="O124" s="44"/>
      <c r="P124" s="44"/>
      <c r="Q124" s="44"/>
      <c r="R124" s="44"/>
      <c r="S124" s="44"/>
      <c r="T124" s="44"/>
      <c r="U124" s="44"/>
      <c r="V124" s="44"/>
      <c r="W124" s="44"/>
      <c r="X124" s="44"/>
      <c r="Y124" s="44"/>
      <c r="Z124" s="44"/>
      <c r="AA124" s="44"/>
    </row>
    <row r="125" spans="1:27" ht="15.75" customHeight="1" x14ac:dyDescent="0.35">
      <c r="A125" s="47"/>
      <c r="N125" s="44"/>
      <c r="O125" s="44"/>
      <c r="P125" s="44"/>
      <c r="Q125" s="44"/>
      <c r="R125" s="44"/>
      <c r="S125" s="44"/>
      <c r="T125" s="44"/>
      <c r="U125" s="44"/>
      <c r="V125" s="44"/>
      <c r="W125" s="44"/>
      <c r="X125" s="44"/>
      <c r="Y125" s="44"/>
      <c r="Z125" s="44"/>
      <c r="AA125" s="44"/>
    </row>
    <row r="126" spans="1:27" ht="15.75" customHeight="1" x14ac:dyDescent="0.35">
      <c r="A126" s="47"/>
      <c r="N126" s="44"/>
      <c r="O126" s="44"/>
      <c r="P126" s="44"/>
      <c r="Q126" s="44"/>
      <c r="R126" s="44"/>
      <c r="S126" s="44"/>
      <c r="T126" s="44"/>
      <c r="U126" s="44"/>
      <c r="V126" s="44"/>
      <c r="W126" s="44"/>
      <c r="X126" s="44"/>
      <c r="Y126" s="44"/>
      <c r="Z126" s="44"/>
      <c r="AA126" s="44"/>
    </row>
    <row r="127" spans="1:27" ht="15.75" customHeight="1" x14ac:dyDescent="0.35">
      <c r="A127" s="47"/>
      <c r="N127" s="44"/>
      <c r="O127" s="44"/>
      <c r="P127" s="44"/>
      <c r="Q127" s="44"/>
      <c r="R127" s="44"/>
      <c r="S127" s="44"/>
      <c r="T127" s="44"/>
      <c r="U127" s="44"/>
      <c r="V127" s="44"/>
      <c r="W127" s="44"/>
      <c r="X127" s="44"/>
      <c r="Y127" s="44"/>
      <c r="Z127" s="44"/>
      <c r="AA127" s="44"/>
    </row>
    <row r="128" spans="1:27" ht="15.75" customHeight="1" x14ac:dyDescent="0.35">
      <c r="A128" s="47"/>
      <c r="N128" s="44"/>
      <c r="O128" s="44"/>
      <c r="P128" s="44"/>
      <c r="Q128" s="44"/>
      <c r="R128" s="44"/>
      <c r="S128" s="44"/>
      <c r="T128" s="44"/>
      <c r="U128" s="44"/>
      <c r="V128" s="44"/>
      <c r="W128" s="44"/>
      <c r="X128" s="44"/>
      <c r="Y128" s="44"/>
      <c r="Z128" s="44"/>
      <c r="AA128" s="44"/>
    </row>
    <row r="129" spans="1:27" ht="15.75" customHeight="1" x14ac:dyDescent="0.35">
      <c r="A129" s="47"/>
      <c r="N129" s="44"/>
      <c r="O129" s="44"/>
      <c r="P129" s="44"/>
      <c r="Q129" s="44"/>
      <c r="R129" s="44"/>
      <c r="S129" s="44"/>
      <c r="T129" s="44"/>
      <c r="U129" s="44"/>
      <c r="V129" s="44"/>
      <c r="W129" s="44"/>
      <c r="X129" s="44"/>
      <c r="Y129" s="44"/>
      <c r="Z129" s="44"/>
      <c r="AA129" s="44"/>
    </row>
    <row r="130" spans="1:27" ht="15.75" customHeight="1" x14ac:dyDescent="0.35">
      <c r="A130" s="47"/>
      <c r="N130" s="44"/>
      <c r="O130" s="44"/>
      <c r="P130" s="44"/>
      <c r="Q130" s="44"/>
      <c r="R130" s="44"/>
      <c r="S130" s="44"/>
      <c r="T130" s="44"/>
      <c r="U130" s="44"/>
      <c r="V130" s="44"/>
      <c r="W130" s="44"/>
      <c r="X130" s="44"/>
      <c r="Y130" s="44"/>
      <c r="Z130" s="44"/>
      <c r="AA130" s="44"/>
    </row>
    <row r="131" spans="1:27" ht="15.75" customHeight="1" x14ac:dyDescent="0.35">
      <c r="A131" s="47"/>
      <c r="N131" s="44"/>
      <c r="O131" s="44"/>
      <c r="P131" s="44"/>
      <c r="Q131" s="44"/>
      <c r="R131" s="44"/>
      <c r="S131" s="44"/>
      <c r="T131" s="44"/>
      <c r="U131" s="44"/>
      <c r="V131" s="44"/>
      <c r="W131" s="44"/>
      <c r="X131" s="44"/>
      <c r="Y131" s="44"/>
      <c r="Z131" s="44"/>
      <c r="AA131" s="44"/>
    </row>
    <row r="132" spans="1:27" ht="15.75" customHeight="1" x14ac:dyDescent="0.35">
      <c r="A132" s="47"/>
      <c r="N132" s="44"/>
      <c r="O132" s="44"/>
      <c r="P132" s="44"/>
      <c r="Q132" s="44"/>
      <c r="R132" s="44"/>
      <c r="S132" s="44"/>
      <c r="T132" s="44"/>
      <c r="U132" s="44"/>
      <c r="V132" s="44"/>
      <c r="W132" s="44"/>
      <c r="X132" s="44"/>
      <c r="Y132" s="44"/>
      <c r="Z132" s="44"/>
      <c r="AA132" s="44"/>
    </row>
    <row r="133" spans="1:27" ht="15.75" customHeight="1" x14ac:dyDescent="0.35">
      <c r="A133" s="47"/>
      <c r="N133" s="44"/>
      <c r="O133" s="44"/>
      <c r="P133" s="44"/>
      <c r="Q133" s="44"/>
      <c r="R133" s="44"/>
      <c r="S133" s="44"/>
      <c r="T133" s="44"/>
      <c r="U133" s="44"/>
      <c r="V133" s="44"/>
      <c r="W133" s="44"/>
      <c r="X133" s="44"/>
      <c r="Y133" s="44"/>
      <c r="Z133" s="44"/>
      <c r="AA133" s="44"/>
    </row>
    <row r="134" spans="1:27" ht="15.75" customHeight="1" x14ac:dyDescent="0.35">
      <c r="A134" s="47"/>
      <c r="N134" s="44"/>
      <c r="O134" s="44"/>
      <c r="P134" s="44"/>
      <c r="Q134" s="44"/>
      <c r="R134" s="44"/>
      <c r="S134" s="44"/>
      <c r="T134" s="44"/>
      <c r="U134" s="44"/>
      <c r="V134" s="44"/>
      <c r="W134" s="44"/>
      <c r="X134" s="44"/>
      <c r="Y134" s="44"/>
      <c r="Z134" s="44"/>
      <c r="AA134" s="44"/>
    </row>
    <row r="135" spans="1:27" ht="15.75" customHeight="1" x14ac:dyDescent="0.35">
      <c r="A135" s="47"/>
      <c r="N135" s="44"/>
      <c r="O135" s="44"/>
      <c r="P135" s="44"/>
      <c r="Q135" s="44"/>
      <c r="R135" s="44"/>
      <c r="S135" s="44"/>
      <c r="T135" s="44"/>
      <c r="U135" s="44"/>
      <c r="V135" s="44"/>
      <c r="W135" s="44"/>
      <c r="X135" s="44"/>
      <c r="Y135" s="44"/>
      <c r="Z135" s="44"/>
      <c r="AA135" s="44"/>
    </row>
    <row r="136" spans="1:27" ht="15.75" customHeight="1" x14ac:dyDescent="0.35">
      <c r="A136" s="47"/>
      <c r="N136" s="44"/>
      <c r="O136" s="44"/>
      <c r="P136" s="44"/>
      <c r="Q136" s="44"/>
      <c r="R136" s="44"/>
      <c r="S136" s="44"/>
      <c r="T136" s="44"/>
      <c r="U136" s="44"/>
      <c r="V136" s="44"/>
      <c r="W136" s="44"/>
      <c r="X136" s="44"/>
      <c r="Y136" s="44"/>
      <c r="Z136" s="44"/>
      <c r="AA136" s="44"/>
    </row>
    <row r="137" spans="1:27" ht="15.75" customHeight="1" x14ac:dyDescent="0.35">
      <c r="A137" s="47"/>
      <c r="N137" s="44"/>
      <c r="O137" s="44"/>
      <c r="P137" s="44"/>
      <c r="Q137" s="44"/>
      <c r="R137" s="44"/>
      <c r="S137" s="44"/>
      <c r="T137" s="44"/>
      <c r="U137" s="44"/>
      <c r="V137" s="44"/>
      <c r="W137" s="44"/>
      <c r="X137" s="44"/>
      <c r="Y137" s="44"/>
      <c r="Z137" s="44"/>
      <c r="AA137" s="44"/>
    </row>
    <row r="138" spans="1:27" ht="15.75" customHeight="1" x14ac:dyDescent="0.35">
      <c r="A138" s="47"/>
      <c r="N138" s="44"/>
      <c r="O138" s="44"/>
      <c r="P138" s="44"/>
      <c r="Q138" s="44"/>
      <c r="R138" s="44"/>
      <c r="S138" s="44"/>
      <c r="T138" s="44"/>
      <c r="U138" s="44"/>
      <c r="V138" s="44"/>
      <c r="W138" s="44"/>
      <c r="X138" s="44"/>
      <c r="Y138" s="44"/>
      <c r="Z138" s="44"/>
      <c r="AA138" s="44"/>
    </row>
    <row r="139" spans="1:27" ht="15.75" customHeight="1" x14ac:dyDescent="0.35">
      <c r="A139" s="47"/>
      <c r="N139" s="44"/>
      <c r="O139" s="44"/>
      <c r="P139" s="44"/>
      <c r="Q139" s="44"/>
      <c r="R139" s="44"/>
      <c r="S139" s="44"/>
      <c r="T139" s="44"/>
      <c r="U139" s="44"/>
      <c r="V139" s="44"/>
      <c r="W139" s="44"/>
      <c r="X139" s="44"/>
      <c r="Y139" s="44"/>
      <c r="Z139" s="44"/>
      <c r="AA139" s="44"/>
    </row>
    <row r="140" spans="1:27" ht="15.75" customHeight="1" x14ac:dyDescent="0.35">
      <c r="A140" s="47"/>
      <c r="N140" s="44"/>
      <c r="O140" s="44"/>
      <c r="P140" s="44"/>
      <c r="Q140" s="44"/>
      <c r="R140" s="44"/>
      <c r="S140" s="44"/>
      <c r="T140" s="44"/>
      <c r="U140" s="44"/>
      <c r="V140" s="44"/>
      <c r="W140" s="44"/>
      <c r="X140" s="44"/>
      <c r="Y140" s="44"/>
      <c r="Z140" s="44"/>
      <c r="AA140" s="44"/>
    </row>
    <row r="141" spans="1:27" ht="15.75" customHeight="1" x14ac:dyDescent="0.35">
      <c r="A141" s="47"/>
      <c r="N141" s="44"/>
      <c r="O141" s="44"/>
      <c r="P141" s="44"/>
      <c r="Q141" s="44"/>
      <c r="R141" s="44"/>
      <c r="S141" s="44"/>
      <c r="T141" s="44"/>
      <c r="U141" s="44"/>
      <c r="V141" s="44"/>
      <c r="W141" s="44"/>
      <c r="X141" s="44"/>
      <c r="Y141" s="44"/>
      <c r="Z141" s="44"/>
      <c r="AA141" s="44"/>
    </row>
    <row r="142" spans="1:27" ht="15.75" customHeight="1" x14ac:dyDescent="0.35">
      <c r="P142" s="17"/>
      <c r="Q142" s="17"/>
      <c r="R142" s="17"/>
      <c r="S142" s="17"/>
    </row>
    <row r="143" spans="1:27" ht="15.75" customHeight="1" x14ac:dyDescent="0.35">
      <c r="P143" s="17"/>
      <c r="Q143" s="17"/>
      <c r="R143" s="17"/>
      <c r="S143" s="17"/>
    </row>
    <row r="144" spans="1:27" ht="15.75" customHeight="1" x14ac:dyDescent="0.35">
      <c r="P144" s="17"/>
      <c r="Q144" s="17"/>
      <c r="R144" s="17"/>
      <c r="S144" s="17"/>
    </row>
    <row r="145" spans="16:19" ht="15.75" customHeight="1" x14ac:dyDescent="0.35">
      <c r="P145" s="17"/>
      <c r="Q145" s="17"/>
      <c r="R145" s="17"/>
      <c r="S145" s="17"/>
    </row>
    <row r="146" spans="16:19" ht="15.75" customHeight="1" x14ac:dyDescent="0.35">
      <c r="P146" s="17"/>
      <c r="Q146" s="17"/>
      <c r="R146" s="17"/>
      <c r="S146" s="17"/>
    </row>
    <row r="147" spans="16:19" ht="15.75" customHeight="1" x14ac:dyDescent="0.35">
      <c r="P147" s="17"/>
      <c r="Q147" s="17"/>
      <c r="R147" s="17"/>
      <c r="S147" s="17"/>
    </row>
    <row r="148" spans="16:19" ht="15.75" customHeight="1" x14ac:dyDescent="0.35">
      <c r="P148" s="17"/>
      <c r="Q148" s="17"/>
      <c r="R148" s="17"/>
      <c r="S148" s="17"/>
    </row>
    <row r="149" spans="16:19" ht="15.75" customHeight="1" x14ac:dyDescent="0.35">
      <c r="P149" s="17"/>
      <c r="Q149" s="17"/>
      <c r="R149" s="17"/>
      <c r="S149" s="17"/>
    </row>
    <row r="150" spans="16:19" ht="15.75" customHeight="1" x14ac:dyDescent="0.35">
      <c r="P150" s="17"/>
      <c r="Q150" s="17"/>
      <c r="R150" s="17"/>
      <c r="S150" s="17"/>
    </row>
    <row r="151" spans="16:19" ht="15.75" customHeight="1" x14ac:dyDescent="0.35">
      <c r="P151" s="17"/>
      <c r="Q151" s="17"/>
      <c r="R151" s="17"/>
      <c r="S151" s="17"/>
    </row>
    <row r="152" spans="16:19" ht="15.75" customHeight="1" x14ac:dyDescent="0.35">
      <c r="P152" s="17"/>
      <c r="Q152" s="17"/>
      <c r="R152" s="17"/>
      <c r="S152" s="17"/>
    </row>
    <row r="153" spans="16:19" ht="15.75" customHeight="1" x14ac:dyDescent="0.35">
      <c r="P153" s="17"/>
      <c r="Q153" s="17"/>
      <c r="R153" s="17"/>
      <c r="S153" s="17"/>
    </row>
    <row r="154" spans="16:19" ht="15.75" customHeight="1" x14ac:dyDescent="0.35">
      <c r="P154" s="17"/>
      <c r="Q154" s="17"/>
      <c r="R154" s="17"/>
      <c r="S154" s="17"/>
    </row>
    <row r="155" spans="16:19" ht="15.75" customHeight="1" x14ac:dyDescent="0.35">
      <c r="P155" s="17"/>
      <c r="Q155" s="17"/>
      <c r="R155" s="17"/>
      <c r="S155" s="17"/>
    </row>
    <row r="156" spans="16:19" ht="15.75" customHeight="1" x14ac:dyDescent="0.35">
      <c r="P156" s="17"/>
      <c r="Q156" s="17"/>
      <c r="R156" s="17"/>
      <c r="S156" s="17"/>
    </row>
    <row r="157" spans="16:19" ht="15.75" customHeight="1" x14ac:dyDescent="0.35">
      <c r="P157" s="17"/>
      <c r="Q157" s="17"/>
      <c r="R157" s="17"/>
      <c r="S157" s="17"/>
    </row>
    <row r="158" spans="16:19" ht="15.75" customHeight="1" x14ac:dyDescent="0.35">
      <c r="P158" s="17"/>
      <c r="Q158" s="17"/>
      <c r="R158" s="17"/>
      <c r="S158" s="17"/>
    </row>
    <row r="159" spans="16:19" ht="15.75" customHeight="1" x14ac:dyDescent="0.35">
      <c r="P159" s="17"/>
      <c r="Q159" s="17"/>
      <c r="R159" s="17"/>
      <c r="S159" s="17"/>
    </row>
    <row r="160" spans="16:19" ht="15.75" customHeight="1" x14ac:dyDescent="0.35">
      <c r="P160" s="17"/>
      <c r="Q160" s="17"/>
      <c r="R160" s="17"/>
      <c r="S160" s="17"/>
    </row>
    <row r="161" spans="16:19" ht="15.75" customHeight="1" x14ac:dyDescent="0.35">
      <c r="P161" s="17"/>
      <c r="Q161" s="17"/>
      <c r="R161" s="17"/>
      <c r="S161" s="17"/>
    </row>
    <row r="162" spans="16:19" ht="15.75" customHeight="1" x14ac:dyDescent="0.35">
      <c r="P162" s="17"/>
      <c r="Q162" s="17"/>
      <c r="R162" s="17"/>
      <c r="S162" s="17"/>
    </row>
    <row r="163" spans="16:19" ht="15.75" customHeight="1" x14ac:dyDescent="0.35">
      <c r="P163" s="17"/>
      <c r="Q163" s="17"/>
      <c r="R163" s="17"/>
      <c r="S163" s="17"/>
    </row>
    <row r="164" spans="16:19" ht="15.75" customHeight="1" x14ac:dyDescent="0.35">
      <c r="P164" s="17"/>
      <c r="Q164" s="17"/>
      <c r="R164" s="17"/>
      <c r="S164" s="17"/>
    </row>
    <row r="165" spans="16:19" ht="15.75" customHeight="1" x14ac:dyDescent="0.35">
      <c r="P165" s="17"/>
      <c r="Q165" s="17"/>
      <c r="R165" s="17"/>
      <c r="S165" s="17"/>
    </row>
    <row r="166" spans="16:19" ht="15.75" customHeight="1" x14ac:dyDescent="0.35">
      <c r="P166" s="17"/>
      <c r="Q166" s="17"/>
      <c r="R166" s="17"/>
      <c r="S166" s="17"/>
    </row>
    <row r="167" spans="16:19" ht="15.75" customHeight="1" x14ac:dyDescent="0.35">
      <c r="P167" s="17"/>
      <c r="Q167" s="17"/>
      <c r="R167" s="17"/>
      <c r="S167" s="17"/>
    </row>
    <row r="168" spans="16:19" ht="15.75" customHeight="1" x14ac:dyDescent="0.35">
      <c r="P168" s="17"/>
      <c r="Q168" s="17"/>
      <c r="R168" s="17"/>
      <c r="S168" s="17"/>
    </row>
    <row r="169" spans="16:19" ht="15.75" customHeight="1" x14ac:dyDescent="0.35">
      <c r="P169" s="17"/>
      <c r="Q169" s="17"/>
      <c r="R169" s="17"/>
      <c r="S169" s="17"/>
    </row>
    <row r="170" spans="16:19" ht="15.75" customHeight="1" x14ac:dyDescent="0.35">
      <c r="P170" s="17"/>
      <c r="Q170" s="17"/>
      <c r="R170" s="17"/>
      <c r="S170" s="17"/>
    </row>
    <row r="171" spans="16:19" ht="15.75" customHeight="1" x14ac:dyDescent="0.35">
      <c r="P171" s="17"/>
      <c r="Q171" s="17"/>
      <c r="R171" s="17"/>
      <c r="S171" s="17"/>
    </row>
    <row r="172" spans="16:19" ht="15.75" customHeight="1" x14ac:dyDescent="0.35">
      <c r="P172" s="17"/>
      <c r="Q172" s="17"/>
      <c r="R172" s="17"/>
      <c r="S172" s="17"/>
    </row>
    <row r="173" spans="16:19" ht="15.75" customHeight="1" x14ac:dyDescent="0.35">
      <c r="P173" s="17"/>
      <c r="Q173" s="17"/>
      <c r="R173" s="17"/>
      <c r="S173" s="17"/>
    </row>
    <row r="174" spans="16:19" ht="15.75" customHeight="1" x14ac:dyDescent="0.35">
      <c r="P174" s="17"/>
      <c r="Q174" s="17"/>
      <c r="R174" s="17"/>
      <c r="S174" s="17"/>
    </row>
    <row r="175" spans="16:19" ht="15.75" customHeight="1" x14ac:dyDescent="0.35">
      <c r="P175" s="17"/>
      <c r="Q175" s="17"/>
      <c r="R175" s="17"/>
      <c r="S175" s="17"/>
    </row>
    <row r="176" spans="16:19" ht="15.75" customHeight="1" x14ac:dyDescent="0.35">
      <c r="P176" s="17"/>
      <c r="Q176" s="17"/>
      <c r="R176" s="17"/>
      <c r="S176" s="17"/>
    </row>
    <row r="177" spans="16:19" ht="15.75" customHeight="1" x14ac:dyDescent="0.35">
      <c r="P177" s="17"/>
      <c r="Q177" s="17"/>
      <c r="R177" s="17"/>
      <c r="S177" s="17"/>
    </row>
    <row r="178" spans="16:19" ht="15.75" customHeight="1" x14ac:dyDescent="0.35">
      <c r="P178" s="17"/>
      <c r="Q178" s="17"/>
      <c r="R178" s="17"/>
      <c r="S178" s="17"/>
    </row>
    <row r="179" spans="16:19" ht="15.75" customHeight="1" x14ac:dyDescent="0.35">
      <c r="P179" s="17"/>
      <c r="Q179" s="17"/>
      <c r="R179" s="17"/>
      <c r="S179" s="17"/>
    </row>
    <row r="180" spans="16:19" ht="15.75" customHeight="1" x14ac:dyDescent="0.35">
      <c r="P180" s="17"/>
      <c r="Q180" s="17"/>
      <c r="R180" s="17"/>
      <c r="S180" s="17"/>
    </row>
    <row r="181" spans="16:19" ht="15.75" customHeight="1" x14ac:dyDescent="0.35">
      <c r="P181" s="17"/>
      <c r="Q181" s="17"/>
      <c r="R181" s="17"/>
      <c r="S181" s="17"/>
    </row>
    <row r="182" spans="16:19" ht="15.75" customHeight="1" x14ac:dyDescent="0.35">
      <c r="P182" s="17"/>
      <c r="Q182" s="17"/>
      <c r="R182" s="17"/>
      <c r="S182" s="17"/>
    </row>
    <row r="183" spans="16:19" ht="15.75" customHeight="1" x14ac:dyDescent="0.35">
      <c r="P183" s="17"/>
      <c r="Q183" s="17"/>
      <c r="R183" s="17"/>
      <c r="S183" s="17"/>
    </row>
    <row r="184" spans="16:19" ht="15.75" customHeight="1" x14ac:dyDescent="0.35">
      <c r="P184" s="17"/>
      <c r="Q184" s="17"/>
      <c r="R184" s="17"/>
      <c r="S184" s="17"/>
    </row>
    <row r="185" spans="16:19" ht="15.75" customHeight="1" x14ac:dyDescent="0.35">
      <c r="P185" s="17"/>
      <c r="Q185" s="17"/>
      <c r="R185" s="17"/>
      <c r="S185" s="17"/>
    </row>
    <row r="186" spans="16:19" ht="15.75" customHeight="1" x14ac:dyDescent="0.35">
      <c r="P186" s="17"/>
      <c r="Q186" s="17"/>
      <c r="R186" s="17"/>
      <c r="S186" s="17"/>
    </row>
    <row r="187" spans="16:19" ht="15.75" customHeight="1" x14ac:dyDescent="0.35">
      <c r="P187" s="17"/>
      <c r="Q187" s="17"/>
      <c r="R187" s="17"/>
      <c r="S187" s="17"/>
    </row>
    <row r="188" spans="16:19" ht="15.75" customHeight="1" x14ac:dyDescent="0.35">
      <c r="P188" s="17"/>
      <c r="Q188" s="17"/>
      <c r="R188" s="17"/>
      <c r="S188" s="17"/>
    </row>
    <row r="189" spans="16:19" ht="15.75" customHeight="1" x14ac:dyDescent="0.35">
      <c r="P189" s="17"/>
      <c r="Q189" s="17"/>
      <c r="R189" s="17"/>
      <c r="S189" s="17"/>
    </row>
    <row r="190" spans="16:19" ht="15.75" customHeight="1" x14ac:dyDescent="0.35">
      <c r="P190" s="17"/>
      <c r="Q190" s="17"/>
      <c r="R190" s="17"/>
      <c r="S190" s="17"/>
    </row>
    <row r="191" spans="16:19" ht="15.75" customHeight="1" x14ac:dyDescent="0.35">
      <c r="P191" s="17"/>
      <c r="Q191" s="17"/>
      <c r="R191" s="17"/>
      <c r="S191" s="17"/>
    </row>
    <row r="192" spans="16:19" ht="15.75" customHeight="1" x14ac:dyDescent="0.35">
      <c r="P192" s="17"/>
      <c r="Q192" s="17"/>
      <c r="R192" s="17"/>
      <c r="S192" s="17"/>
    </row>
    <row r="193" spans="16:19" ht="15.75" customHeight="1" x14ac:dyDescent="0.35">
      <c r="P193" s="17"/>
      <c r="Q193" s="17"/>
      <c r="R193" s="17"/>
      <c r="S193" s="17"/>
    </row>
    <row r="194" spans="16:19" ht="15.75" customHeight="1" x14ac:dyDescent="0.35">
      <c r="P194" s="17"/>
      <c r="Q194" s="17"/>
      <c r="R194" s="17"/>
      <c r="S194" s="17"/>
    </row>
    <row r="195" spans="16:19" ht="15.75" customHeight="1" x14ac:dyDescent="0.35">
      <c r="P195" s="17"/>
      <c r="Q195" s="17"/>
      <c r="R195" s="17"/>
      <c r="S195" s="17"/>
    </row>
    <row r="196" spans="16:19" ht="15.75" customHeight="1" x14ac:dyDescent="0.35">
      <c r="P196" s="17"/>
      <c r="Q196" s="17"/>
      <c r="R196" s="17"/>
      <c r="S196" s="17"/>
    </row>
    <row r="197" spans="16:19" ht="15.75" customHeight="1" x14ac:dyDescent="0.35">
      <c r="P197" s="17"/>
      <c r="Q197" s="17"/>
      <c r="R197" s="17"/>
      <c r="S197" s="17"/>
    </row>
    <row r="198" spans="16:19" ht="15.75" customHeight="1" x14ac:dyDescent="0.35">
      <c r="P198" s="17"/>
      <c r="Q198" s="17"/>
      <c r="R198" s="17"/>
      <c r="S198" s="17"/>
    </row>
    <row r="199" spans="16:19" ht="15.75" customHeight="1" x14ac:dyDescent="0.35">
      <c r="P199" s="17"/>
      <c r="Q199" s="17"/>
      <c r="R199" s="17"/>
      <c r="S199" s="17"/>
    </row>
    <row r="200" spans="16:19" ht="15.75" customHeight="1" x14ac:dyDescent="0.35">
      <c r="P200" s="17"/>
      <c r="Q200" s="17"/>
      <c r="R200" s="17"/>
      <c r="S200" s="17"/>
    </row>
    <row r="201" spans="16:19" ht="15.75" customHeight="1" x14ac:dyDescent="0.35">
      <c r="P201" s="17"/>
      <c r="Q201" s="17"/>
      <c r="R201" s="17"/>
      <c r="S201" s="17"/>
    </row>
    <row r="202" spans="16:19" ht="15.75" customHeight="1" x14ac:dyDescent="0.35">
      <c r="P202" s="17"/>
      <c r="Q202" s="17"/>
      <c r="R202" s="17"/>
      <c r="S202" s="17"/>
    </row>
    <row r="203" spans="16:19" ht="15.75" customHeight="1" x14ac:dyDescent="0.35">
      <c r="P203" s="17"/>
      <c r="Q203" s="17"/>
      <c r="R203" s="17"/>
      <c r="S203" s="17"/>
    </row>
    <row r="204" spans="16:19" ht="15.75" customHeight="1" x14ac:dyDescent="0.35">
      <c r="P204" s="17"/>
      <c r="Q204" s="17"/>
      <c r="R204" s="17"/>
      <c r="S204" s="17"/>
    </row>
    <row r="205" spans="16:19" ht="15.75" customHeight="1" x14ac:dyDescent="0.35">
      <c r="P205" s="17"/>
      <c r="Q205" s="17"/>
      <c r="R205" s="17"/>
      <c r="S205" s="17"/>
    </row>
    <row r="206" spans="16:19" ht="15.75" customHeight="1" x14ac:dyDescent="0.35">
      <c r="P206" s="17"/>
      <c r="Q206" s="17"/>
      <c r="R206" s="17"/>
      <c r="S206" s="17"/>
    </row>
    <row r="207" spans="16:19" ht="15.75" customHeight="1" x14ac:dyDescent="0.35">
      <c r="P207" s="17"/>
      <c r="Q207" s="17"/>
      <c r="R207" s="17"/>
      <c r="S207" s="17"/>
    </row>
    <row r="208" spans="16:19" ht="15.75" customHeight="1" x14ac:dyDescent="0.35">
      <c r="P208" s="17"/>
      <c r="Q208" s="17"/>
      <c r="R208" s="17"/>
      <c r="S208" s="17"/>
    </row>
    <row r="209" spans="16:19" ht="15.75" customHeight="1" x14ac:dyDescent="0.35">
      <c r="P209" s="17"/>
      <c r="Q209" s="17"/>
      <c r="R209" s="17"/>
      <c r="S209" s="17"/>
    </row>
    <row r="210" spans="16:19" ht="15.75" customHeight="1" x14ac:dyDescent="0.35">
      <c r="P210" s="17"/>
      <c r="Q210" s="17"/>
      <c r="R210" s="17"/>
      <c r="S210" s="17"/>
    </row>
    <row r="211" spans="16:19" ht="15.75" customHeight="1" x14ac:dyDescent="0.35">
      <c r="P211" s="17"/>
      <c r="Q211" s="17"/>
      <c r="R211" s="17"/>
      <c r="S211" s="17"/>
    </row>
    <row r="212" spans="16:19" ht="15.75" customHeight="1" x14ac:dyDescent="0.35">
      <c r="P212" s="17"/>
      <c r="Q212" s="17"/>
      <c r="R212" s="17"/>
      <c r="S212" s="17"/>
    </row>
    <row r="213" spans="16:19" ht="15.75" customHeight="1" x14ac:dyDescent="0.35">
      <c r="P213" s="17"/>
      <c r="Q213" s="17"/>
      <c r="R213" s="17"/>
      <c r="S213" s="17"/>
    </row>
    <row r="214" spans="16:19" ht="15.75" customHeight="1" x14ac:dyDescent="0.35">
      <c r="P214" s="17"/>
      <c r="Q214" s="17"/>
      <c r="R214" s="17"/>
      <c r="S214" s="17"/>
    </row>
    <row r="215" spans="16:19" ht="15.75" customHeight="1" x14ac:dyDescent="0.35">
      <c r="P215" s="17"/>
      <c r="Q215" s="17"/>
      <c r="R215" s="17"/>
      <c r="S215" s="17"/>
    </row>
    <row r="216" spans="16:19" ht="15.75" customHeight="1" x14ac:dyDescent="0.35">
      <c r="P216" s="17"/>
      <c r="Q216" s="17"/>
      <c r="R216" s="17"/>
      <c r="S216" s="17"/>
    </row>
    <row r="217" spans="16:19" ht="15.75" customHeight="1" x14ac:dyDescent="0.35">
      <c r="P217" s="17"/>
      <c r="Q217" s="17"/>
      <c r="R217" s="17"/>
      <c r="S217" s="17"/>
    </row>
    <row r="218" spans="16:19" ht="15.75" customHeight="1" x14ac:dyDescent="0.35">
      <c r="P218" s="17"/>
      <c r="Q218" s="17"/>
      <c r="R218" s="17"/>
      <c r="S218" s="17"/>
    </row>
    <row r="219" spans="16:19" ht="15.75" customHeight="1" x14ac:dyDescent="0.35">
      <c r="P219" s="17"/>
      <c r="Q219" s="17"/>
      <c r="R219" s="17"/>
      <c r="S219" s="17"/>
    </row>
    <row r="220" spans="16:19" ht="15.75" customHeight="1" x14ac:dyDescent="0.35">
      <c r="P220" s="17"/>
      <c r="Q220" s="17"/>
      <c r="R220" s="17"/>
      <c r="S220" s="17"/>
    </row>
    <row r="221" spans="16:19" ht="15.75" customHeight="1" x14ac:dyDescent="0.35">
      <c r="P221" s="17"/>
      <c r="Q221" s="17"/>
      <c r="R221" s="17"/>
      <c r="S221" s="17"/>
    </row>
    <row r="222" spans="16:19" ht="15.75" customHeight="1" x14ac:dyDescent="0.35">
      <c r="P222" s="17"/>
      <c r="Q222" s="17"/>
      <c r="R222" s="17"/>
      <c r="S222" s="17"/>
    </row>
    <row r="223" spans="16:19" ht="15.75" customHeight="1" x14ac:dyDescent="0.35">
      <c r="P223" s="17"/>
      <c r="Q223" s="17"/>
      <c r="R223" s="17"/>
      <c r="S223" s="17"/>
    </row>
    <row r="224" spans="16:19" ht="15.75" customHeight="1" x14ac:dyDescent="0.35">
      <c r="P224" s="17"/>
      <c r="Q224" s="17"/>
      <c r="R224" s="17"/>
      <c r="S224" s="17"/>
    </row>
    <row r="225" spans="16:19" ht="15.75" customHeight="1" x14ac:dyDescent="0.35">
      <c r="P225" s="17"/>
      <c r="Q225" s="17"/>
      <c r="R225" s="17"/>
      <c r="S225" s="17"/>
    </row>
    <row r="226" spans="16:19" ht="15.75" customHeight="1" x14ac:dyDescent="0.35">
      <c r="P226" s="17"/>
      <c r="Q226" s="17"/>
      <c r="R226" s="17"/>
      <c r="S226" s="17"/>
    </row>
    <row r="227" spans="16:19" ht="15.75" customHeight="1" x14ac:dyDescent="0.35">
      <c r="P227" s="17"/>
      <c r="Q227" s="17"/>
      <c r="R227" s="17"/>
      <c r="S227" s="17"/>
    </row>
    <row r="228" spans="16:19" ht="15.75" customHeight="1" x14ac:dyDescent="0.35">
      <c r="P228" s="17"/>
      <c r="Q228" s="17"/>
      <c r="R228" s="17"/>
      <c r="S228" s="17"/>
    </row>
    <row r="229" spans="16:19" ht="15.75" customHeight="1" x14ac:dyDescent="0.35">
      <c r="P229" s="17"/>
      <c r="Q229" s="17"/>
      <c r="R229" s="17"/>
      <c r="S229" s="17"/>
    </row>
    <row r="230" spans="16:19" ht="15.75" customHeight="1" x14ac:dyDescent="0.35">
      <c r="P230" s="17"/>
      <c r="Q230" s="17"/>
      <c r="R230" s="17"/>
      <c r="S230" s="17"/>
    </row>
    <row r="231" spans="16:19" ht="15.75" customHeight="1" x14ac:dyDescent="0.35">
      <c r="P231" s="17"/>
      <c r="Q231" s="17"/>
      <c r="R231" s="17"/>
      <c r="S231" s="17"/>
    </row>
    <row r="232" spans="16:19" ht="15.75" customHeight="1" x14ac:dyDescent="0.35">
      <c r="P232" s="17"/>
      <c r="Q232" s="17"/>
      <c r="R232" s="17"/>
      <c r="S232" s="17"/>
    </row>
    <row r="233" spans="16:19" ht="15.75" customHeight="1" x14ac:dyDescent="0.35">
      <c r="P233" s="17"/>
      <c r="Q233" s="17"/>
      <c r="R233" s="17"/>
      <c r="S233" s="17"/>
    </row>
    <row r="234" spans="16:19" ht="15.75" customHeight="1" x14ac:dyDescent="0.35">
      <c r="P234" s="17"/>
      <c r="Q234" s="17"/>
      <c r="R234" s="17"/>
      <c r="S234" s="17"/>
    </row>
    <row r="235" spans="16:19" ht="15.75" customHeight="1" x14ac:dyDescent="0.35">
      <c r="P235" s="17"/>
      <c r="Q235" s="17"/>
      <c r="R235" s="17"/>
      <c r="S235" s="17"/>
    </row>
    <row r="236" spans="16:19" ht="15.75" customHeight="1" x14ac:dyDescent="0.35">
      <c r="P236" s="17"/>
      <c r="Q236" s="17"/>
      <c r="R236" s="17"/>
      <c r="S236" s="17"/>
    </row>
    <row r="237" spans="16:19" ht="15.75" customHeight="1" x14ac:dyDescent="0.35">
      <c r="P237" s="17"/>
      <c r="Q237" s="17"/>
      <c r="R237" s="17"/>
      <c r="S237" s="17"/>
    </row>
    <row r="238" spans="16:19" ht="15.75" customHeight="1" x14ac:dyDescent="0.35">
      <c r="P238" s="17"/>
      <c r="Q238" s="17"/>
      <c r="R238" s="17"/>
      <c r="S238" s="17"/>
    </row>
    <row r="239" spans="16:19" ht="15.75" customHeight="1" x14ac:dyDescent="0.35">
      <c r="P239" s="17"/>
      <c r="Q239" s="17"/>
      <c r="R239" s="17"/>
      <c r="S239" s="17"/>
    </row>
    <row r="240" spans="16:19" ht="15.75" customHeight="1" x14ac:dyDescent="0.35">
      <c r="P240" s="17"/>
      <c r="Q240" s="17"/>
      <c r="R240" s="17"/>
      <c r="S240" s="17"/>
    </row>
    <row r="241" spans="16:19" ht="15.75" customHeight="1" x14ac:dyDescent="0.35">
      <c r="P241" s="17"/>
      <c r="Q241" s="17"/>
      <c r="R241" s="17"/>
      <c r="S241" s="17"/>
    </row>
    <row r="242" spans="16:19" ht="15.75" customHeight="1" x14ac:dyDescent="0.35">
      <c r="P242" s="17"/>
      <c r="Q242" s="17"/>
      <c r="R242" s="17"/>
      <c r="S242" s="17"/>
    </row>
    <row r="243" spans="16:19" ht="15.75" customHeight="1" x14ac:dyDescent="0.35">
      <c r="P243" s="17"/>
      <c r="Q243" s="17"/>
      <c r="R243" s="17"/>
      <c r="S243" s="17"/>
    </row>
    <row r="244" spans="16:19" ht="15.75" customHeight="1" x14ac:dyDescent="0.35">
      <c r="P244" s="17"/>
      <c r="Q244" s="17"/>
      <c r="R244" s="17"/>
      <c r="S244" s="17"/>
    </row>
    <row r="245" spans="16:19" ht="15.75" customHeight="1" x14ac:dyDescent="0.35">
      <c r="P245" s="17"/>
      <c r="Q245" s="17"/>
      <c r="R245" s="17"/>
      <c r="S245" s="17"/>
    </row>
    <row r="246" spans="16:19" ht="15.75" customHeight="1" x14ac:dyDescent="0.35">
      <c r="P246" s="17"/>
      <c r="Q246" s="17"/>
      <c r="R246" s="17"/>
      <c r="S246" s="17"/>
    </row>
    <row r="247" spans="16:19" ht="15.75" customHeight="1" x14ac:dyDescent="0.35">
      <c r="P247" s="17"/>
      <c r="Q247" s="17"/>
      <c r="R247" s="17"/>
      <c r="S247" s="17"/>
    </row>
    <row r="248" spans="16:19" ht="15.75" customHeight="1" x14ac:dyDescent="0.35">
      <c r="P248" s="17"/>
      <c r="Q248" s="17"/>
      <c r="R248" s="17"/>
      <c r="S248" s="17"/>
    </row>
    <row r="249" spans="16:19" ht="15.75" customHeight="1" x14ac:dyDescent="0.35">
      <c r="P249" s="17"/>
      <c r="Q249" s="17"/>
      <c r="R249" s="17"/>
      <c r="S249" s="17"/>
    </row>
    <row r="250" spans="16:19" ht="15.75" customHeight="1" x14ac:dyDescent="0.35">
      <c r="P250" s="17"/>
      <c r="Q250" s="17"/>
      <c r="R250" s="17"/>
      <c r="S250" s="17"/>
    </row>
    <row r="251" spans="16:19" ht="15.75" customHeight="1" x14ac:dyDescent="0.35">
      <c r="P251" s="17"/>
      <c r="Q251" s="17"/>
      <c r="R251" s="17"/>
      <c r="S251" s="17"/>
    </row>
    <row r="252" spans="16:19" ht="15.75" customHeight="1" x14ac:dyDescent="0.35">
      <c r="P252" s="17"/>
      <c r="Q252" s="17"/>
      <c r="R252" s="17"/>
      <c r="S252" s="17"/>
    </row>
    <row r="253" spans="16:19" ht="15.75" customHeight="1" x14ac:dyDescent="0.35">
      <c r="P253" s="17"/>
      <c r="Q253" s="17"/>
      <c r="R253" s="17"/>
      <c r="S253" s="17"/>
    </row>
    <row r="254" spans="16:19" ht="15.75" customHeight="1" x14ac:dyDescent="0.35">
      <c r="P254" s="17"/>
      <c r="Q254" s="17"/>
      <c r="R254" s="17"/>
      <c r="S254" s="17"/>
    </row>
    <row r="255" spans="16:19" ht="15.75" customHeight="1" x14ac:dyDescent="0.35">
      <c r="P255" s="17"/>
      <c r="Q255" s="17"/>
      <c r="R255" s="17"/>
      <c r="S255" s="17"/>
    </row>
    <row r="256" spans="16:19" ht="15.75" customHeight="1" x14ac:dyDescent="0.35">
      <c r="P256" s="17"/>
      <c r="Q256" s="17"/>
      <c r="R256" s="17"/>
      <c r="S256" s="17"/>
    </row>
    <row r="257" spans="16:19" ht="15.75" customHeight="1" x14ac:dyDescent="0.35">
      <c r="P257" s="17"/>
      <c r="Q257" s="17"/>
      <c r="R257" s="17"/>
      <c r="S257" s="17"/>
    </row>
    <row r="258" spans="16:19" ht="15.75" customHeight="1" x14ac:dyDescent="0.35">
      <c r="P258" s="17"/>
      <c r="Q258" s="17"/>
      <c r="R258" s="17"/>
      <c r="S258" s="17"/>
    </row>
    <row r="259" spans="16:19" ht="15.75" customHeight="1" x14ac:dyDescent="0.35">
      <c r="P259" s="17"/>
      <c r="Q259" s="17"/>
      <c r="R259" s="17"/>
      <c r="S259" s="17"/>
    </row>
    <row r="260" spans="16:19" ht="15.75" customHeight="1" x14ac:dyDescent="0.35">
      <c r="P260" s="17"/>
      <c r="Q260" s="17"/>
      <c r="R260" s="17"/>
      <c r="S260" s="17"/>
    </row>
    <row r="261" spans="16:19" ht="15.75" customHeight="1" x14ac:dyDescent="0.35">
      <c r="P261" s="17"/>
      <c r="Q261" s="17"/>
      <c r="R261" s="17"/>
      <c r="S261" s="17"/>
    </row>
    <row r="262" spans="16:19" ht="15.75" customHeight="1" x14ac:dyDescent="0.35">
      <c r="P262" s="17"/>
      <c r="Q262" s="17"/>
      <c r="R262" s="17"/>
      <c r="S262" s="17"/>
    </row>
    <row r="263" spans="16:19" ht="15.75" customHeight="1" x14ac:dyDescent="0.35">
      <c r="P263" s="17"/>
      <c r="Q263" s="17"/>
      <c r="R263" s="17"/>
      <c r="S263" s="17"/>
    </row>
    <row r="264" spans="16:19" ht="15.75" customHeight="1" x14ac:dyDescent="0.35">
      <c r="P264" s="17"/>
      <c r="Q264" s="17"/>
      <c r="R264" s="17"/>
      <c r="S264" s="17"/>
    </row>
    <row r="265" spans="16:19" ht="15.75" customHeight="1" x14ac:dyDescent="0.35">
      <c r="P265" s="17"/>
      <c r="Q265" s="17"/>
      <c r="R265" s="17"/>
      <c r="S265" s="17"/>
    </row>
    <row r="266" spans="16:19" ht="15.75" customHeight="1" x14ac:dyDescent="0.35">
      <c r="P266" s="17"/>
      <c r="Q266" s="17"/>
      <c r="R266" s="17"/>
      <c r="S266" s="17"/>
    </row>
    <row r="267" spans="16:19" ht="15.75" customHeight="1" x14ac:dyDescent="0.35">
      <c r="P267" s="17"/>
      <c r="Q267" s="17"/>
      <c r="R267" s="17"/>
      <c r="S267" s="17"/>
    </row>
    <row r="268" spans="16:19" ht="15.75" customHeight="1" x14ac:dyDescent="0.35">
      <c r="P268" s="17"/>
      <c r="Q268" s="17"/>
      <c r="R268" s="17"/>
      <c r="S268" s="17"/>
    </row>
    <row r="269" spans="16:19" ht="15.75" customHeight="1" x14ac:dyDescent="0.35">
      <c r="P269" s="17"/>
      <c r="Q269" s="17"/>
      <c r="R269" s="17"/>
      <c r="S269" s="17"/>
    </row>
    <row r="270" spans="16:19" ht="15.75" customHeight="1" x14ac:dyDescent="0.35">
      <c r="P270" s="17"/>
      <c r="Q270" s="17"/>
      <c r="R270" s="17"/>
      <c r="S270" s="17"/>
    </row>
    <row r="271" spans="16:19" ht="15.75" customHeight="1" x14ac:dyDescent="0.35">
      <c r="P271" s="17"/>
      <c r="Q271" s="17"/>
      <c r="R271" s="17"/>
      <c r="S271" s="17"/>
    </row>
    <row r="272" spans="16:19" ht="15.75" customHeight="1" x14ac:dyDescent="0.35">
      <c r="P272" s="17"/>
      <c r="Q272" s="17"/>
      <c r="R272" s="17"/>
      <c r="S272" s="17"/>
    </row>
    <row r="273" spans="16:19" ht="15.75" customHeight="1" x14ac:dyDescent="0.35">
      <c r="P273" s="17"/>
      <c r="Q273" s="17"/>
      <c r="R273" s="17"/>
      <c r="S273" s="17"/>
    </row>
    <row r="274" spans="16:19" ht="15.75" customHeight="1" x14ac:dyDescent="0.35">
      <c r="P274" s="17"/>
      <c r="Q274" s="17"/>
      <c r="R274" s="17"/>
      <c r="S274" s="17"/>
    </row>
    <row r="275" spans="16:19" ht="15.75" customHeight="1" x14ac:dyDescent="0.35">
      <c r="P275" s="17"/>
      <c r="Q275" s="17"/>
      <c r="R275" s="17"/>
      <c r="S275" s="17"/>
    </row>
    <row r="276" spans="16:19" ht="15.75" customHeight="1" x14ac:dyDescent="0.35">
      <c r="P276" s="17"/>
      <c r="Q276" s="17"/>
      <c r="R276" s="17"/>
      <c r="S276" s="17"/>
    </row>
    <row r="277" spans="16:19" ht="15.75" customHeight="1" x14ac:dyDescent="0.35">
      <c r="P277" s="17"/>
      <c r="Q277" s="17"/>
      <c r="R277" s="17"/>
      <c r="S277" s="17"/>
    </row>
    <row r="278" spans="16:19" ht="15.75" customHeight="1" x14ac:dyDescent="0.35">
      <c r="P278" s="17"/>
      <c r="Q278" s="17"/>
      <c r="R278" s="17"/>
      <c r="S278" s="17"/>
    </row>
    <row r="279" spans="16:19" ht="15.75" customHeight="1" x14ac:dyDescent="0.35">
      <c r="P279" s="17"/>
      <c r="Q279" s="17"/>
      <c r="R279" s="17"/>
      <c r="S279" s="17"/>
    </row>
    <row r="280" spans="16:19" ht="15.75" customHeight="1" x14ac:dyDescent="0.35">
      <c r="P280" s="17"/>
      <c r="Q280" s="17"/>
      <c r="R280" s="17"/>
      <c r="S280" s="17"/>
    </row>
    <row r="281" spans="16:19" ht="15.75" customHeight="1" x14ac:dyDescent="0.35">
      <c r="P281" s="17"/>
      <c r="Q281" s="17"/>
      <c r="R281" s="17"/>
      <c r="S281" s="17"/>
    </row>
    <row r="282" spans="16:19" ht="15.75" customHeight="1" x14ac:dyDescent="0.35">
      <c r="P282" s="17"/>
      <c r="Q282" s="17"/>
      <c r="R282" s="17"/>
      <c r="S282" s="17"/>
    </row>
    <row r="283" spans="16:19" ht="15.75" customHeight="1" x14ac:dyDescent="0.35">
      <c r="P283" s="17"/>
      <c r="Q283" s="17"/>
      <c r="R283" s="17"/>
      <c r="S283" s="17"/>
    </row>
    <row r="284" spans="16:19" ht="15.75" customHeight="1" x14ac:dyDescent="0.35">
      <c r="P284" s="17"/>
      <c r="Q284" s="17"/>
      <c r="R284" s="17"/>
      <c r="S284" s="17"/>
    </row>
    <row r="285" spans="16:19" ht="15.75" customHeight="1" x14ac:dyDescent="0.35">
      <c r="P285" s="17"/>
      <c r="Q285" s="17"/>
      <c r="R285" s="17"/>
      <c r="S285" s="17"/>
    </row>
    <row r="286" spans="16:19" ht="15.75" customHeight="1" x14ac:dyDescent="0.35">
      <c r="P286" s="17"/>
      <c r="Q286" s="17"/>
      <c r="R286" s="17"/>
      <c r="S286" s="17"/>
    </row>
    <row r="287" spans="16:19" ht="15.75" customHeight="1" x14ac:dyDescent="0.35">
      <c r="P287" s="17"/>
      <c r="Q287" s="17"/>
      <c r="R287" s="17"/>
      <c r="S287" s="17"/>
    </row>
    <row r="288" spans="16:19" ht="15.75" customHeight="1" x14ac:dyDescent="0.35">
      <c r="P288" s="17"/>
      <c r="Q288" s="17"/>
      <c r="R288" s="17"/>
      <c r="S288" s="17"/>
    </row>
    <row r="289" spans="16:19" ht="15.75" customHeight="1" x14ac:dyDescent="0.35">
      <c r="P289" s="17"/>
      <c r="Q289" s="17"/>
      <c r="R289" s="17"/>
      <c r="S289" s="17"/>
    </row>
    <row r="290" spans="16:19" ht="15.75" customHeight="1" x14ac:dyDescent="0.35">
      <c r="P290" s="17"/>
      <c r="Q290" s="17"/>
      <c r="R290" s="17"/>
      <c r="S290" s="17"/>
    </row>
    <row r="291" spans="16:19" ht="15.75" customHeight="1" x14ac:dyDescent="0.35">
      <c r="P291" s="17"/>
      <c r="Q291" s="17"/>
      <c r="R291" s="17"/>
      <c r="S291" s="17"/>
    </row>
    <row r="292" spans="16:19" ht="15.75" customHeight="1" x14ac:dyDescent="0.35">
      <c r="P292" s="17"/>
      <c r="Q292" s="17"/>
      <c r="R292" s="17"/>
      <c r="S292" s="17"/>
    </row>
    <row r="293" spans="16:19" ht="15.75" customHeight="1" x14ac:dyDescent="0.35">
      <c r="P293" s="17"/>
      <c r="Q293" s="17"/>
      <c r="R293" s="17"/>
      <c r="S293" s="17"/>
    </row>
    <row r="294" spans="16:19" ht="15.75" customHeight="1" x14ac:dyDescent="0.35">
      <c r="P294" s="17"/>
      <c r="Q294" s="17"/>
      <c r="R294" s="17"/>
      <c r="S294" s="17"/>
    </row>
    <row r="295" spans="16:19" ht="15.75" customHeight="1" x14ac:dyDescent="0.35">
      <c r="P295" s="17"/>
      <c r="Q295" s="17"/>
      <c r="R295" s="17"/>
      <c r="S295" s="17"/>
    </row>
    <row r="296" spans="16:19" ht="15.75" customHeight="1" x14ac:dyDescent="0.35">
      <c r="P296" s="17"/>
      <c r="Q296" s="17"/>
      <c r="R296" s="17"/>
      <c r="S296" s="17"/>
    </row>
    <row r="297" spans="16:19" ht="15.75" customHeight="1" x14ac:dyDescent="0.35">
      <c r="P297" s="17"/>
      <c r="Q297" s="17"/>
      <c r="R297" s="17"/>
      <c r="S297" s="17"/>
    </row>
    <row r="298" spans="16:19" ht="15.75" customHeight="1" x14ac:dyDescent="0.35">
      <c r="P298" s="17"/>
      <c r="Q298" s="17"/>
      <c r="R298" s="17"/>
      <c r="S298" s="17"/>
    </row>
    <row r="299" spans="16:19" ht="15.75" customHeight="1" x14ac:dyDescent="0.35">
      <c r="P299" s="17"/>
      <c r="Q299" s="17"/>
      <c r="R299" s="17"/>
      <c r="S299" s="17"/>
    </row>
    <row r="300" spans="16:19" ht="15.75" customHeight="1" x14ac:dyDescent="0.35">
      <c r="P300" s="17"/>
      <c r="Q300" s="17"/>
      <c r="R300" s="17"/>
      <c r="S300" s="17"/>
    </row>
    <row r="301" spans="16:19" ht="15.75" customHeight="1" x14ac:dyDescent="0.35">
      <c r="P301" s="17"/>
      <c r="Q301" s="17"/>
      <c r="R301" s="17"/>
      <c r="S301" s="17"/>
    </row>
    <row r="302" spans="16:19" ht="15.75" customHeight="1" x14ac:dyDescent="0.35">
      <c r="P302" s="17"/>
      <c r="Q302" s="17"/>
      <c r="R302" s="17"/>
      <c r="S302" s="17"/>
    </row>
    <row r="303" spans="16:19" ht="15.75" customHeight="1" x14ac:dyDescent="0.35">
      <c r="P303" s="17"/>
      <c r="Q303" s="17"/>
      <c r="R303" s="17"/>
      <c r="S303" s="17"/>
    </row>
    <row r="304" spans="16:19" ht="15.75" customHeight="1" x14ac:dyDescent="0.35">
      <c r="P304" s="17"/>
      <c r="Q304" s="17"/>
      <c r="R304" s="17"/>
      <c r="S304" s="17"/>
    </row>
    <row r="305" spans="16:19" ht="15.75" customHeight="1" x14ac:dyDescent="0.35">
      <c r="P305" s="17"/>
      <c r="Q305" s="17"/>
      <c r="R305" s="17"/>
      <c r="S305" s="17"/>
    </row>
    <row r="306" spans="16:19" ht="15.75" customHeight="1" x14ac:dyDescent="0.35">
      <c r="P306" s="17"/>
      <c r="Q306" s="17"/>
      <c r="R306" s="17"/>
      <c r="S306" s="17"/>
    </row>
    <row r="307" spans="16:19" ht="15.75" customHeight="1" x14ac:dyDescent="0.35">
      <c r="P307" s="17"/>
      <c r="Q307" s="17"/>
      <c r="R307" s="17"/>
      <c r="S307" s="17"/>
    </row>
    <row r="308" spans="16:19" ht="15.75" customHeight="1" x14ac:dyDescent="0.35">
      <c r="P308" s="17"/>
      <c r="Q308" s="17"/>
      <c r="R308" s="17"/>
      <c r="S308" s="17"/>
    </row>
    <row r="309" spans="16:19" ht="15.75" customHeight="1" x14ac:dyDescent="0.35">
      <c r="P309" s="17"/>
      <c r="Q309" s="17"/>
      <c r="R309" s="17"/>
      <c r="S309" s="17"/>
    </row>
    <row r="310" spans="16:19" ht="15.75" customHeight="1" x14ac:dyDescent="0.35">
      <c r="P310" s="17"/>
      <c r="Q310" s="17"/>
      <c r="R310" s="17"/>
      <c r="S310" s="17"/>
    </row>
    <row r="311" spans="16:19" ht="15.75" customHeight="1" x14ac:dyDescent="0.35">
      <c r="P311" s="17"/>
      <c r="Q311" s="17"/>
      <c r="R311" s="17"/>
      <c r="S311" s="17"/>
    </row>
    <row r="312" spans="16:19" ht="15.75" customHeight="1" x14ac:dyDescent="0.35">
      <c r="P312" s="17"/>
      <c r="Q312" s="17"/>
      <c r="R312" s="17"/>
      <c r="S312" s="17"/>
    </row>
    <row r="313" spans="16:19" ht="15.75" customHeight="1" x14ac:dyDescent="0.35">
      <c r="P313" s="17"/>
      <c r="Q313" s="17"/>
      <c r="R313" s="17"/>
      <c r="S313" s="17"/>
    </row>
    <row r="314" spans="16:19" ht="15.75" customHeight="1" x14ac:dyDescent="0.35">
      <c r="P314" s="17"/>
      <c r="Q314" s="17"/>
      <c r="R314" s="17"/>
      <c r="S314" s="17"/>
    </row>
    <row r="315" spans="16:19" ht="15.75" customHeight="1" x14ac:dyDescent="0.35">
      <c r="P315" s="17"/>
      <c r="Q315" s="17"/>
      <c r="R315" s="17"/>
      <c r="S315" s="17"/>
    </row>
    <row r="316" spans="16:19" ht="15.75" customHeight="1" x14ac:dyDescent="0.35">
      <c r="P316" s="17"/>
      <c r="Q316" s="17"/>
      <c r="R316" s="17"/>
      <c r="S316" s="17"/>
    </row>
    <row r="317" spans="16:19" ht="15.75" customHeight="1" x14ac:dyDescent="0.35">
      <c r="P317" s="17"/>
      <c r="Q317" s="17"/>
      <c r="R317" s="17"/>
      <c r="S317" s="17"/>
    </row>
    <row r="318" spans="16:19" ht="15.75" customHeight="1" x14ac:dyDescent="0.35">
      <c r="P318" s="17"/>
      <c r="Q318" s="17"/>
      <c r="R318" s="17"/>
      <c r="S318" s="17"/>
    </row>
    <row r="319" spans="16:19" ht="15.75" customHeight="1" x14ac:dyDescent="0.35">
      <c r="P319" s="17"/>
      <c r="Q319" s="17"/>
      <c r="R319" s="17"/>
      <c r="S319" s="17"/>
    </row>
    <row r="320" spans="16:19" ht="15.75" customHeight="1" x14ac:dyDescent="0.35">
      <c r="P320" s="17"/>
      <c r="Q320" s="17"/>
      <c r="R320" s="17"/>
      <c r="S320" s="17"/>
    </row>
    <row r="321" spans="16:19" ht="15.75" customHeight="1" x14ac:dyDescent="0.35">
      <c r="P321" s="17"/>
      <c r="Q321" s="17"/>
      <c r="R321" s="17"/>
      <c r="S321" s="17"/>
    </row>
    <row r="322" spans="16:19" ht="15.75" customHeight="1" x14ac:dyDescent="0.35">
      <c r="P322" s="17"/>
      <c r="Q322" s="17"/>
      <c r="R322" s="17"/>
      <c r="S322" s="17"/>
    </row>
    <row r="323" spans="16:19" ht="15.75" customHeight="1" x14ac:dyDescent="0.35">
      <c r="P323" s="17"/>
      <c r="Q323" s="17"/>
      <c r="R323" s="17"/>
      <c r="S323" s="17"/>
    </row>
    <row r="324" spans="16:19" ht="15.75" customHeight="1" x14ac:dyDescent="0.35">
      <c r="P324" s="17"/>
      <c r="Q324" s="17"/>
      <c r="R324" s="17"/>
      <c r="S324" s="17"/>
    </row>
    <row r="325" spans="16:19" ht="15.75" customHeight="1" x14ac:dyDescent="0.35">
      <c r="P325" s="17"/>
      <c r="Q325" s="17"/>
      <c r="R325" s="17"/>
      <c r="S325" s="17"/>
    </row>
    <row r="326" spans="16:19" ht="15.75" customHeight="1" x14ac:dyDescent="0.35">
      <c r="P326" s="17"/>
      <c r="Q326" s="17"/>
      <c r="R326" s="17"/>
      <c r="S326" s="17"/>
    </row>
    <row r="327" spans="16:19" ht="15.75" customHeight="1" x14ac:dyDescent="0.35">
      <c r="P327" s="17"/>
      <c r="Q327" s="17"/>
      <c r="R327" s="17"/>
      <c r="S327" s="17"/>
    </row>
    <row r="328" spans="16:19" ht="15.75" customHeight="1" x14ac:dyDescent="0.35">
      <c r="P328" s="17"/>
      <c r="Q328" s="17"/>
      <c r="R328" s="17"/>
      <c r="S328" s="17"/>
    </row>
    <row r="329" spans="16:19" ht="15.75" customHeight="1" x14ac:dyDescent="0.35">
      <c r="P329" s="17"/>
      <c r="Q329" s="17"/>
      <c r="R329" s="17"/>
      <c r="S329" s="17"/>
    </row>
    <row r="330" spans="16:19" ht="15.75" customHeight="1" x14ac:dyDescent="0.35">
      <c r="P330" s="17"/>
      <c r="Q330" s="17"/>
      <c r="R330" s="17"/>
      <c r="S330" s="17"/>
    </row>
    <row r="331" spans="16:19" ht="15.75" customHeight="1" x14ac:dyDescent="0.35">
      <c r="P331" s="17"/>
      <c r="Q331" s="17"/>
      <c r="R331" s="17"/>
      <c r="S331" s="17"/>
    </row>
    <row r="332" spans="16:19" ht="15.75" customHeight="1" x14ac:dyDescent="0.35">
      <c r="P332" s="17"/>
      <c r="Q332" s="17"/>
      <c r="R332" s="17"/>
      <c r="S332" s="17"/>
    </row>
    <row r="333" spans="16:19" ht="15.75" customHeight="1" x14ac:dyDescent="0.35">
      <c r="P333" s="17"/>
      <c r="Q333" s="17"/>
      <c r="R333" s="17"/>
      <c r="S333" s="17"/>
    </row>
    <row r="334" spans="16:19" ht="15.75" customHeight="1" x14ac:dyDescent="0.35">
      <c r="P334" s="17"/>
      <c r="Q334" s="17"/>
      <c r="R334" s="17"/>
      <c r="S334" s="17"/>
    </row>
    <row r="335" spans="16:19" ht="15.75" customHeight="1" x14ac:dyDescent="0.35">
      <c r="P335" s="17"/>
      <c r="Q335" s="17"/>
      <c r="R335" s="17"/>
      <c r="S335" s="17"/>
    </row>
    <row r="336" spans="16:19" ht="15.75" customHeight="1" x14ac:dyDescent="0.35">
      <c r="P336" s="17"/>
      <c r="Q336" s="17"/>
      <c r="R336" s="17"/>
      <c r="S336" s="17"/>
    </row>
    <row r="337" spans="16:19" ht="15.75" customHeight="1" x14ac:dyDescent="0.35">
      <c r="P337" s="17"/>
      <c r="Q337" s="17"/>
      <c r="R337" s="17"/>
      <c r="S337" s="17"/>
    </row>
    <row r="338" spans="16:19" ht="15.75" customHeight="1" x14ac:dyDescent="0.35">
      <c r="P338" s="17"/>
      <c r="Q338" s="17"/>
      <c r="R338" s="17"/>
      <c r="S338" s="17"/>
    </row>
    <row r="339" spans="16:19" ht="15.75" customHeight="1" x14ac:dyDescent="0.35">
      <c r="P339" s="17"/>
      <c r="Q339" s="17"/>
      <c r="R339" s="17"/>
      <c r="S339" s="17"/>
    </row>
    <row r="340" spans="16:19" ht="15.75" customHeight="1" x14ac:dyDescent="0.35">
      <c r="P340" s="17"/>
      <c r="Q340" s="17"/>
      <c r="R340" s="17"/>
      <c r="S340" s="17"/>
    </row>
    <row r="341" spans="16:19" ht="15.75" customHeight="1" x14ac:dyDescent="0.35">
      <c r="P341" s="17"/>
      <c r="Q341" s="17"/>
      <c r="R341" s="17"/>
      <c r="S341" s="17"/>
    </row>
    <row r="342" spans="16:19" ht="15.75" customHeight="1" x14ac:dyDescent="0.35">
      <c r="P342" s="17"/>
      <c r="Q342" s="17"/>
      <c r="R342" s="17"/>
      <c r="S342" s="17"/>
    </row>
    <row r="343" spans="16:19" ht="15.75" customHeight="1" x14ac:dyDescent="0.35">
      <c r="P343" s="17"/>
      <c r="Q343" s="17"/>
      <c r="R343" s="17"/>
      <c r="S343" s="17"/>
    </row>
    <row r="344" spans="16:19" ht="15.75" customHeight="1" x14ac:dyDescent="0.35">
      <c r="P344" s="17"/>
      <c r="Q344" s="17"/>
      <c r="R344" s="17"/>
      <c r="S344" s="17"/>
    </row>
    <row r="345" spans="16:19" ht="15.75" customHeight="1" x14ac:dyDescent="0.35">
      <c r="P345" s="17"/>
      <c r="Q345" s="17"/>
      <c r="R345" s="17"/>
      <c r="S345" s="17"/>
    </row>
    <row r="346" spans="16:19" ht="15.75" customHeight="1" x14ac:dyDescent="0.35">
      <c r="P346" s="17"/>
      <c r="Q346" s="17"/>
      <c r="R346" s="17"/>
      <c r="S346" s="17"/>
    </row>
    <row r="347" spans="16:19" ht="15.75" customHeight="1" x14ac:dyDescent="0.35">
      <c r="P347" s="17"/>
      <c r="Q347" s="17"/>
      <c r="R347" s="17"/>
      <c r="S347" s="17"/>
    </row>
    <row r="348" spans="16:19" ht="15.75" customHeight="1" x14ac:dyDescent="0.35">
      <c r="P348" s="17"/>
      <c r="Q348" s="17"/>
      <c r="R348" s="17"/>
      <c r="S348" s="17"/>
    </row>
    <row r="349" spans="16:19" ht="15.75" customHeight="1" x14ac:dyDescent="0.35">
      <c r="P349" s="17"/>
      <c r="Q349" s="17"/>
      <c r="R349" s="17"/>
      <c r="S349" s="17"/>
    </row>
    <row r="350" spans="16:19" ht="15.75" customHeight="1" x14ac:dyDescent="0.35">
      <c r="P350" s="17"/>
      <c r="Q350" s="17"/>
      <c r="R350" s="17"/>
      <c r="S350" s="17"/>
    </row>
    <row r="351" spans="16:19" ht="15.75" customHeight="1" x14ac:dyDescent="0.35">
      <c r="P351" s="17"/>
      <c r="Q351" s="17"/>
      <c r="R351" s="17"/>
      <c r="S351" s="17"/>
    </row>
    <row r="352" spans="16:19" ht="15.75" customHeight="1" x14ac:dyDescent="0.35">
      <c r="P352" s="17"/>
      <c r="Q352" s="17"/>
      <c r="R352" s="17"/>
      <c r="S352" s="17"/>
    </row>
    <row r="353" spans="16:19" ht="15.75" customHeight="1" x14ac:dyDescent="0.35">
      <c r="P353" s="17"/>
      <c r="Q353" s="17"/>
      <c r="R353" s="17"/>
      <c r="S353" s="17"/>
    </row>
    <row r="354" spans="16:19" ht="15.75" customHeight="1" x14ac:dyDescent="0.35">
      <c r="P354" s="17"/>
      <c r="Q354" s="17"/>
      <c r="R354" s="17"/>
      <c r="S354" s="17"/>
    </row>
    <row r="355" spans="16:19" ht="15.75" customHeight="1" x14ac:dyDescent="0.35">
      <c r="P355" s="17"/>
      <c r="Q355" s="17"/>
      <c r="R355" s="17"/>
      <c r="S355" s="17"/>
    </row>
    <row r="356" spans="16:19" ht="15.75" customHeight="1" x14ac:dyDescent="0.35">
      <c r="P356" s="17"/>
      <c r="Q356" s="17"/>
      <c r="R356" s="17"/>
      <c r="S356" s="17"/>
    </row>
    <row r="357" spans="16:19" ht="15.75" customHeight="1" x14ac:dyDescent="0.35">
      <c r="P357" s="17"/>
      <c r="Q357" s="17"/>
      <c r="R357" s="17"/>
      <c r="S357" s="17"/>
    </row>
    <row r="358" spans="16:19" ht="15.75" customHeight="1" x14ac:dyDescent="0.35">
      <c r="P358" s="17"/>
      <c r="Q358" s="17"/>
      <c r="R358" s="17"/>
      <c r="S358" s="17"/>
    </row>
    <row r="359" spans="16:19" ht="15.75" customHeight="1" x14ac:dyDescent="0.35">
      <c r="P359" s="17"/>
      <c r="Q359" s="17"/>
      <c r="R359" s="17"/>
      <c r="S359" s="17"/>
    </row>
    <row r="360" spans="16:19" ht="15.75" customHeight="1" x14ac:dyDescent="0.35">
      <c r="P360" s="17"/>
      <c r="Q360" s="17"/>
      <c r="R360" s="17"/>
      <c r="S360" s="17"/>
    </row>
    <row r="361" spans="16:19" ht="15.75" customHeight="1" x14ac:dyDescent="0.35">
      <c r="P361" s="17"/>
      <c r="Q361" s="17"/>
      <c r="R361" s="17"/>
      <c r="S361" s="17"/>
    </row>
    <row r="362" spans="16:19" ht="15.75" customHeight="1" x14ac:dyDescent="0.35">
      <c r="P362" s="17"/>
      <c r="Q362" s="17"/>
      <c r="R362" s="17"/>
      <c r="S362" s="17"/>
    </row>
    <row r="363" spans="16:19" ht="15.75" customHeight="1" x14ac:dyDescent="0.35">
      <c r="P363" s="17"/>
      <c r="Q363" s="17"/>
      <c r="R363" s="17"/>
      <c r="S363" s="17"/>
    </row>
    <row r="364" spans="16:19" ht="15.75" customHeight="1" x14ac:dyDescent="0.35">
      <c r="P364" s="17"/>
      <c r="Q364" s="17"/>
      <c r="R364" s="17"/>
      <c r="S364" s="17"/>
    </row>
    <row r="365" spans="16:19" ht="15.75" customHeight="1" x14ac:dyDescent="0.35">
      <c r="P365" s="17"/>
      <c r="Q365" s="17"/>
      <c r="R365" s="17"/>
      <c r="S365" s="17"/>
    </row>
    <row r="366" spans="16:19" ht="15.75" customHeight="1" x14ac:dyDescent="0.35">
      <c r="P366" s="17"/>
      <c r="Q366" s="17"/>
      <c r="R366" s="17"/>
      <c r="S366" s="17"/>
    </row>
    <row r="367" spans="16:19" ht="15.75" customHeight="1" x14ac:dyDescent="0.35">
      <c r="P367" s="17"/>
      <c r="Q367" s="17"/>
      <c r="R367" s="17"/>
      <c r="S367" s="17"/>
    </row>
    <row r="368" spans="16:19" ht="15.75" customHeight="1" x14ac:dyDescent="0.35">
      <c r="P368" s="17"/>
      <c r="Q368" s="17"/>
      <c r="R368" s="17"/>
      <c r="S368" s="17"/>
    </row>
    <row r="369" spans="16:19" ht="15.75" customHeight="1" x14ac:dyDescent="0.35">
      <c r="P369" s="17"/>
      <c r="Q369" s="17"/>
      <c r="R369" s="17"/>
      <c r="S369" s="17"/>
    </row>
    <row r="370" spans="16:19" ht="15.75" customHeight="1" x14ac:dyDescent="0.35">
      <c r="P370" s="17"/>
      <c r="Q370" s="17"/>
      <c r="R370" s="17"/>
      <c r="S370" s="17"/>
    </row>
    <row r="371" spans="16:19" ht="15.75" customHeight="1" x14ac:dyDescent="0.35">
      <c r="P371" s="17"/>
      <c r="Q371" s="17"/>
      <c r="R371" s="17"/>
      <c r="S371" s="17"/>
    </row>
    <row r="372" spans="16:19" ht="15.75" customHeight="1" x14ac:dyDescent="0.35">
      <c r="P372" s="17"/>
      <c r="Q372" s="17"/>
      <c r="R372" s="17"/>
      <c r="S372" s="17"/>
    </row>
    <row r="373" spans="16:19" ht="15.75" customHeight="1" x14ac:dyDescent="0.35">
      <c r="P373" s="17"/>
      <c r="Q373" s="17"/>
      <c r="R373" s="17"/>
      <c r="S373" s="17"/>
    </row>
    <row r="374" spans="16:19" ht="15.75" customHeight="1" x14ac:dyDescent="0.35">
      <c r="P374" s="17"/>
      <c r="Q374" s="17"/>
      <c r="R374" s="17"/>
      <c r="S374" s="17"/>
    </row>
    <row r="375" spans="16:19" ht="15.75" customHeight="1" x14ac:dyDescent="0.35">
      <c r="P375" s="17"/>
      <c r="Q375" s="17"/>
      <c r="R375" s="17"/>
      <c r="S375" s="17"/>
    </row>
    <row r="376" spans="16:19" ht="15.75" customHeight="1" x14ac:dyDescent="0.35">
      <c r="P376" s="17"/>
      <c r="Q376" s="17"/>
      <c r="R376" s="17"/>
      <c r="S376" s="17"/>
    </row>
    <row r="377" spans="16:19" ht="15.75" customHeight="1" x14ac:dyDescent="0.35">
      <c r="P377" s="17"/>
      <c r="Q377" s="17"/>
      <c r="R377" s="17"/>
      <c r="S377" s="17"/>
    </row>
    <row r="378" spans="16:19" ht="15.75" customHeight="1" x14ac:dyDescent="0.35">
      <c r="P378" s="17"/>
      <c r="Q378" s="17"/>
      <c r="R378" s="17"/>
      <c r="S378" s="17"/>
    </row>
    <row r="379" spans="16:19" ht="15.75" customHeight="1" x14ac:dyDescent="0.35">
      <c r="P379" s="17"/>
      <c r="Q379" s="17"/>
      <c r="R379" s="17"/>
      <c r="S379" s="17"/>
    </row>
    <row r="380" spans="16:19" ht="15.75" customHeight="1" x14ac:dyDescent="0.35">
      <c r="P380" s="17"/>
      <c r="Q380" s="17"/>
      <c r="R380" s="17"/>
      <c r="S380" s="17"/>
    </row>
    <row r="381" spans="16:19" ht="15.75" customHeight="1" x14ac:dyDescent="0.35">
      <c r="P381" s="17"/>
      <c r="Q381" s="17"/>
      <c r="R381" s="17"/>
      <c r="S381" s="17"/>
    </row>
    <row r="382" spans="16:19" ht="15.75" customHeight="1" x14ac:dyDescent="0.35">
      <c r="P382" s="17"/>
      <c r="Q382" s="17"/>
      <c r="R382" s="17"/>
      <c r="S382" s="17"/>
    </row>
    <row r="383" spans="16:19" ht="15.75" customHeight="1" x14ac:dyDescent="0.35">
      <c r="P383" s="17"/>
      <c r="Q383" s="17"/>
      <c r="R383" s="17"/>
      <c r="S383" s="17"/>
    </row>
    <row r="384" spans="16:19" ht="15.75" customHeight="1" x14ac:dyDescent="0.35">
      <c r="P384" s="17"/>
      <c r="Q384" s="17"/>
      <c r="R384" s="17"/>
      <c r="S384" s="17"/>
    </row>
    <row r="385" spans="16:19" ht="15.75" customHeight="1" x14ac:dyDescent="0.35">
      <c r="P385" s="17"/>
      <c r="Q385" s="17"/>
      <c r="R385" s="17"/>
      <c r="S385" s="17"/>
    </row>
    <row r="386" spans="16:19" ht="15.75" customHeight="1" x14ac:dyDescent="0.35">
      <c r="P386" s="17"/>
      <c r="Q386" s="17"/>
      <c r="R386" s="17"/>
      <c r="S386" s="17"/>
    </row>
    <row r="387" spans="16:19" ht="15.75" customHeight="1" x14ac:dyDescent="0.35">
      <c r="P387" s="17"/>
      <c r="Q387" s="17"/>
      <c r="R387" s="17"/>
      <c r="S387" s="17"/>
    </row>
    <row r="388" spans="16:19" ht="15.75" customHeight="1" x14ac:dyDescent="0.35">
      <c r="P388" s="17"/>
      <c r="Q388" s="17"/>
      <c r="R388" s="17"/>
      <c r="S388" s="17"/>
    </row>
    <row r="389" spans="16:19" ht="15.75" customHeight="1" x14ac:dyDescent="0.35">
      <c r="P389" s="17"/>
      <c r="Q389" s="17"/>
      <c r="R389" s="17"/>
      <c r="S389" s="17"/>
    </row>
    <row r="390" spans="16:19" ht="15.75" customHeight="1" x14ac:dyDescent="0.35">
      <c r="P390" s="17"/>
      <c r="Q390" s="17"/>
      <c r="R390" s="17"/>
      <c r="S390" s="17"/>
    </row>
    <row r="391" spans="16:19" ht="15.75" customHeight="1" x14ac:dyDescent="0.35">
      <c r="P391" s="17"/>
      <c r="Q391" s="17"/>
      <c r="R391" s="17"/>
      <c r="S391" s="17"/>
    </row>
    <row r="392" spans="16:19" ht="15.75" customHeight="1" x14ac:dyDescent="0.35">
      <c r="P392" s="17"/>
      <c r="Q392" s="17"/>
      <c r="R392" s="17"/>
      <c r="S392" s="17"/>
    </row>
    <row r="393" spans="16:19" ht="15.75" customHeight="1" x14ac:dyDescent="0.35">
      <c r="P393" s="17"/>
      <c r="Q393" s="17"/>
      <c r="R393" s="17"/>
      <c r="S393" s="17"/>
    </row>
    <row r="394" spans="16:19" ht="15.75" customHeight="1" x14ac:dyDescent="0.35">
      <c r="P394" s="17"/>
      <c r="Q394" s="17"/>
      <c r="R394" s="17"/>
      <c r="S394" s="17"/>
    </row>
    <row r="395" spans="16:19" ht="15.75" customHeight="1" x14ac:dyDescent="0.35">
      <c r="P395" s="17"/>
      <c r="Q395" s="17"/>
      <c r="R395" s="17"/>
      <c r="S395" s="17"/>
    </row>
    <row r="396" spans="16:19" ht="15.75" customHeight="1" x14ac:dyDescent="0.35">
      <c r="P396" s="17"/>
      <c r="Q396" s="17"/>
      <c r="R396" s="17"/>
      <c r="S396" s="17"/>
    </row>
    <row r="397" spans="16:19" ht="15.75" customHeight="1" x14ac:dyDescent="0.35">
      <c r="P397" s="17"/>
      <c r="Q397" s="17"/>
      <c r="R397" s="17"/>
      <c r="S397" s="17"/>
    </row>
    <row r="398" spans="16:19" ht="15.75" customHeight="1" x14ac:dyDescent="0.35">
      <c r="P398" s="17"/>
      <c r="Q398" s="17"/>
      <c r="R398" s="17"/>
      <c r="S398" s="17"/>
    </row>
    <row r="399" spans="16:19" ht="15.75" customHeight="1" x14ac:dyDescent="0.35">
      <c r="P399" s="17"/>
      <c r="Q399" s="17"/>
      <c r="R399" s="17"/>
      <c r="S399" s="17"/>
    </row>
    <row r="400" spans="16:19" ht="15.75" customHeight="1" x14ac:dyDescent="0.35">
      <c r="P400" s="17"/>
      <c r="Q400" s="17"/>
      <c r="R400" s="17"/>
      <c r="S400" s="17"/>
    </row>
    <row r="401" spans="16:19" ht="15.75" customHeight="1" x14ac:dyDescent="0.35">
      <c r="P401" s="17"/>
      <c r="Q401" s="17"/>
      <c r="R401" s="17"/>
      <c r="S401" s="17"/>
    </row>
    <row r="402" spans="16:19" ht="15.75" customHeight="1" x14ac:dyDescent="0.35">
      <c r="P402" s="17"/>
      <c r="Q402" s="17"/>
      <c r="R402" s="17"/>
      <c r="S402" s="17"/>
    </row>
    <row r="403" spans="16:19" ht="15.75" customHeight="1" x14ac:dyDescent="0.35">
      <c r="P403" s="17"/>
      <c r="Q403" s="17"/>
      <c r="R403" s="17"/>
      <c r="S403" s="17"/>
    </row>
    <row r="404" spans="16:19" ht="15.75" customHeight="1" x14ac:dyDescent="0.35">
      <c r="P404" s="17"/>
      <c r="Q404" s="17"/>
      <c r="R404" s="17"/>
      <c r="S404" s="17"/>
    </row>
    <row r="405" spans="16:19" ht="15.75" customHeight="1" x14ac:dyDescent="0.35">
      <c r="P405" s="17"/>
      <c r="Q405" s="17"/>
      <c r="R405" s="17"/>
      <c r="S405" s="17"/>
    </row>
    <row r="406" spans="16:19" ht="15.75" customHeight="1" x14ac:dyDescent="0.35">
      <c r="P406" s="17"/>
      <c r="Q406" s="17"/>
      <c r="R406" s="17"/>
      <c r="S406" s="17"/>
    </row>
    <row r="407" spans="16:19" ht="15.75" customHeight="1" x14ac:dyDescent="0.35">
      <c r="P407" s="17"/>
      <c r="Q407" s="17"/>
      <c r="R407" s="17"/>
      <c r="S407" s="17"/>
    </row>
    <row r="408" spans="16:19" ht="15.75" customHeight="1" x14ac:dyDescent="0.35">
      <c r="P408" s="17"/>
      <c r="Q408" s="17"/>
      <c r="R408" s="17"/>
      <c r="S408" s="17"/>
    </row>
    <row r="409" spans="16:19" ht="15.75" customHeight="1" x14ac:dyDescent="0.35">
      <c r="P409" s="17"/>
      <c r="Q409" s="17"/>
      <c r="R409" s="17"/>
      <c r="S409" s="17"/>
    </row>
    <row r="410" spans="16:19" ht="15.75" customHeight="1" x14ac:dyDescent="0.35">
      <c r="P410" s="17"/>
      <c r="Q410" s="17"/>
      <c r="R410" s="17"/>
      <c r="S410" s="17"/>
    </row>
    <row r="411" spans="16:19" ht="15.75" customHeight="1" x14ac:dyDescent="0.35">
      <c r="P411" s="17"/>
      <c r="Q411" s="17"/>
      <c r="R411" s="17"/>
      <c r="S411" s="17"/>
    </row>
    <row r="412" spans="16:19" ht="15.75" customHeight="1" x14ac:dyDescent="0.35">
      <c r="P412" s="17"/>
      <c r="Q412" s="17"/>
      <c r="R412" s="17"/>
      <c r="S412" s="17"/>
    </row>
    <row r="413" spans="16:19" ht="15.75" customHeight="1" x14ac:dyDescent="0.35">
      <c r="P413" s="17"/>
      <c r="Q413" s="17"/>
      <c r="R413" s="17"/>
      <c r="S413" s="17"/>
    </row>
    <row r="414" spans="16:19" ht="15.75" customHeight="1" x14ac:dyDescent="0.35">
      <c r="P414" s="17"/>
      <c r="Q414" s="17"/>
      <c r="R414" s="17"/>
      <c r="S414" s="17"/>
    </row>
    <row r="415" spans="16:19" ht="15.75" customHeight="1" x14ac:dyDescent="0.35">
      <c r="P415" s="17"/>
      <c r="Q415" s="17"/>
      <c r="R415" s="17"/>
      <c r="S415" s="17"/>
    </row>
    <row r="416" spans="16:19" ht="15.75" customHeight="1" x14ac:dyDescent="0.35">
      <c r="P416" s="17"/>
      <c r="Q416" s="17"/>
      <c r="R416" s="17"/>
      <c r="S416" s="17"/>
    </row>
    <row r="417" spans="16:19" ht="15.75" customHeight="1" x14ac:dyDescent="0.35">
      <c r="P417" s="17"/>
      <c r="Q417" s="17"/>
      <c r="R417" s="17"/>
      <c r="S417" s="17"/>
    </row>
    <row r="418" spans="16:19" ht="15.75" customHeight="1" x14ac:dyDescent="0.35">
      <c r="P418" s="17"/>
      <c r="Q418" s="17"/>
      <c r="R418" s="17"/>
      <c r="S418" s="17"/>
    </row>
    <row r="419" spans="16:19" ht="15.75" customHeight="1" x14ac:dyDescent="0.35">
      <c r="P419" s="17"/>
      <c r="Q419" s="17"/>
      <c r="R419" s="17"/>
      <c r="S419" s="17"/>
    </row>
    <row r="420" spans="16:19" ht="15.75" customHeight="1" x14ac:dyDescent="0.35">
      <c r="P420" s="17"/>
      <c r="Q420" s="17"/>
      <c r="R420" s="17"/>
      <c r="S420" s="17"/>
    </row>
    <row r="421" spans="16:19" ht="15.75" customHeight="1" x14ac:dyDescent="0.35">
      <c r="P421" s="17"/>
      <c r="Q421" s="17"/>
      <c r="R421" s="17"/>
      <c r="S421" s="17"/>
    </row>
    <row r="422" spans="16:19" ht="15.75" customHeight="1" x14ac:dyDescent="0.35">
      <c r="P422" s="17"/>
      <c r="Q422" s="17"/>
      <c r="R422" s="17"/>
      <c r="S422" s="17"/>
    </row>
    <row r="423" spans="16:19" ht="15.75" customHeight="1" x14ac:dyDescent="0.35">
      <c r="P423" s="17"/>
      <c r="Q423" s="17"/>
      <c r="R423" s="17"/>
      <c r="S423" s="17"/>
    </row>
    <row r="424" spans="16:19" ht="15.75" customHeight="1" x14ac:dyDescent="0.35">
      <c r="P424" s="17"/>
      <c r="Q424" s="17"/>
      <c r="R424" s="17"/>
      <c r="S424" s="17"/>
    </row>
    <row r="425" spans="16:19" ht="15.75" customHeight="1" x14ac:dyDescent="0.35">
      <c r="P425" s="17"/>
      <c r="Q425" s="17"/>
      <c r="R425" s="17"/>
      <c r="S425" s="17"/>
    </row>
    <row r="426" spans="16:19" ht="15.75" customHeight="1" x14ac:dyDescent="0.35">
      <c r="P426" s="17"/>
      <c r="Q426" s="17"/>
      <c r="R426" s="17"/>
      <c r="S426" s="17"/>
    </row>
    <row r="427" spans="16:19" ht="15.75" customHeight="1" x14ac:dyDescent="0.35">
      <c r="P427" s="17"/>
      <c r="Q427" s="17"/>
      <c r="R427" s="17"/>
      <c r="S427" s="17"/>
    </row>
    <row r="428" spans="16:19" ht="15.75" customHeight="1" x14ac:dyDescent="0.35">
      <c r="P428" s="17"/>
      <c r="Q428" s="17"/>
      <c r="R428" s="17"/>
      <c r="S428" s="17"/>
    </row>
    <row r="429" spans="16:19" ht="15.75" customHeight="1" x14ac:dyDescent="0.35">
      <c r="P429" s="17"/>
      <c r="Q429" s="17"/>
      <c r="R429" s="17"/>
      <c r="S429" s="17"/>
    </row>
    <row r="430" spans="16:19" ht="15.75" customHeight="1" x14ac:dyDescent="0.35">
      <c r="P430" s="17"/>
      <c r="Q430" s="17"/>
      <c r="R430" s="17"/>
      <c r="S430" s="17"/>
    </row>
    <row r="431" spans="16:19" ht="15.75" customHeight="1" x14ac:dyDescent="0.35">
      <c r="P431" s="17"/>
      <c r="Q431" s="17"/>
      <c r="R431" s="17"/>
      <c r="S431" s="17"/>
    </row>
    <row r="432" spans="16:19" ht="15.75" customHeight="1" x14ac:dyDescent="0.35">
      <c r="P432" s="17"/>
      <c r="Q432" s="17"/>
      <c r="R432" s="17"/>
      <c r="S432" s="17"/>
    </row>
    <row r="433" spans="16:19" ht="15.75" customHeight="1" x14ac:dyDescent="0.35">
      <c r="P433" s="17"/>
      <c r="Q433" s="17"/>
      <c r="R433" s="17"/>
      <c r="S433" s="17"/>
    </row>
    <row r="434" spans="16:19" ht="15.75" customHeight="1" x14ac:dyDescent="0.35">
      <c r="P434" s="17"/>
      <c r="Q434" s="17"/>
      <c r="R434" s="17"/>
      <c r="S434" s="17"/>
    </row>
    <row r="435" spans="16:19" ht="15.75" customHeight="1" x14ac:dyDescent="0.35">
      <c r="P435" s="17"/>
      <c r="Q435" s="17"/>
      <c r="R435" s="17"/>
      <c r="S435" s="17"/>
    </row>
    <row r="436" spans="16:19" ht="15.75" customHeight="1" x14ac:dyDescent="0.35">
      <c r="P436" s="17"/>
      <c r="Q436" s="17"/>
      <c r="R436" s="17"/>
      <c r="S436" s="17"/>
    </row>
    <row r="437" spans="16:19" ht="15.75" customHeight="1" x14ac:dyDescent="0.35">
      <c r="P437" s="17"/>
      <c r="Q437" s="17"/>
      <c r="R437" s="17"/>
      <c r="S437" s="17"/>
    </row>
    <row r="438" spans="16:19" ht="15.75" customHeight="1" x14ac:dyDescent="0.35">
      <c r="P438" s="17"/>
      <c r="Q438" s="17"/>
      <c r="R438" s="17"/>
      <c r="S438" s="17"/>
    </row>
    <row r="439" spans="16:19" ht="15.75" customHeight="1" x14ac:dyDescent="0.35">
      <c r="P439" s="17"/>
      <c r="Q439" s="17"/>
      <c r="R439" s="17"/>
      <c r="S439" s="17"/>
    </row>
    <row r="440" spans="16:19" ht="15.75" customHeight="1" x14ac:dyDescent="0.35">
      <c r="P440" s="17"/>
      <c r="Q440" s="17"/>
      <c r="R440" s="17"/>
      <c r="S440" s="17"/>
    </row>
    <row r="441" spans="16:19" ht="15.75" customHeight="1" x14ac:dyDescent="0.35">
      <c r="P441" s="17"/>
      <c r="Q441" s="17"/>
      <c r="R441" s="17"/>
      <c r="S441" s="17"/>
    </row>
    <row r="442" spans="16:19" ht="15.75" customHeight="1" x14ac:dyDescent="0.35">
      <c r="P442" s="17"/>
      <c r="Q442" s="17"/>
      <c r="R442" s="17"/>
      <c r="S442" s="17"/>
    </row>
    <row r="443" spans="16:19" ht="15.75" customHeight="1" x14ac:dyDescent="0.35">
      <c r="P443" s="17"/>
      <c r="Q443" s="17"/>
      <c r="R443" s="17"/>
      <c r="S443" s="17"/>
    </row>
    <row r="444" spans="16:19" ht="15.75" customHeight="1" x14ac:dyDescent="0.35">
      <c r="P444" s="17"/>
      <c r="Q444" s="17"/>
      <c r="R444" s="17"/>
      <c r="S444" s="17"/>
    </row>
    <row r="445" spans="16:19" ht="15.75" customHeight="1" x14ac:dyDescent="0.35">
      <c r="P445" s="17"/>
      <c r="Q445" s="17"/>
      <c r="R445" s="17"/>
      <c r="S445" s="17"/>
    </row>
    <row r="446" spans="16:19" ht="15.75" customHeight="1" x14ac:dyDescent="0.35">
      <c r="P446" s="17"/>
      <c r="Q446" s="17"/>
      <c r="R446" s="17"/>
      <c r="S446" s="17"/>
    </row>
    <row r="447" spans="16:19" ht="15.75" customHeight="1" x14ac:dyDescent="0.35">
      <c r="P447" s="17"/>
      <c r="Q447" s="17"/>
      <c r="R447" s="17"/>
      <c r="S447" s="17"/>
    </row>
    <row r="448" spans="16:19" ht="15.75" customHeight="1" x14ac:dyDescent="0.35">
      <c r="P448" s="17"/>
      <c r="Q448" s="17"/>
      <c r="R448" s="17"/>
      <c r="S448" s="17"/>
    </row>
    <row r="449" spans="16:19" ht="15.75" customHeight="1" x14ac:dyDescent="0.35">
      <c r="P449" s="17"/>
      <c r="Q449" s="17"/>
      <c r="R449" s="17"/>
      <c r="S449" s="17"/>
    </row>
    <row r="450" spans="16:19" ht="15.75" customHeight="1" x14ac:dyDescent="0.35">
      <c r="P450" s="17"/>
      <c r="Q450" s="17"/>
      <c r="R450" s="17"/>
      <c r="S450" s="17"/>
    </row>
    <row r="451" spans="16:19" ht="15.75" customHeight="1" x14ac:dyDescent="0.35">
      <c r="P451" s="17"/>
      <c r="Q451" s="17"/>
      <c r="R451" s="17"/>
      <c r="S451" s="17"/>
    </row>
    <row r="452" spans="16:19" ht="15.75" customHeight="1" x14ac:dyDescent="0.35">
      <c r="P452" s="17"/>
      <c r="Q452" s="17"/>
      <c r="R452" s="17"/>
      <c r="S452" s="17"/>
    </row>
    <row r="453" spans="16:19" ht="15.75" customHeight="1" x14ac:dyDescent="0.35">
      <c r="P453" s="17"/>
      <c r="Q453" s="17"/>
      <c r="R453" s="17"/>
      <c r="S453" s="17"/>
    </row>
    <row r="454" spans="16:19" ht="15.75" customHeight="1" x14ac:dyDescent="0.35">
      <c r="P454" s="17"/>
      <c r="Q454" s="17"/>
      <c r="R454" s="17"/>
      <c r="S454" s="17"/>
    </row>
    <row r="455" spans="16:19" ht="15.75" customHeight="1" x14ac:dyDescent="0.35">
      <c r="P455" s="17"/>
      <c r="Q455" s="17"/>
      <c r="R455" s="17"/>
      <c r="S455" s="17"/>
    </row>
    <row r="456" spans="16:19" ht="15.75" customHeight="1" x14ac:dyDescent="0.35">
      <c r="P456" s="17"/>
      <c r="Q456" s="17"/>
      <c r="R456" s="17"/>
      <c r="S456" s="17"/>
    </row>
    <row r="457" spans="16:19" ht="15.75" customHeight="1" x14ac:dyDescent="0.35">
      <c r="P457" s="17"/>
      <c r="Q457" s="17"/>
      <c r="R457" s="17"/>
      <c r="S457" s="17"/>
    </row>
    <row r="458" spans="16:19" ht="15.75" customHeight="1" x14ac:dyDescent="0.35">
      <c r="P458" s="17"/>
      <c r="Q458" s="17"/>
      <c r="R458" s="17"/>
      <c r="S458" s="17"/>
    </row>
    <row r="459" spans="16:19" ht="15.75" customHeight="1" x14ac:dyDescent="0.35">
      <c r="P459" s="17"/>
      <c r="Q459" s="17"/>
      <c r="R459" s="17"/>
      <c r="S459" s="17"/>
    </row>
    <row r="460" spans="16:19" ht="15.75" customHeight="1" x14ac:dyDescent="0.35">
      <c r="P460" s="17"/>
      <c r="Q460" s="17"/>
      <c r="R460" s="17"/>
      <c r="S460" s="17"/>
    </row>
    <row r="461" spans="16:19" ht="15.75" customHeight="1" x14ac:dyDescent="0.35">
      <c r="P461" s="17"/>
      <c r="Q461" s="17"/>
      <c r="R461" s="17"/>
      <c r="S461" s="17"/>
    </row>
    <row r="462" spans="16:19" ht="15.75" customHeight="1" x14ac:dyDescent="0.35">
      <c r="P462" s="17"/>
      <c r="Q462" s="17"/>
      <c r="R462" s="17"/>
      <c r="S462" s="17"/>
    </row>
    <row r="463" spans="16:19" ht="15.75" customHeight="1" x14ac:dyDescent="0.35">
      <c r="P463" s="17"/>
      <c r="Q463" s="17"/>
      <c r="R463" s="17"/>
      <c r="S463" s="17"/>
    </row>
    <row r="464" spans="16:19" ht="15.75" customHeight="1" x14ac:dyDescent="0.35">
      <c r="P464" s="17"/>
      <c r="Q464" s="17"/>
      <c r="R464" s="17"/>
      <c r="S464" s="17"/>
    </row>
    <row r="465" spans="16:19" ht="15.75" customHeight="1" x14ac:dyDescent="0.35">
      <c r="P465" s="17"/>
      <c r="Q465" s="17"/>
      <c r="R465" s="17"/>
      <c r="S465" s="17"/>
    </row>
    <row r="466" spans="16:19" ht="15.75" customHeight="1" x14ac:dyDescent="0.35">
      <c r="P466" s="17"/>
      <c r="Q466" s="17"/>
      <c r="R466" s="17"/>
      <c r="S466" s="17"/>
    </row>
    <row r="467" spans="16:19" ht="15.75" customHeight="1" x14ac:dyDescent="0.35">
      <c r="P467" s="17"/>
      <c r="Q467" s="17"/>
      <c r="R467" s="17"/>
      <c r="S467" s="17"/>
    </row>
    <row r="468" spans="16:19" ht="15.75" customHeight="1" x14ac:dyDescent="0.35">
      <c r="P468" s="17"/>
      <c r="Q468" s="17"/>
      <c r="R468" s="17"/>
      <c r="S468" s="17"/>
    </row>
    <row r="469" spans="16:19" ht="15.75" customHeight="1" x14ac:dyDescent="0.35">
      <c r="P469" s="17"/>
      <c r="Q469" s="17"/>
      <c r="R469" s="17"/>
      <c r="S469" s="17"/>
    </row>
    <row r="470" spans="16:19" ht="15.75" customHeight="1" x14ac:dyDescent="0.35">
      <c r="P470" s="17"/>
      <c r="Q470" s="17"/>
      <c r="R470" s="17"/>
      <c r="S470" s="17"/>
    </row>
    <row r="471" spans="16:19" ht="15.75" customHeight="1" x14ac:dyDescent="0.35">
      <c r="P471" s="17"/>
      <c r="Q471" s="17"/>
      <c r="R471" s="17"/>
      <c r="S471" s="17"/>
    </row>
    <row r="472" spans="16:19" ht="15.75" customHeight="1" x14ac:dyDescent="0.35">
      <c r="P472" s="17"/>
      <c r="Q472" s="17"/>
      <c r="R472" s="17"/>
      <c r="S472" s="17"/>
    </row>
    <row r="473" spans="16:19" ht="15.75" customHeight="1" x14ac:dyDescent="0.35">
      <c r="P473" s="17"/>
      <c r="Q473" s="17"/>
      <c r="R473" s="17"/>
      <c r="S473" s="17"/>
    </row>
    <row r="474" spans="16:19" ht="15.75" customHeight="1" x14ac:dyDescent="0.35">
      <c r="P474" s="17"/>
      <c r="Q474" s="17"/>
      <c r="R474" s="17"/>
      <c r="S474" s="17"/>
    </row>
    <row r="475" spans="16:19" ht="15.75" customHeight="1" x14ac:dyDescent="0.35">
      <c r="P475" s="17"/>
      <c r="Q475" s="17"/>
      <c r="R475" s="17"/>
      <c r="S475" s="17"/>
    </row>
    <row r="476" spans="16:19" ht="15.75" customHeight="1" x14ac:dyDescent="0.35">
      <c r="P476" s="17"/>
      <c r="Q476" s="17"/>
      <c r="R476" s="17"/>
      <c r="S476" s="17"/>
    </row>
    <row r="477" spans="16:19" ht="15.75" customHeight="1" x14ac:dyDescent="0.35">
      <c r="P477" s="17"/>
      <c r="Q477" s="17"/>
      <c r="R477" s="17"/>
      <c r="S477" s="17"/>
    </row>
    <row r="478" spans="16:19" ht="15.75" customHeight="1" x14ac:dyDescent="0.35">
      <c r="P478" s="17"/>
      <c r="Q478" s="17"/>
      <c r="R478" s="17"/>
      <c r="S478" s="17"/>
    </row>
    <row r="479" spans="16:19" ht="15.75" customHeight="1" x14ac:dyDescent="0.35">
      <c r="P479" s="17"/>
      <c r="Q479" s="17"/>
      <c r="R479" s="17"/>
      <c r="S479" s="17"/>
    </row>
    <row r="480" spans="16:19" ht="15.75" customHeight="1" x14ac:dyDescent="0.35">
      <c r="P480" s="17"/>
      <c r="Q480" s="17"/>
      <c r="R480" s="17"/>
      <c r="S480" s="17"/>
    </row>
    <row r="481" spans="16:19" ht="15.75" customHeight="1" x14ac:dyDescent="0.35">
      <c r="P481" s="17"/>
      <c r="Q481" s="17"/>
      <c r="R481" s="17"/>
      <c r="S481" s="17"/>
    </row>
    <row r="482" spans="16:19" ht="15.75" customHeight="1" x14ac:dyDescent="0.35">
      <c r="P482" s="17"/>
      <c r="Q482" s="17"/>
      <c r="R482" s="17"/>
      <c r="S482" s="17"/>
    </row>
    <row r="483" spans="16:19" ht="15.75" customHeight="1" x14ac:dyDescent="0.35">
      <c r="P483" s="17"/>
      <c r="Q483" s="17"/>
      <c r="R483" s="17"/>
      <c r="S483" s="17"/>
    </row>
    <row r="484" spans="16:19" ht="15.75" customHeight="1" x14ac:dyDescent="0.35">
      <c r="P484" s="17"/>
      <c r="Q484" s="17"/>
      <c r="R484" s="17"/>
      <c r="S484" s="17"/>
    </row>
    <row r="485" spans="16:19" ht="15.75" customHeight="1" x14ac:dyDescent="0.35">
      <c r="P485" s="17"/>
      <c r="Q485" s="17"/>
      <c r="R485" s="17"/>
      <c r="S485" s="17"/>
    </row>
    <row r="486" spans="16:19" ht="15.75" customHeight="1" x14ac:dyDescent="0.35">
      <c r="P486" s="17"/>
      <c r="Q486" s="17"/>
      <c r="R486" s="17"/>
      <c r="S486" s="17"/>
    </row>
    <row r="487" spans="16:19" ht="15.75" customHeight="1" x14ac:dyDescent="0.35">
      <c r="P487" s="17"/>
      <c r="Q487" s="17"/>
      <c r="R487" s="17"/>
      <c r="S487" s="17"/>
    </row>
    <row r="488" spans="16:19" ht="15.75" customHeight="1" x14ac:dyDescent="0.35">
      <c r="P488" s="17"/>
      <c r="Q488" s="17"/>
      <c r="R488" s="17"/>
      <c r="S488" s="17"/>
    </row>
    <row r="489" spans="16:19" ht="15.75" customHeight="1" x14ac:dyDescent="0.35">
      <c r="P489" s="17"/>
      <c r="Q489" s="17"/>
      <c r="R489" s="17"/>
      <c r="S489" s="17"/>
    </row>
    <row r="490" spans="16:19" ht="15.75" customHeight="1" x14ac:dyDescent="0.35">
      <c r="P490" s="17"/>
      <c r="Q490" s="17"/>
      <c r="R490" s="17"/>
      <c r="S490" s="17"/>
    </row>
    <row r="491" spans="16:19" ht="15.75" customHeight="1" x14ac:dyDescent="0.35">
      <c r="P491" s="17"/>
      <c r="Q491" s="17"/>
      <c r="R491" s="17"/>
      <c r="S491" s="17"/>
    </row>
    <row r="492" spans="16:19" ht="15.75" customHeight="1" x14ac:dyDescent="0.35">
      <c r="P492" s="17"/>
      <c r="Q492" s="17"/>
      <c r="R492" s="17"/>
      <c r="S492" s="17"/>
    </row>
    <row r="493" spans="16:19" ht="15.75" customHeight="1" x14ac:dyDescent="0.35">
      <c r="P493" s="17"/>
      <c r="Q493" s="17"/>
      <c r="R493" s="17"/>
      <c r="S493" s="17"/>
    </row>
    <row r="494" spans="16:19" ht="15.75" customHeight="1" x14ac:dyDescent="0.35">
      <c r="P494" s="17"/>
      <c r="Q494" s="17"/>
      <c r="R494" s="17"/>
      <c r="S494" s="17"/>
    </row>
    <row r="495" spans="16:19" ht="15.75" customHeight="1" x14ac:dyDescent="0.35">
      <c r="P495" s="17"/>
      <c r="Q495" s="17"/>
      <c r="R495" s="17"/>
      <c r="S495" s="17"/>
    </row>
    <row r="496" spans="16:19" ht="15.75" customHeight="1" x14ac:dyDescent="0.35">
      <c r="P496" s="17"/>
      <c r="Q496" s="17"/>
      <c r="R496" s="17"/>
      <c r="S496" s="17"/>
    </row>
    <row r="497" spans="16:19" ht="15.75" customHeight="1" x14ac:dyDescent="0.35">
      <c r="P497" s="17"/>
      <c r="Q497" s="17"/>
      <c r="R497" s="17"/>
      <c r="S497" s="17"/>
    </row>
    <row r="498" spans="16:19" ht="15.75" customHeight="1" x14ac:dyDescent="0.35">
      <c r="P498" s="17"/>
      <c r="Q498" s="17"/>
      <c r="R498" s="17"/>
      <c r="S498" s="17"/>
    </row>
    <row r="499" spans="16:19" ht="15.75" customHeight="1" x14ac:dyDescent="0.35">
      <c r="P499" s="17"/>
      <c r="Q499" s="17"/>
      <c r="R499" s="17"/>
      <c r="S499" s="17"/>
    </row>
    <row r="500" spans="16:19" ht="15.75" customHeight="1" x14ac:dyDescent="0.35">
      <c r="P500" s="17"/>
      <c r="Q500" s="17"/>
      <c r="R500" s="17"/>
      <c r="S500" s="17"/>
    </row>
    <row r="501" spans="16:19" ht="15.75" customHeight="1" x14ac:dyDescent="0.35">
      <c r="P501" s="17"/>
      <c r="Q501" s="17"/>
      <c r="R501" s="17"/>
      <c r="S501" s="17"/>
    </row>
    <row r="502" spans="16:19" ht="15.75" customHeight="1" x14ac:dyDescent="0.35">
      <c r="P502" s="17"/>
      <c r="Q502" s="17"/>
      <c r="R502" s="17"/>
      <c r="S502" s="17"/>
    </row>
    <row r="503" spans="16:19" ht="15.75" customHeight="1" x14ac:dyDescent="0.35">
      <c r="P503" s="17"/>
      <c r="Q503" s="17"/>
      <c r="R503" s="17"/>
      <c r="S503" s="17"/>
    </row>
    <row r="504" spans="16:19" ht="15.75" customHeight="1" x14ac:dyDescent="0.35">
      <c r="P504" s="17"/>
      <c r="Q504" s="17"/>
      <c r="R504" s="17"/>
      <c r="S504" s="17"/>
    </row>
    <row r="505" spans="16:19" ht="15.75" customHeight="1" x14ac:dyDescent="0.35">
      <c r="P505" s="17"/>
      <c r="Q505" s="17"/>
      <c r="R505" s="17"/>
      <c r="S505" s="17"/>
    </row>
    <row r="506" spans="16:19" ht="15.75" customHeight="1" x14ac:dyDescent="0.35">
      <c r="P506" s="17"/>
      <c r="Q506" s="17"/>
      <c r="R506" s="17"/>
      <c r="S506" s="17"/>
    </row>
    <row r="507" spans="16:19" ht="15.75" customHeight="1" x14ac:dyDescent="0.35">
      <c r="P507" s="17"/>
      <c r="Q507" s="17"/>
      <c r="R507" s="17"/>
      <c r="S507" s="17"/>
    </row>
    <row r="508" spans="16:19" ht="15.75" customHeight="1" x14ac:dyDescent="0.35">
      <c r="P508" s="17"/>
      <c r="Q508" s="17"/>
      <c r="R508" s="17"/>
      <c r="S508" s="17"/>
    </row>
    <row r="509" spans="16:19" ht="15.75" customHeight="1" x14ac:dyDescent="0.35">
      <c r="P509" s="17"/>
      <c r="Q509" s="17"/>
      <c r="R509" s="17"/>
      <c r="S509" s="17"/>
    </row>
    <row r="510" spans="16:19" ht="15.75" customHeight="1" x14ac:dyDescent="0.35">
      <c r="P510" s="17"/>
      <c r="Q510" s="17"/>
      <c r="R510" s="17"/>
      <c r="S510" s="17"/>
    </row>
    <row r="511" spans="16:19" ht="15.75" customHeight="1" x14ac:dyDescent="0.35">
      <c r="P511" s="17"/>
      <c r="Q511" s="17"/>
      <c r="R511" s="17"/>
      <c r="S511" s="17"/>
    </row>
    <row r="512" spans="16:19" ht="15.75" customHeight="1" x14ac:dyDescent="0.35">
      <c r="P512" s="17"/>
      <c r="Q512" s="17"/>
      <c r="R512" s="17"/>
      <c r="S512" s="17"/>
    </row>
    <row r="513" spans="16:19" ht="15.75" customHeight="1" x14ac:dyDescent="0.35">
      <c r="P513" s="17"/>
      <c r="Q513" s="17"/>
      <c r="R513" s="17"/>
      <c r="S513" s="17"/>
    </row>
    <row r="514" spans="16:19" ht="15.75" customHeight="1" x14ac:dyDescent="0.35">
      <c r="P514" s="17"/>
      <c r="Q514" s="17"/>
      <c r="R514" s="17"/>
      <c r="S514" s="17"/>
    </row>
    <row r="515" spans="16:19" ht="15.75" customHeight="1" x14ac:dyDescent="0.35">
      <c r="P515" s="17"/>
      <c r="Q515" s="17"/>
      <c r="R515" s="17"/>
      <c r="S515" s="17"/>
    </row>
    <row r="516" spans="16:19" ht="15.75" customHeight="1" x14ac:dyDescent="0.35">
      <c r="P516" s="17"/>
      <c r="Q516" s="17"/>
      <c r="R516" s="17"/>
      <c r="S516" s="17"/>
    </row>
    <row r="517" spans="16:19" ht="15.75" customHeight="1" x14ac:dyDescent="0.35">
      <c r="P517" s="17"/>
      <c r="Q517" s="17"/>
      <c r="R517" s="17"/>
      <c r="S517" s="17"/>
    </row>
    <row r="518" spans="16:19" ht="15.75" customHeight="1" x14ac:dyDescent="0.35">
      <c r="P518" s="17"/>
      <c r="Q518" s="17"/>
      <c r="R518" s="17"/>
      <c r="S518" s="17"/>
    </row>
    <row r="519" spans="16:19" ht="15.75" customHeight="1" x14ac:dyDescent="0.35">
      <c r="P519" s="17"/>
      <c r="Q519" s="17"/>
      <c r="R519" s="17"/>
      <c r="S519" s="17"/>
    </row>
    <row r="520" spans="16:19" ht="15.75" customHeight="1" x14ac:dyDescent="0.35">
      <c r="P520" s="17"/>
      <c r="Q520" s="17"/>
      <c r="R520" s="17"/>
      <c r="S520" s="17"/>
    </row>
    <row r="521" spans="16:19" ht="15.75" customHeight="1" x14ac:dyDescent="0.35">
      <c r="P521" s="17"/>
      <c r="Q521" s="17"/>
      <c r="R521" s="17"/>
      <c r="S521" s="17"/>
    </row>
    <row r="522" spans="16:19" ht="15.75" customHeight="1" x14ac:dyDescent="0.35">
      <c r="P522" s="17"/>
      <c r="Q522" s="17"/>
      <c r="R522" s="17"/>
      <c r="S522" s="17"/>
    </row>
    <row r="523" spans="16:19" ht="15.75" customHeight="1" x14ac:dyDescent="0.35">
      <c r="P523" s="17"/>
      <c r="Q523" s="17"/>
      <c r="R523" s="17"/>
      <c r="S523" s="17"/>
    </row>
    <row r="524" spans="16:19" ht="15.75" customHeight="1" x14ac:dyDescent="0.35">
      <c r="P524" s="17"/>
      <c r="Q524" s="17"/>
      <c r="R524" s="17"/>
      <c r="S524" s="17"/>
    </row>
    <row r="525" spans="16:19" ht="15.75" customHeight="1" x14ac:dyDescent="0.35">
      <c r="P525" s="17"/>
      <c r="Q525" s="17"/>
      <c r="R525" s="17"/>
      <c r="S525" s="17"/>
    </row>
    <row r="526" spans="16:19" ht="15.75" customHeight="1" x14ac:dyDescent="0.35">
      <c r="P526" s="17"/>
      <c r="Q526" s="17"/>
      <c r="R526" s="17"/>
      <c r="S526" s="17"/>
    </row>
    <row r="527" spans="16:19" ht="15.75" customHeight="1" x14ac:dyDescent="0.35">
      <c r="P527" s="17"/>
      <c r="Q527" s="17"/>
      <c r="R527" s="17"/>
      <c r="S527" s="17"/>
    </row>
    <row r="528" spans="16:19" ht="15.75" customHeight="1" x14ac:dyDescent="0.35">
      <c r="P528" s="17"/>
      <c r="Q528" s="17"/>
      <c r="R528" s="17"/>
      <c r="S528" s="17"/>
    </row>
    <row r="529" spans="16:19" ht="15.75" customHeight="1" x14ac:dyDescent="0.35">
      <c r="P529" s="17"/>
      <c r="Q529" s="17"/>
      <c r="R529" s="17"/>
      <c r="S529" s="17"/>
    </row>
    <row r="530" spans="16:19" ht="15.75" customHeight="1" x14ac:dyDescent="0.35">
      <c r="P530" s="17"/>
      <c r="Q530" s="17"/>
      <c r="R530" s="17"/>
      <c r="S530" s="17"/>
    </row>
    <row r="531" spans="16:19" ht="15.75" customHeight="1" x14ac:dyDescent="0.35">
      <c r="P531" s="17"/>
      <c r="Q531" s="17"/>
      <c r="R531" s="17"/>
      <c r="S531" s="17"/>
    </row>
    <row r="532" spans="16:19" ht="15.75" customHeight="1" x14ac:dyDescent="0.35">
      <c r="P532" s="17"/>
      <c r="Q532" s="17"/>
      <c r="R532" s="17"/>
      <c r="S532" s="17"/>
    </row>
    <row r="533" spans="16:19" ht="15.75" customHeight="1" x14ac:dyDescent="0.35">
      <c r="P533" s="17"/>
      <c r="Q533" s="17"/>
      <c r="R533" s="17"/>
      <c r="S533" s="17"/>
    </row>
    <row r="534" spans="16:19" ht="15.75" customHeight="1" x14ac:dyDescent="0.35">
      <c r="P534" s="17"/>
      <c r="Q534" s="17"/>
      <c r="R534" s="17"/>
      <c r="S534" s="17"/>
    </row>
    <row r="535" spans="16:19" ht="15.75" customHeight="1" x14ac:dyDescent="0.35">
      <c r="P535" s="17"/>
      <c r="Q535" s="17"/>
      <c r="R535" s="17"/>
      <c r="S535" s="17"/>
    </row>
    <row r="536" spans="16:19" ht="15.75" customHeight="1" x14ac:dyDescent="0.35">
      <c r="P536" s="17"/>
      <c r="Q536" s="17"/>
      <c r="R536" s="17"/>
      <c r="S536" s="17"/>
    </row>
    <row r="537" spans="16:19" ht="15.75" customHeight="1" x14ac:dyDescent="0.35">
      <c r="P537" s="17"/>
      <c r="Q537" s="17"/>
      <c r="R537" s="17"/>
      <c r="S537" s="17"/>
    </row>
    <row r="538" spans="16:19" ht="15.75" customHeight="1" x14ac:dyDescent="0.35">
      <c r="P538" s="17"/>
      <c r="Q538" s="17"/>
      <c r="R538" s="17"/>
      <c r="S538" s="17"/>
    </row>
    <row r="539" spans="16:19" ht="15.75" customHeight="1" x14ac:dyDescent="0.35">
      <c r="P539" s="17"/>
      <c r="Q539" s="17"/>
      <c r="R539" s="17"/>
      <c r="S539" s="17"/>
    </row>
    <row r="540" spans="16:19" ht="15.75" customHeight="1" x14ac:dyDescent="0.35">
      <c r="P540" s="17"/>
      <c r="Q540" s="17"/>
      <c r="R540" s="17"/>
      <c r="S540" s="17"/>
    </row>
    <row r="541" spans="16:19" ht="15.75" customHeight="1" x14ac:dyDescent="0.35">
      <c r="P541" s="17"/>
      <c r="Q541" s="17"/>
      <c r="R541" s="17"/>
      <c r="S541" s="17"/>
    </row>
    <row r="542" spans="16:19" ht="15.75" customHeight="1" x14ac:dyDescent="0.35">
      <c r="P542" s="17"/>
      <c r="Q542" s="17"/>
      <c r="R542" s="17"/>
      <c r="S542" s="17"/>
    </row>
    <row r="543" spans="16:19" ht="15.75" customHeight="1" x14ac:dyDescent="0.35">
      <c r="P543" s="17"/>
      <c r="Q543" s="17"/>
      <c r="R543" s="17"/>
      <c r="S543" s="17"/>
    </row>
    <row r="544" spans="16:19" ht="15.75" customHeight="1" x14ac:dyDescent="0.35">
      <c r="P544" s="17"/>
      <c r="Q544" s="17"/>
      <c r="R544" s="17"/>
      <c r="S544" s="17"/>
    </row>
    <row r="545" spans="16:19" ht="15.75" customHeight="1" x14ac:dyDescent="0.35">
      <c r="P545" s="17"/>
      <c r="Q545" s="17"/>
      <c r="R545" s="17"/>
      <c r="S545" s="17"/>
    </row>
    <row r="546" spans="16:19" ht="15.75" customHeight="1" x14ac:dyDescent="0.35">
      <c r="P546" s="17"/>
      <c r="Q546" s="17"/>
      <c r="R546" s="17"/>
      <c r="S546" s="17"/>
    </row>
    <row r="547" spans="16:19" ht="15.75" customHeight="1" x14ac:dyDescent="0.35">
      <c r="P547" s="17"/>
      <c r="Q547" s="17"/>
      <c r="R547" s="17"/>
      <c r="S547" s="17"/>
    </row>
    <row r="548" spans="16:19" ht="15.75" customHeight="1" x14ac:dyDescent="0.35">
      <c r="P548" s="17"/>
      <c r="Q548" s="17"/>
      <c r="R548" s="17"/>
      <c r="S548" s="17"/>
    </row>
    <row r="549" spans="16:19" ht="15.75" customHeight="1" x14ac:dyDescent="0.35">
      <c r="P549" s="17"/>
      <c r="Q549" s="17"/>
      <c r="R549" s="17"/>
      <c r="S549" s="17"/>
    </row>
    <row r="550" spans="16:19" ht="15.75" customHeight="1" x14ac:dyDescent="0.35">
      <c r="P550" s="17"/>
      <c r="Q550" s="17"/>
      <c r="R550" s="17"/>
      <c r="S550" s="17"/>
    </row>
    <row r="551" spans="16:19" ht="15.75" customHeight="1" x14ac:dyDescent="0.35">
      <c r="P551" s="17"/>
      <c r="Q551" s="17"/>
      <c r="R551" s="17"/>
      <c r="S551" s="17"/>
    </row>
    <row r="552" spans="16:19" ht="15.75" customHeight="1" x14ac:dyDescent="0.35">
      <c r="P552" s="17"/>
      <c r="Q552" s="17"/>
      <c r="R552" s="17"/>
      <c r="S552" s="17"/>
    </row>
    <row r="553" spans="16:19" ht="15.75" customHeight="1" x14ac:dyDescent="0.35">
      <c r="P553" s="17"/>
      <c r="Q553" s="17"/>
      <c r="R553" s="17"/>
      <c r="S553" s="17"/>
    </row>
    <row r="554" spans="16:19" ht="15.75" customHeight="1" x14ac:dyDescent="0.35">
      <c r="P554" s="17"/>
      <c r="Q554" s="17"/>
      <c r="R554" s="17"/>
      <c r="S554" s="17"/>
    </row>
    <row r="555" spans="16:19" ht="15.75" customHeight="1" x14ac:dyDescent="0.35">
      <c r="P555" s="17"/>
      <c r="Q555" s="17"/>
      <c r="R555" s="17"/>
      <c r="S555" s="17"/>
    </row>
    <row r="556" spans="16:19" ht="15.75" customHeight="1" x14ac:dyDescent="0.35">
      <c r="P556" s="17"/>
      <c r="Q556" s="17"/>
      <c r="R556" s="17"/>
      <c r="S556" s="17"/>
    </row>
    <row r="557" spans="16:19" ht="15.75" customHeight="1" x14ac:dyDescent="0.35">
      <c r="P557" s="17"/>
      <c r="Q557" s="17"/>
      <c r="R557" s="17"/>
      <c r="S557" s="17"/>
    </row>
    <row r="558" spans="16:19" ht="15.75" customHeight="1" x14ac:dyDescent="0.35">
      <c r="P558" s="17"/>
      <c r="Q558" s="17"/>
      <c r="R558" s="17"/>
      <c r="S558" s="17"/>
    </row>
    <row r="559" spans="16:19" ht="15.75" customHeight="1" x14ac:dyDescent="0.35">
      <c r="P559" s="17"/>
      <c r="Q559" s="17"/>
      <c r="R559" s="17"/>
      <c r="S559" s="17"/>
    </row>
    <row r="560" spans="16:19" ht="15.75" customHeight="1" x14ac:dyDescent="0.35">
      <c r="P560" s="17"/>
      <c r="Q560" s="17"/>
      <c r="R560" s="17"/>
      <c r="S560" s="17"/>
    </row>
    <row r="561" spans="16:19" ht="15.75" customHeight="1" x14ac:dyDescent="0.35">
      <c r="P561" s="17"/>
      <c r="Q561" s="17"/>
      <c r="R561" s="17"/>
      <c r="S561" s="17"/>
    </row>
    <row r="562" spans="16:19" ht="15.75" customHeight="1" x14ac:dyDescent="0.35">
      <c r="P562" s="17"/>
      <c r="Q562" s="17"/>
      <c r="R562" s="17"/>
      <c r="S562" s="17"/>
    </row>
    <row r="563" spans="16:19" ht="15.75" customHeight="1" x14ac:dyDescent="0.35">
      <c r="P563" s="17"/>
      <c r="Q563" s="17"/>
      <c r="R563" s="17"/>
      <c r="S563" s="17"/>
    </row>
    <row r="564" spans="16:19" ht="15.75" customHeight="1" x14ac:dyDescent="0.35">
      <c r="P564" s="17"/>
      <c r="Q564" s="17"/>
      <c r="R564" s="17"/>
      <c r="S564" s="17"/>
    </row>
    <row r="565" spans="16:19" ht="15.75" customHeight="1" x14ac:dyDescent="0.35">
      <c r="P565" s="17"/>
      <c r="Q565" s="17"/>
      <c r="R565" s="17"/>
      <c r="S565" s="17"/>
    </row>
    <row r="566" spans="16:19" ht="15.75" customHeight="1" x14ac:dyDescent="0.35">
      <c r="P566" s="17"/>
      <c r="Q566" s="17"/>
      <c r="R566" s="17"/>
      <c r="S566" s="17"/>
    </row>
    <row r="567" spans="16:19" ht="15.75" customHeight="1" x14ac:dyDescent="0.35">
      <c r="P567" s="17"/>
      <c r="Q567" s="17"/>
      <c r="R567" s="17"/>
      <c r="S567" s="17"/>
    </row>
    <row r="568" spans="16:19" ht="15.75" customHeight="1" x14ac:dyDescent="0.35">
      <c r="P568" s="17"/>
      <c r="Q568" s="17"/>
      <c r="R568" s="17"/>
      <c r="S568" s="17"/>
    </row>
    <row r="569" spans="16:19" ht="15.75" customHeight="1" x14ac:dyDescent="0.35">
      <c r="P569" s="17"/>
      <c r="Q569" s="17"/>
      <c r="R569" s="17"/>
      <c r="S569" s="17"/>
    </row>
    <row r="570" spans="16:19" ht="15.75" customHeight="1" x14ac:dyDescent="0.35">
      <c r="P570" s="17"/>
      <c r="Q570" s="17"/>
      <c r="R570" s="17"/>
      <c r="S570" s="17"/>
    </row>
    <row r="571" spans="16:19" ht="15.75" customHeight="1" x14ac:dyDescent="0.35">
      <c r="P571" s="17"/>
      <c r="Q571" s="17"/>
      <c r="R571" s="17"/>
      <c r="S571" s="17"/>
    </row>
    <row r="572" spans="16:19" ht="15.75" customHeight="1" x14ac:dyDescent="0.35">
      <c r="P572" s="17"/>
      <c r="Q572" s="17"/>
      <c r="R572" s="17"/>
      <c r="S572" s="17"/>
    </row>
    <row r="573" spans="16:19" ht="15.75" customHeight="1" x14ac:dyDescent="0.35">
      <c r="P573" s="17"/>
      <c r="Q573" s="17"/>
      <c r="R573" s="17"/>
      <c r="S573" s="17"/>
    </row>
    <row r="574" spans="16:19" ht="15.75" customHeight="1" x14ac:dyDescent="0.35">
      <c r="P574" s="17"/>
      <c r="Q574" s="17"/>
      <c r="R574" s="17"/>
      <c r="S574" s="17"/>
    </row>
    <row r="575" spans="16:19" ht="15.75" customHeight="1" x14ac:dyDescent="0.35">
      <c r="P575" s="17"/>
      <c r="Q575" s="17"/>
      <c r="R575" s="17"/>
      <c r="S575" s="17"/>
    </row>
    <row r="576" spans="16:19" ht="15.75" customHeight="1" x14ac:dyDescent="0.35">
      <c r="P576" s="17"/>
      <c r="Q576" s="17"/>
      <c r="R576" s="17"/>
      <c r="S576" s="17"/>
    </row>
    <row r="577" spans="16:19" ht="15.75" customHeight="1" x14ac:dyDescent="0.35">
      <c r="P577" s="17"/>
      <c r="Q577" s="17"/>
      <c r="R577" s="17"/>
      <c r="S577" s="17"/>
    </row>
    <row r="578" spans="16:19" ht="15.75" customHeight="1" x14ac:dyDescent="0.35">
      <c r="P578" s="17"/>
      <c r="Q578" s="17"/>
      <c r="R578" s="17"/>
      <c r="S578" s="17"/>
    </row>
    <row r="579" spans="16:19" ht="15.75" customHeight="1" x14ac:dyDescent="0.35">
      <c r="P579" s="17"/>
      <c r="Q579" s="17"/>
      <c r="R579" s="17"/>
      <c r="S579" s="17"/>
    </row>
    <row r="580" spans="16:19" ht="15.75" customHeight="1" x14ac:dyDescent="0.35">
      <c r="P580" s="17"/>
      <c r="Q580" s="17"/>
      <c r="R580" s="17"/>
      <c r="S580" s="17"/>
    </row>
    <row r="581" spans="16:19" ht="15.75" customHeight="1" x14ac:dyDescent="0.35">
      <c r="P581" s="17"/>
      <c r="Q581" s="17"/>
      <c r="R581" s="17"/>
      <c r="S581" s="17"/>
    </row>
    <row r="582" spans="16:19" ht="15.75" customHeight="1" x14ac:dyDescent="0.35">
      <c r="P582" s="17"/>
      <c r="Q582" s="17"/>
      <c r="R582" s="17"/>
      <c r="S582" s="17"/>
    </row>
    <row r="583" spans="16:19" ht="15.75" customHeight="1" x14ac:dyDescent="0.35">
      <c r="P583" s="17"/>
      <c r="Q583" s="17"/>
      <c r="R583" s="17"/>
      <c r="S583" s="17"/>
    </row>
    <row r="584" spans="16:19" ht="15.75" customHeight="1" x14ac:dyDescent="0.35">
      <c r="P584" s="17"/>
      <c r="Q584" s="17"/>
      <c r="R584" s="17"/>
      <c r="S584" s="17"/>
    </row>
    <row r="585" spans="16:19" ht="15.75" customHeight="1" x14ac:dyDescent="0.35">
      <c r="P585" s="17"/>
      <c r="Q585" s="17"/>
      <c r="R585" s="17"/>
      <c r="S585" s="17"/>
    </row>
    <row r="586" spans="16:19" ht="15.75" customHeight="1" x14ac:dyDescent="0.35">
      <c r="P586" s="17"/>
      <c r="Q586" s="17"/>
      <c r="R586" s="17"/>
      <c r="S586" s="17"/>
    </row>
    <row r="587" spans="16:19" ht="15.75" customHeight="1" x14ac:dyDescent="0.35">
      <c r="P587" s="17"/>
      <c r="Q587" s="17"/>
      <c r="R587" s="17"/>
      <c r="S587" s="17"/>
    </row>
    <row r="588" spans="16:19" ht="15.75" customHeight="1" x14ac:dyDescent="0.35">
      <c r="P588" s="17"/>
      <c r="Q588" s="17"/>
      <c r="R588" s="17"/>
      <c r="S588" s="17"/>
    </row>
    <row r="589" spans="16:19" ht="15.75" customHeight="1" x14ac:dyDescent="0.35">
      <c r="P589" s="17"/>
      <c r="Q589" s="17"/>
      <c r="R589" s="17"/>
      <c r="S589" s="17"/>
    </row>
    <row r="590" spans="16:19" ht="15.75" customHeight="1" x14ac:dyDescent="0.35">
      <c r="P590" s="17"/>
      <c r="Q590" s="17"/>
      <c r="R590" s="17"/>
      <c r="S590" s="17"/>
    </row>
    <row r="591" spans="16:19" ht="15.75" customHeight="1" x14ac:dyDescent="0.35">
      <c r="P591" s="17"/>
      <c r="Q591" s="17"/>
      <c r="R591" s="17"/>
      <c r="S591" s="17"/>
    </row>
    <row r="592" spans="16:19" ht="15.75" customHeight="1" x14ac:dyDescent="0.35">
      <c r="P592" s="17"/>
      <c r="Q592" s="17"/>
      <c r="R592" s="17"/>
      <c r="S592" s="17"/>
    </row>
    <row r="593" spans="16:19" ht="15.75" customHeight="1" x14ac:dyDescent="0.35">
      <c r="P593" s="17"/>
      <c r="Q593" s="17"/>
      <c r="R593" s="17"/>
      <c r="S593" s="17"/>
    </row>
    <row r="594" spans="16:19" ht="15.75" customHeight="1" x14ac:dyDescent="0.35">
      <c r="P594" s="17"/>
      <c r="Q594" s="17"/>
      <c r="R594" s="17"/>
      <c r="S594" s="17"/>
    </row>
    <row r="595" spans="16:19" ht="15.75" customHeight="1" x14ac:dyDescent="0.35">
      <c r="P595" s="17"/>
      <c r="Q595" s="17"/>
      <c r="R595" s="17"/>
      <c r="S595" s="17"/>
    </row>
    <row r="596" spans="16:19" ht="15.75" customHeight="1" x14ac:dyDescent="0.35">
      <c r="P596" s="17"/>
      <c r="Q596" s="17"/>
      <c r="R596" s="17"/>
      <c r="S596" s="17"/>
    </row>
    <row r="597" spans="16:19" ht="15.75" customHeight="1" x14ac:dyDescent="0.35">
      <c r="P597" s="17"/>
      <c r="Q597" s="17"/>
      <c r="R597" s="17"/>
      <c r="S597" s="17"/>
    </row>
    <row r="598" spans="16:19" ht="15.75" customHeight="1" x14ac:dyDescent="0.35">
      <c r="P598" s="17"/>
      <c r="Q598" s="17"/>
      <c r="R598" s="17"/>
      <c r="S598" s="17"/>
    </row>
    <row r="599" spans="16:19" ht="15.75" customHeight="1" x14ac:dyDescent="0.35">
      <c r="P599" s="17"/>
      <c r="Q599" s="17"/>
      <c r="R599" s="17"/>
      <c r="S599" s="17"/>
    </row>
    <row r="600" spans="16:19" ht="15.75" customHeight="1" x14ac:dyDescent="0.35">
      <c r="P600" s="17"/>
      <c r="Q600" s="17"/>
      <c r="R600" s="17"/>
      <c r="S600" s="17"/>
    </row>
    <row r="601" spans="16:19" ht="15.75" customHeight="1" x14ac:dyDescent="0.35">
      <c r="P601" s="17"/>
      <c r="Q601" s="17"/>
      <c r="R601" s="17"/>
      <c r="S601" s="17"/>
    </row>
    <row r="602" spans="16:19" ht="15.75" customHeight="1" x14ac:dyDescent="0.35">
      <c r="P602" s="17"/>
      <c r="Q602" s="17"/>
      <c r="R602" s="17"/>
      <c r="S602" s="17"/>
    </row>
    <row r="603" spans="16:19" ht="15.75" customHeight="1" x14ac:dyDescent="0.35">
      <c r="P603" s="17"/>
      <c r="Q603" s="17"/>
      <c r="R603" s="17"/>
      <c r="S603" s="17"/>
    </row>
    <row r="604" spans="16:19" ht="15.75" customHeight="1" x14ac:dyDescent="0.35">
      <c r="P604" s="17"/>
      <c r="Q604" s="17"/>
      <c r="R604" s="17"/>
      <c r="S604" s="17"/>
    </row>
    <row r="605" spans="16:19" ht="15.75" customHeight="1" x14ac:dyDescent="0.35">
      <c r="P605" s="17"/>
      <c r="Q605" s="17"/>
      <c r="R605" s="17"/>
      <c r="S605" s="17"/>
    </row>
    <row r="606" spans="16:19" ht="15.75" customHeight="1" x14ac:dyDescent="0.35">
      <c r="P606" s="17"/>
      <c r="Q606" s="17"/>
      <c r="R606" s="17"/>
      <c r="S606" s="17"/>
    </row>
    <row r="607" spans="16:19" ht="15.75" customHeight="1" x14ac:dyDescent="0.35">
      <c r="P607" s="17"/>
      <c r="Q607" s="17"/>
      <c r="R607" s="17"/>
      <c r="S607" s="17"/>
    </row>
    <row r="608" spans="16:19" ht="15.75" customHeight="1" x14ac:dyDescent="0.35">
      <c r="P608" s="17"/>
      <c r="Q608" s="17"/>
      <c r="R608" s="17"/>
      <c r="S608" s="17"/>
    </row>
    <row r="609" spans="16:19" ht="15.75" customHeight="1" x14ac:dyDescent="0.35">
      <c r="P609" s="17"/>
      <c r="Q609" s="17"/>
      <c r="R609" s="17"/>
      <c r="S609" s="17"/>
    </row>
    <row r="610" spans="16:19" ht="15.75" customHeight="1" x14ac:dyDescent="0.35">
      <c r="P610" s="17"/>
      <c r="Q610" s="17"/>
      <c r="R610" s="17"/>
      <c r="S610" s="17"/>
    </row>
    <row r="611" spans="16:19" ht="15.75" customHeight="1" x14ac:dyDescent="0.35">
      <c r="P611" s="17"/>
      <c r="Q611" s="17"/>
      <c r="R611" s="17"/>
      <c r="S611" s="17"/>
    </row>
    <row r="612" spans="16:19" ht="15.75" customHeight="1" x14ac:dyDescent="0.35">
      <c r="P612" s="17"/>
      <c r="Q612" s="17"/>
      <c r="R612" s="17"/>
      <c r="S612" s="17"/>
    </row>
    <row r="613" spans="16:19" ht="15.75" customHeight="1" x14ac:dyDescent="0.35">
      <c r="P613" s="17"/>
      <c r="Q613" s="17"/>
      <c r="R613" s="17"/>
      <c r="S613" s="17"/>
    </row>
    <row r="614" spans="16:19" ht="15.75" customHeight="1" x14ac:dyDescent="0.35">
      <c r="P614" s="17"/>
      <c r="Q614" s="17"/>
      <c r="R614" s="17"/>
      <c r="S614" s="17"/>
    </row>
    <row r="615" spans="16:19" ht="15.75" customHeight="1" x14ac:dyDescent="0.35">
      <c r="P615" s="17"/>
      <c r="Q615" s="17"/>
      <c r="R615" s="17"/>
      <c r="S615" s="17"/>
    </row>
    <row r="616" spans="16:19" ht="15.75" customHeight="1" x14ac:dyDescent="0.35">
      <c r="P616" s="17"/>
      <c r="Q616" s="17"/>
      <c r="R616" s="17"/>
      <c r="S616" s="17"/>
    </row>
    <row r="617" spans="16:19" ht="15.75" customHeight="1" x14ac:dyDescent="0.35">
      <c r="P617" s="17"/>
      <c r="Q617" s="17"/>
      <c r="R617" s="17"/>
      <c r="S617" s="17"/>
    </row>
    <row r="618" spans="16:19" ht="15.75" customHeight="1" x14ac:dyDescent="0.35">
      <c r="P618" s="17"/>
      <c r="Q618" s="17"/>
      <c r="R618" s="17"/>
      <c r="S618" s="17"/>
    </row>
    <row r="619" spans="16:19" ht="15.75" customHeight="1" x14ac:dyDescent="0.35">
      <c r="P619" s="17"/>
      <c r="Q619" s="17"/>
      <c r="R619" s="17"/>
      <c r="S619" s="17"/>
    </row>
    <row r="620" spans="16:19" ht="15.75" customHeight="1" x14ac:dyDescent="0.35">
      <c r="P620" s="17"/>
      <c r="Q620" s="17"/>
      <c r="R620" s="17"/>
      <c r="S620" s="17"/>
    </row>
    <row r="621" spans="16:19" ht="15.75" customHeight="1" x14ac:dyDescent="0.35">
      <c r="P621" s="17"/>
      <c r="Q621" s="17"/>
      <c r="R621" s="17"/>
      <c r="S621" s="17"/>
    </row>
    <row r="622" spans="16:19" ht="15.75" customHeight="1" x14ac:dyDescent="0.35">
      <c r="P622" s="17"/>
      <c r="Q622" s="17"/>
      <c r="R622" s="17"/>
      <c r="S622" s="17"/>
    </row>
    <row r="623" spans="16:19" ht="15.75" customHeight="1" x14ac:dyDescent="0.35">
      <c r="P623" s="17"/>
      <c r="Q623" s="17"/>
      <c r="R623" s="17"/>
      <c r="S623" s="17"/>
    </row>
    <row r="624" spans="16:19" ht="15.75" customHeight="1" x14ac:dyDescent="0.35">
      <c r="P624" s="17"/>
      <c r="Q624" s="17"/>
      <c r="R624" s="17"/>
      <c r="S624" s="17"/>
    </row>
    <row r="625" spans="16:19" ht="15.75" customHeight="1" x14ac:dyDescent="0.35">
      <c r="P625" s="17"/>
      <c r="Q625" s="17"/>
      <c r="R625" s="17"/>
      <c r="S625" s="17"/>
    </row>
    <row r="626" spans="16:19" ht="15.75" customHeight="1" x14ac:dyDescent="0.35">
      <c r="P626" s="17"/>
      <c r="Q626" s="17"/>
      <c r="R626" s="17"/>
      <c r="S626" s="17"/>
    </row>
    <row r="627" spans="16:19" ht="15.75" customHeight="1" x14ac:dyDescent="0.35">
      <c r="P627" s="17"/>
      <c r="Q627" s="17"/>
      <c r="R627" s="17"/>
      <c r="S627" s="17"/>
    </row>
    <row r="628" spans="16:19" ht="15.75" customHeight="1" x14ac:dyDescent="0.35">
      <c r="P628" s="17"/>
      <c r="Q628" s="17"/>
      <c r="R628" s="17"/>
      <c r="S628" s="17"/>
    </row>
    <row r="629" spans="16:19" ht="15.75" customHeight="1" x14ac:dyDescent="0.35">
      <c r="P629" s="17"/>
      <c r="Q629" s="17"/>
      <c r="R629" s="17"/>
      <c r="S629" s="17"/>
    </row>
    <row r="630" spans="16:19" ht="15.75" customHeight="1" x14ac:dyDescent="0.35">
      <c r="P630" s="17"/>
      <c r="Q630" s="17"/>
      <c r="R630" s="17"/>
      <c r="S630" s="17"/>
    </row>
    <row r="631" spans="16:19" ht="15.75" customHeight="1" x14ac:dyDescent="0.35">
      <c r="P631" s="17"/>
      <c r="Q631" s="17"/>
      <c r="R631" s="17"/>
      <c r="S631" s="17"/>
    </row>
    <row r="632" spans="16:19" ht="15.75" customHeight="1" x14ac:dyDescent="0.35">
      <c r="P632" s="17"/>
      <c r="Q632" s="17"/>
      <c r="R632" s="17"/>
      <c r="S632" s="17"/>
    </row>
    <row r="633" spans="16:19" ht="15.75" customHeight="1" x14ac:dyDescent="0.35">
      <c r="P633" s="17"/>
      <c r="Q633" s="17"/>
      <c r="R633" s="17"/>
      <c r="S633" s="17"/>
    </row>
    <row r="634" spans="16:19" ht="15.75" customHeight="1" x14ac:dyDescent="0.35">
      <c r="P634" s="17"/>
      <c r="Q634" s="17"/>
      <c r="R634" s="17"/>
      <c r="S634" s="17"/>
    </row>
    <row r="635" spans="16:19" ht="15.75" customHeight="1" x14ac:dyDescent="0.35">
      <c r="P635" s="17"/>
      <c r="Q635" s="17"/>
      <c r="R635" s="17"/>
      <c r="S635" s="17"/>
    </row>
    <row r="636" spans="16:19" ht="15.75" customHeight="1" x14ac:dyDescent="0.35">
      <c r="P636" s="17"/>
      <c r="Q636" s="17"/>
      <c r="R636" s="17"/>
      <c r="S636" s="17"/>
    </row>
    <row r="637" spans="16:19" ht="15.75" customHeight="1" x14ac:dyDescent="0.35">
      <c r="P637" s="17"/>
      <c r="Q637" s="17"/>
      <c r="R637" s="17"/>
      <c r="S637" s="17"/>
    </row>
    <row r="638" spans="16:19" ht="15.75" customHeight="1" x14ac:dyDescent="0.35">
      <c r="P638" s="17"/>
      <c r="Q638" s="17"/>
      <c r="R638" s="17"/>
      <c r="S638" s="17"/>
    </row>
    <row r="639" spans="16:19" ht="15.75" customHeight="1" x14ac:dyDescent="0.35">
      <c r="P639" s="17"/>
      <c r="Q639" s="17"/>
      <c r="R639" s="17"/>
      <c r="S639" s="17"/>
    </row>
    <row r="640" spans="16:19" ht="15.75" customHeight="1" x14ac:dyDescent="0.35">
      <c r="P640" s="17"/>
      <c r="Q640" s="17"/>
      <c r="R640" s="17"/>
      <c r="S640" s="17"/>
    </row>
    <row r="641" spans="16:19" ht="15.75" customHeight="1" x14ac:dyDescent="0.35">
      <c r="P641" s="17"/>
      <c r="Q641" s="17"/>
      <c r="R641" s="17"/>
      <c r="S641" s="17"/>
    </row>
    <row r="642" spans="16:19" ht="15.75" customHeight="1" x14ac:dyDescent="0.35">
      <c r="P642" s="17"/>
      <c r="Q642" s="17"/>
      <c r="R642" s="17"/>
      <c r="S642" s="17"/>
    </row>
    <row r="643" spans="16:19" ht="15.75" customHeight="1" x14ac:dyDescent="0.35">
      <c r="P643" s="17"/>
      <c r="Q643" s="17"/>
      <c r="R643" s="17"/>
      <c r="S643" s="17"/>
    </row>
    <row r="644" spans="16:19" ht="15.75" customHeight="1" x14ac:dyDescent="0.35">
      <c r="P644" s="17"/>
      <c r="Q644" s="17"/>
      <c r="R644" s="17"/>
      <c r="S644" s="17"/>
    </row>
    <row r="645" spans="16:19" ht="15.75" customHeight="1" x14ac:dyDescent="0.35">
      <c r="P645" s="17"/>
      <c r="Q645" s="17"/>
      <c r="R645" s="17"/>
      <c r="S645" s="17"/>
    </row>
    <row r="646" spans="16:19" ht="15.75" customHeight="1" x14ac:dyDescent="0.35">
      <c r="P646" s="17"/>
      <c r="Q646" s="17"/>
      <c r="R646" s="17"/>
      <c r="S646" s="17"/>
    </row>
    <row r="647" spans="16:19" ht="15.75" customHeight="1" x14ac:dyDescent="0.35">
      <c r="P647" s="17"/>
      <c r="Q647" s="17"/>
      <c r="R647" s="17"/>
      <c r="S647" s="17"/>
    </row>
    <row r="648" spans="16:19" ht="15.75" customHeight="1" x14ac:dyDescent="0.35">
      <c r="P648" s="17"/>
      <c r="Q648" s="17"/>
      <c r="R648" s="17"/>
      <c r="S648" s="17"/>
    </row>
    <row r="649" spans="16:19" ht="15.75" customHeight="1" x14ac:dyDescent="0.35">
      <c r="P649" s="17"/>
      <c r="Q649" s="17"/>
      <c r="R649" s="17"/>
      <c r="S649" s="17"/>
    </row>
    <row r="650" spans="16:19" ht="15.75" customHeight="1" x14ac:dyDescent="0.35">
      <c r="P650" s="17"/>
      <c r="Q650" s="17"/>
      <c r="R650" s="17"/>
      <c r="S650" s="17"/>
    </row>
    <row r="651" spans="16:19" ht="15.75" customHeight="1" x14ac:dyDescent="0.35">
      <c r="P651" s="17"/>
      <c r="Q651" s="17"/>
      <c r="R651" s="17"/>
      <c r="S651" s="17"/>
    </row>
    <row r="652" spans="16:19" ht="15.75" customHeight="1" x14ac:dyDescent="0.35">
      <c r="P652" s="17"/>
      <c r="Q652" s="17"/>
      <c r="R652" s="17"/>
      <c r="S652" s="17"/>
    </row>
    <row r="653" spans="16:19" ht="15.75" customHeight="1" x14ac:dyDescent="0.35">
      <c r="P653" s="17"/>
      <c r="Q653" s="17"/>
      <c r="R653" s="17"/>
      <c r="S653" s="17"/>
    </row>
    <row r="654" spans="16:19" ht="15.75" customHeight="1" x14ac:dyDescent="0.35">
      <c r="P654" s="17"/>
      <c r="Q654" s="17"/>
      <c r="R654" s="17"/>
      <c r="S654" s="17"/>
    </row>
    <row r="655" spans="16:19" ht="15.75" customHeight="1" x14ac:dyDescent="0.35">
      <c r="P655" s="17"/>
      <c r="Q655" s="17"/>
      <c r="R655" s="17"/>
      <c r="S655" s="17"/>
    </row>
    <row r="656" spans="16:19" ht="15.75" customHeight="1" x14ac:dyDescent="0.35">
      <c r="P656" s="17"/>
      <c r="Q656" s="17"/>
      <c r="R656" s="17"/>
      <c r="S656" s="17"/>
    </row>
    <row r="657" spans="16:19" ht="15.75" customHeight="1" x14ac:dyDescent="0.35">
      <c r="P657" s="17"/>
      <c r="Q657" s="17"/>
      <c r="R657" s="17"/>
      <c r="S657" s="17"/>
    </row>
    <row r="658" spans="16:19" ht="15.75" customHeight="1" x14ac:dyDescent="0.35">
      <c r="P658" s="17"/>
      <c r="Q658" s="17"/>
      <c r="R658" s="17"/>
      <c r="S658" s="17"/>
    </row>
    <row r="659" spans="16:19" ht="15.75" customHeight="1" x14ac:dyDescent="0.35">
      <c r="P659" s="17"/>
      <c r="Q659" s="17"/>
      <c r="R659" s="17"/>
      <c r="S659" s="17"/>
    </row>
    <row r="660" spans="16:19" ht="15.75" customHeight="1" x14ac:dyDescent="0.35">
      <c r="P660" s="17"/>
      <c r="Q660" s="17"/>
      <c r="R660" s="17"/>
      <c r="S660" s="17"/>
    </row>
    <row r="661" spans="16:19" ht="15.75" customHeight="1" x14ac:dyDescent="0.35">
      <c r="P661" s="17"/>
      <c r="Q661" s="17"/>
      <c r="R661" s="17"/>
      <c r="S661" s="17"/>
    </row>
    <row r="662" spans="16:19" ht="15.75" customHeight="1" x14ac:dyDescent="0.35">
      <c r="P662" s="17"/>
      <c r="Q662" s="17"/>
      <c r="R662" s="17"/>
      <c r="S662" s="17"/>
    </row>
    <row r="663" spans="16:19" ht="15.75" customHeight="1" x14ac:dyDescent="0.35">
      <c r="P663" s="17"/>
      <c r="Q663" s="17"/>
      <c r="R663" s="17"/>
      <c r="S663" s="17"/>
    </row>
    <row r="664" spans="16:19" ht="15.75" customHeight="1" x14ac:dyDescent="0.35">
      <c r="P664" s="17"/>
      <c r="Q664" s="17"/>
      <c r="R664" s="17"/>
      <c r="S664" s="17"/>
    </row>
    <row r="665" spans="16:19" ht="15.75" customHeight="1" x14ac:dyDescent="0.35">
      <c r="P665" s="17"/>
      <c r="Q665" s="17"/>
      <c r="R665" s="17"/>
      <c r="S665" s="17"/>
    </row>
    <row r="666" spans="16:19" ht="15.75" customHeight="1" x14ac:dyDescent="0.35">
      <c r="P666" s="17"/>
      <c r="Q666" s="17"/>
      <c r="R666" s="17"/>
      <c r="S666" s="17"/>
    </row>
    <row r="667" spans="16:19" ht="15.75" customHeight="1" x14ac:dyDescent="0.35">
      <c r="P667" s="17"/>
      <c r="Q667" s="17"/>
      <c r="R667" s="17"/>
      <c r="S667" s="17"/>
    </row>
    <row r="668" spans="16:19" ht="15.75" customHeight="1" x14ac:dyDescent="0.35">
      <c r="P668" s="17"/>
      <c r="Q668" s="17"/>
      <c r="R668" s="17"/>
      <c r="S668" s="17"/>
    </row>
    <row r="669" spans="16:19" ht="15.75" customHeight="1" x14ac:dyDescent="0.35">
      <c r="P669" s="17"/>
      <c r="Q669" s="17"/>
      <c r="R669" s="17"/>
      <c r="S669" s="17"/>
    </row>
    <row r="670" spans="16:19" ht="15.75" customHeight="1" x14ac:dyDescent="0.35">
      <c r="P670" s="17"/>
      <c r="Q670" s="17"/>
      <c r="R670" s="17"/>
      <c r="S670" s="17"/>
    </row>
    <row r="671" spans="16:19" ht="15.75" customHeight="1" x14ac:dyDescent="0.35">
      <c r="P671" s="17"/>
      <c r="Q671" s="17"/>
      <c r="R671" s="17"/>
      <c r="S671" s="17"/>
    </row>
    <row r="672" spans="16:19" ht="15.75" customHeight="1" x14ac:dyDescent="0.35">
      <c r="P672" s="17"/>
      <c r="Q672" s="17"/>
      <c r="R672" s="17"/>
      <c r="S672" s="17"/>
    </row>
    <row r="673" spans="16:19" ht="15.75" customHeight="1" x14ac:dyDescent="0.35">
      <c r="P673" s="17"/>
      <c r="Q673" s="17"/>
      <c r="R673" s="17"/>
      <c r="S673" s="17"/>
    </row>
    <row r="674" spans="16:19" ht="15.75" customHeight="1" x14ac:dyDescent="0.35">
      <c r="P674" s="17"/>
      <c r="Q674" s="17"/>
      <c r="R674" s="17"/>
      <c r="S674" s="17"/>
    </row>
    <row r="675" spans="16:19" ht="15.75" customHeight="1" x14ac:dyDescent="0.35">
      <c r="P675" s="17"/>
      <c r="Q675" s="17"/>
      <c r="R675" s="17"/>
      <c r="S675" s="17"/>
    </row>
    <row r="676" spans="16:19" ht="15.75" customHeight="1" x14ac:dyDescent="0.35">
      <c r="P676" s="17"/>
      <c r="Q676" s="17"/>
      <c r="R676" s="17"/>
      <c r="S676" s="17"/>
    </row>
    <row r="677" spans="16:19" ht="15.75" customHeight="1" x14ac:dyDescent="0.35">
      <c r="P677" s="17"/>
      <c r="Q677" s="17"/>
      <c r="R677" s="17"/>
      <c r="S677" s="17"/>
    </row>
    <row r="678" spans="16:19" ht="15.75" customHeight="1" x14ac:dyDescent="0.35">
      <c r="P678" s="17"/>
      <c r="Q678" s="17"/>
      <c r="R678" s="17"/>
      <c r="S678" s="17"/>
    </row>
    <row r="679" spans="16:19" ht="15.75" customHeight="1" x14ac:dyDescent="0.35">
      <c r="P679" s="17"/>
      <c r="Q679" s="17"/>
      <c r="R679" s="17"/>
      <c r="S679" s="17"/>
    </row>
    <row r="680" spans="16:19" ht="15.75" customHeight="1" x14ac:dyDescent="0.35">
      <c r="P680" s="17"/>
      <c r="Q680" s="17"/>
      <c r="R680" s="17"/>
      <c r="S680" s="17"/>
    </row>
    <row r="681" spans="16:19" ht="15.75" customHeight="1" x14ac:dyDescent="0.35">
      <c r="P681" s="17"/>
      <c r="Q681" s="17"/>
      <c r="R681" s="17"/>
      <c r="S681" s="17"/>
    </row>
    <row r="682" spans="16:19" ht="15.75" customHeight="1" x14ac:dyDescent="0.35">
      <c r="P682" s="17"/>
      <c r="Q682" s="17"/>
      <c r="R682" s="17"/>
      <c r="S682" s="17"/>
    </row>
    <row r="683" spans="16:19" ht="15.75" customHeight="1" x14ac:dyDescent="0.35">
      <c r="P683" s="17"/>
      <c r="Q683" s="17"/>
      <c r="R683" s="17"/>
      <c r="S683" s="17"/>
    </row>
    <row r="684" spans="16:19" ht="15.75" customHeight="1" x14ac:dyDescent="0.35">
      <c r="P684" s="17"/>
      <c r="Q684" s="17"/>
      <c r="R684" s="17"/>
      <c r="S684" s="17"/>
    </row>
    <row r="685" spans="16:19" ht="15.75" customHeight="1" x14ac:dyDescent="0.35">
      <c r="P685" s="17"/>
      <c r="Q685" s="17"/>
      <c r="R685" s="17"/>
      <c r="S685" s="17"/>
    </row>
    <row r="686" spans="16:19" ht="15.75" customHeight="1" x14ac:dyDescent="0.35">
      <c r="P686" s="17"/>
      <c r="Q686" s="17"/>
      <c r="R686" s="17"/>
      <c r="S686" s="17"/>
    </row>
    <row r="687" spans="16:19" ht="15.75" customHeight="1" x14ac:dyDescent="0.35">
      <c r="P687" s="17"/>
      <c r="Q687" s="17"/>
      <c r="R687" s="17"/>
      <c r="S687" s="17"/>
    </row>
    <row r="688" spans="16:19" ht="15.75" customHeight="1" x14ac:dyDescent="0.35">
      <c r="P688" s="17"/>
      <c r="Q688" s="17"/>
      <c r="R688" s="17"/>
      <c r="S688" s="17"/>
    </row>
    <row r="689" spans="16:19" ht="15.75" customHeight="1" x14ac:dyDescent="0.35">
      <c r="P689" s="17"/>
      <c r="Q689" s="17"/>
      <c r="R689" s="17"/>
      <c r="S689" s="17"/>
    </row>
    <row r="690" spans="16:19" ht="15.75" customHeight="1" x14ac:dyDescent="0.35">
      <c r="P690" s="17"/>
      <c r="Q690" s="17"/>
      <c r="R690" s="17"/>
      <c r="S690" s="17"/>
    </row>
    <row r="691" spans="16:19" ht="15.75" customHeight="1" x14ac:dyDescent="0.35">
      <c r="P691" s="17"/>
      <c r="Q691" s="17"/>
      <c r="R691" s="17"/>
      <c r="S691" s="17"/>
    </row>
    <row r="692" spans="16:19" ht="15.75" customHeight="1" x14ac:dyDescent="0.35">
      <c r="P692" s="17"/>
      <c r="Q692" s="17"/>
      <c r="R692" s="17"/>
      <c r="S692" s="17"/>
    </row>
    <row r="693" spans="16:19" ht="15.75" customHeight="1" x14ac:dyDescent="0.35">
      <c r="P693" s="17"/>
      <c r="Q693" s="17"/>
      <c r="R693" s="17"/>
      <c r="S693" s="17"/>
    </row>
    <row r="694" spans="16:19" ht="15.75" customHeight="1" x14ac:dyDescent="0.35">
      <c r="P694" s="17"/>
      <c r="Q694" s="17"/>
      <c r="R694" s="17"/>
      <c r="S694" s="17"/>
    </row>
    <row r="695" spans="16:19" ht="15.75" customHeight="1" x14ac:dyDescent="0.35">
      <c r="P695" s="17"/>
      <c r="Q695" s="17"/>
      <c r="R695" s="17"/>
      <c r="S695" s="17"/>
    </row>
    <row r="696" spans="16:19" ht="15.75" customHeight="1" x14ac:dyDescent="0.35">
      <c r="P696" s="17"/>
      <c r="Q696" s="17"/>
      <c r="R696" s="17"/>
      <c r="S696" s="17"/>
    </row>
    <row r="697" spans="16:19" ht="15.75" customHeight="1" x14ac:dyDescent="0.35">
      <c r="P697" s="17"/>
      <c r="Q697" s="17"/>
      <c r="R697" s="17"/>
      <c r="S697" s="17"/>
    </row>
    <row r="698" spans="16:19" ht="15.75" customHeight="1" x14ac:dyDescent="0.35">
      <c r="P698" s="17"/>
      <c r="Q698" s="17"/>
      <c r="R698" s="17"/>
      <c r="S698" s="17"/>
    </row>
    <row r="699" spans="16:19" ht="15.75" customHeight="1" x14ac:dyDescent="0.35">
      <c r="P699" s="17"/>
      <c r="Q699" s="17"/>
      <c r="R699" s="17"/>
      <c r="S699" s="17"/>
    </row>
    <row r="700" spans="16:19" ht="15.75" customHeight="1" x14ac:dyDescent="0.35">
      <c r="P700" s="17"/>
      <c r="Q700" s="17"/>
      <c r="R700" s="17"/>
      <c r="S700" s="17"/>
    </row>
    <row r="701" spans="16:19" ht="15.75" customHeight="1" x14ac:dyDescent="0.35">
      <c r="P701" s="17"/>
      <c r="Q701" s="17"/>
      <c r="R701" s="17"/>
      <c r="S701" s="17"/>
    </row>
    <row r="702" spans="16:19" ht="15.75" customHeight="1" x14ac:dyDescent="0.35">
      <c r="P702" s="17"/>
      <c r="Q702" s="17"/>
      <c r="R702" s="17"/>
      <c r="S702" s="17"/>
    </row>
    <row r="703" spans="16:19" ht="15.75" customHeight="1" x14ac:dyDescent="0.35">
      <c r="P703" s="17"/>
      <c r="Q703" s="17"/>
      <c r="R703" s="17"/>
      <c r="S703" s="17"/>
    </row>
    <row r="704" spans="16:19" ht="15.75" customHeight="1" x14ac:dyDescent="0.35">
      <c r="P704" s="17"/>
      <c r="Q704" s="17"/>
      <c r="R704" s="17"/>
      <c r="S704" s="17"/>
    </row>
    <row r="705" spans="16:19" ht="15.75" customHeight="1" x14ac:dyDescent="0.35">
      <c r="P705" s="17"/>
      <c r="Q705" s="17"/>
      <c r="R705" s="17"/>
      <c r="S705" s="17"/>
    </row>
    <row r="706" spans="16:19" ht="15.75" customHeight="1" x14ac:dyDescent="0.35">
      <c r="P706" s="17"/>
      <c r="Q706" s="17"/>
      <c r="R706" s="17"/>
      <c r="S706" s="17"/>
    </row>
    <row r="707" spans="16:19" ht="15.75" customHeight="1" x14ac:dyDescent="0.35">
      <c r="P707" s="17"/>
      <c r="Q707" s="17"/>
      <c r="R707" s="17"/>
      <c r="S707" s="17"/>
    </row>
    <row r="708" spans="16:19" ht="15.75" customHeight="1" x14ac:dyDescent="0.35">
      <c r="P708" s="17"/>
      <c r="Q708" s="17"/>
      <c r="R708" s="17"/>
      <c r="S708" s="17"/>
    </row>
    <row r="709" spans="16:19" ht="15.75" customHeight="1" x14ac:dyDescent="0.35">
      <c r="P709" s="17"/>
      <c r="Q709" s="17"/>
      <c r="R709" s="17"/>
      <c r="S709" s="17"/>
    </row>
    <row r="710" spans="16:19" ht="15.75" customHeight="1" x14ac:dyDescent="0.35">
      <c r="P710" s="17"/>
      <c r="Q710" s="17"/>
      <c r="R710" s="17"/>
      <c r="S710" s="17"/>
    </row>
    <row r="711" spans="16:19" ht="15.75" customHeight="1" x14ac:dyDescent="0.35">
      <c r="P711" s="17"/>
      <c r="Q711" s="17"/>
      <c r="R711" s="17"/>
      <c r="S711" s="17"/>
    </row>
    <row r="712" spans="16:19" ht="15.75" customHeight="1" x14ac:dyDescent="0.35">
      <c r="P712" s="17"/>
      <c r="Q712" s="17"/>
      <c r="R712" s="17"/>
      <c r="S712" s="17"/>
    </row>
    <row r="713" spans="16:19" ht="15.75" customHeight="1" x14ac:dyDescent="0.35">
      <c r="P713" s="17"/>
      <c r="Q713" s="17"/>
      <c r="R713" s="17"/>
      <c r="S713" s="17"/>
    </row>
    <row r="714" spans="16:19" ht="15.75" customHeight="1" x14ac:dyDescent="0.35">
      <c r="P714" s="17"/>
      <c r="Q714" s="17"/>
      <c r="R714" s="17"/>
      <c r="S714" s="17"/>
    </row>
    <row r="715" spans="16:19" ht="15.75" customHeight="1" x14ac:dyDescent="0.35">
      <c r="P715" s="17"/>
      <c r="Q715" s="17"/>
      <c r="R715" s="17"/>
      <c r="S715" s="17"/>
    </row>
    <row r="716" spans="16:19" ht="15.75" customHeight="1" x14ac:dyDescent="0.35">
      <c r="P716" s="17"/>
      <c r="Q716" s="17"/>
      <c r="R716" s="17"/>
      <c r="S716" s="17"/>
    </row>
    <row r="717" spans="16:19" ht="15.75" customHeight="1" x14ac:dyDescent="0.35">
      <c r="P717" s="17"/>
      <c r="Q717" s="17"/>
      <c r="R717" s="17"/>
      <c r="S717" s="17"/>
    </row>
    <row r="718" spans="16:19" ht="15.75" customHeight="1" x14ac:dyDescent="0.35">
      <c r="P718" s="17"/>
      <c r="Q718" s="17"/>
      <c r="R718" s="17"/>
      <c r="S718" s="17"/>
    </row>
    <row r="719" spans="16:19" ht="15.75" customHeight="1" x14ac:dyDescent="0.35">
      <c r="P719" s="17"/>
      <c r="Q719" s="17"/>
      <c r="R719" s="17"/>
      <c r="S719" s="17"/>
    </row>
    <row r="720" spans="16:19" ht="15.75" customHeight="1" x14ac:dyDescent="0.35">
      <c r="P720" s="17"/>
      <c r="Q720" s="17"/>
      <c r="R720" s="17"/>
      <c r="S720" s="17"/>
    </row>
    <row r="721" spans="16:19" ht="15.75" customHeight="1" x14ac:dyDescent="0.35">
      <c r="P721" s="17"/>
      <c r="Q721" s="17"/>
      <c r="R721" s="17"/>
      <c r="S721" s="17"/>
    </row>
    <row r="722" spans="16:19" ht="15.75" customHeight="1" x14ac:dyDescent="0.35">
      <c r="P722" s="17"/>
      <c r="Q722" s="17"/>
      <c r="R722" s="17"/>
      <c r="S722" s="17"/>
    </row>
    <row r="723" spans="16:19" ht="15.75" customHeight="1" x14ac:dyDescent="0.35">
      <c r="P723" s="17"/>
      <c r="Q723" s="17"/>
      <c r="R723" s="17"/>
      <c r="S723" s="17"/>
    </row>
    <row r="724" spans="16:19" ht="15.75" customHeight="1" x14ac:dyDescent="0.35">
      <c r="P724" s="17"/>
      <c r="Q724" s="17"/>
      <c r="R724" s="17"/>
      <c r="S724" s="17"/>
    </row>
    <row r="725" spans="16:19" ht="15.75" customHeight="1" x14ac:dyDescent="0.35">
      <c r="P725" s="17"/>
      <c r="Q725" s="17"/>
      <c r="R725" s="17"/>
      <c r="S725" s="17"/>
    </row>
    <row r="726" spans="16:19" ht="15.75" customHeight="1" x14ac:dyDescent="0.35">
      <c r="P726" s="17"/>
      <c r="Q726" s="17"/>
      <c r="R726" s="17"/>
      <c r="S726" s="17"/>
    </row>
    <row r="727" spans="16:19" ht="15.75" customHeight="1" x14ac:dyDescent="0.35">
      <c r="P727" s="17"/>
      <c r="Q727" s="17"/>
      <c r="R727" s="17"/>
      <c r="S727" s="17"/>
    </row>
    <row r="728" spans="16:19" ht="15.75" customHeight="1" x14ac:dyDescent="0.35">
      <c r="P728" s="17"/>
      <c r="Q728" s="17"/>
      <c r="R728" s="17"/>
      <c r="S728" s="17"/>
    </row>
    <row r="729" spans="16:19" ht="15.75" customHeight="1" x14ac:dyDescent="0.35">
      <c r="P729" s="17"/>
      <c r="Q729" s="17"/>
      <c r="R729" s="17"/>
      <c r="S729" s="17"/>
    </row>
    <row r="730" spans="16:19" ht="15.75" customHeight="1" x14ac:dyDescent="0.35">
      <c r="P730" s="17"/>
      <c r="Q730" s="17"/>
      <c r="R730" s="17"/>
      <c r="S730" s="17"/>
    </row>
    <row r="731" spans="16:19" ht="15.75" customHeight="1" x14ac:dyDescent="0.35">
      <c r="P731" s="17"/>
      <c r="Q731" s="17"/>
      <c r="R731" s="17"/>
      <c r="S731" s="17"/>
    </row>
    <row r="732" spans="16:19" ht="15.75" customHeight="1" x14ac:dyDescent="0.35">
      <c r="P732" s="17"/>
      <c r="Q732" s="17"/>
      <c r="R732" s="17"/>
      <c r="S732" s="17"/>
    </row>
    <row r="733" spans="16:19" ht="15.75" customHeight="1" x14ac:dyDescent="0.35">
      <c r="P733" s="17"/>
      <c r="Q733" s="17"/>
      <c r="R733" s="17"/>
      <c r="S733" s="17"/>
    </row>
    <row r="734" spans="16:19" ht="15.75" customHeight="1" x14ac:dyDescent="0.35">
      <c r="P734" s="17"/>
      <c r="Q734" s="17"/>
      <c r="R734" s="17"/>
      <c r="S734" s="17"/>
    </row>
    <row r="735" spans="16:19" ht="15.75" customHeight="1" x14ac:dyDescent="0.35">
      <c r="P735" s="17"/>
      <c r="Q735" s="17"/>
      <c r="R735" s="17"/>
      <c r="S735" s="17"/>
    </row>
    <row r="736" spans="16:19" ht="15.75" customHeight="1" x14ac:dyDescent="0.35">
      <c r="P736" s="17"/>
      <c r="Q736" s="17"/>
      <c r="R736" s="17"/>
      <c r="S736" s="17"/>
    </row>
    <row r="737" spans="16:19" ht="15.75" customHeight="1" x14ac:dyDescent="0.35">
      <c r="P737" s="17"/>
      <c r="Q737" s="17"/>
      <c r="R737" s="17"/>
      <c r="S737" s="17"/>
    </row>
    <row r="738" spans="16:19" ht="15.75" customHeight="1" x14ac:dyDescent="0.35">
      <c r="P738" s="17"/>
      <c r="Q738" s="17"/>
      <c r="R738" s="17"/>
      <c r="S738" s="17"/>
    </row>
    <row r="739" spans="16:19" ht="15.75" customHeight="1" x14ac:dyDescent="0.35">
      <c r="P739" s="17"/>
      <c r="Q739" s="17"/>
      <c r="R739" s="17"/>
      <c r="S739" s="17"/>
    </row>
    <row r="740" spans="16:19" ht="15.75" customHeight="1" x14ac:dyDescent="0.35">
      <c r="P740" s="17"/>
      <c r="Q740" s="17"/>
      <c r="R740" s="17"/>
      <c r="S740" s="17"/>
    </row>
    <row r="741" spans="16:19" ht="15.75" customHeight="1" x14ac:dyDescent="0.35">
      <c r="P741" s="17"/>
      <c r="Q741" s="17"/>
      <c r="R741" s="17"/>
      <c r="S741" s="17"/>
    </row>
    <row r="742" spans="16:19" ht="15.75" customHeight="1" x14ac:dyDescent="0.35">
      <c r="P742" s="17"/>
      <c r="Q742" s="17"/>
      <c r="R742" s="17"/>
      <c r="S742" s="17"/>
    </row>
    <row r="743" spans="16:19" ht="15.75" customHeight="1" x14ac:dyDescent="0.35">
      <c r="P743" s="17"/>
      <c r="Q743" s="17"/>
      <c r="R743" s="17"/>
      <c r="S743" s="17"/>
    </row>
    <row r="744" spans="16:19" ht="15.75" customHeight="1" x14ac:dyDescent="0.35">
      <c r="P744" s="17"/>
      <c r="Q744" s="17"/>
      <c r="R744" s="17"/>
      <c r="S744" s="17"/>
    </row>
    <row r="745" spans="16:19" ht="15.75" customHeight="1" x14ac:dyDescent="0.35">
      <c r="P745" s="17"/>
      <c r="Q745" s="17"/>
      <c r="R745" s="17"/>
      <c r="S745" s="17"/>
    </row>
    <row r="746" spans="16:19" ht="15.75" customHeight="1" x14ac:dyDescent="0.35">
      <c r="P746" s="17"/>
      <c r="Q746" s="17"/>
      <c r="R746" s="17"/>
      <c r="S746" s="17"/>
    </row>
    <row r="747" spans="16:19" ht="15.75" customHeight="1" x14ac:dyDescent="0.35">
      <c r="P747" s="17"/>
      <c r="Q747" s="17"/>
      <c r="R747" s="17"/>
      <c r="S747" s="17"/>
    </row>
    <row r="748" spans="16:19" ht="15.75" customHeight="1" x14ac:dyDescent="0.35">
      <c r="P748" s="17"/>
      <c r="Q748" s="17"/>
      <c r="R748" s="17"/>
      <c r="S748" s="17"/>
    </row>
    <row r="749" spans="16:19" ht="15.75" customHeight="1" x14ac:dyDescent="0.35">
      <c r="P749" s="17"/>
      <c r="Q749" s="17"/>
      <c r="R749" s="17"/>
      <c r="S749" s="17"/>
    </row>
    <row r="750" spans="16:19" ht="15.75" customHeight="1" x14ac:dyDescent="0.35">
      <c r="P750" s="17"/>
      <c r="Q750" s="17"/>
      <c r="R750" s="17"/>
      <c r="S750" s="17"/>
    </row>
    <row r="751" spans="16:19" ht="15.75" customHeight="1" x14ac:dyDescent="0.35">
      <c r="P751" s="17"/>
      <c r="Q751" s="17"/>
      <c r="R751" s="17"/>
      <c r="S751" s="17"/>
    </row>
    <row r="752" spans="16:19" ht="15.75" customHeight="1" x14ac:dyDescent="0.35">
      <c r="P752" s="17"/>
      <c r="Q752" s="17"/>
      <c r="R752" s="17"/>
      <c r="S752" s="17"/>
    </row>
    <row r="753" spans="16:19" ht="15.75" customHeight="1" x14ac:dyDescent="0.35">
      <c r="P753" s="17"/>
      <c r="Q753" s="17"/>
      <c r="R753" s="17"/>
      <c r="S753" s="17"/>
    </row>
    <row r="754" spans="16:19" ht="15.75" customHeight="1" x14ac:dyDescent="0.35">
      <c r="P754" s="17"/>
      <c r="Q754" s="17"/>
      <c r="R754" s="17"/>
      <c r="S754" s="17"/>
    </row>
    <row r="755" spans="16:19" ht="15.75" customHeight="1" x14ac:dyDescent="0.35">
      <c r="P755" s="17"/>
      <c r="Q755" s="17"/>
      <c r="R755" s="17"/>
      <c r="S755" s="17"/>
    </row>
    <row r="756" spans="16:19" ht="15.75" customHeight="1" x14ac:dyDescent="0.35">
      <c r="P756" s="17"/>
      <c r="Q756" s="17"/>
      <c r="R756" s="17"/>
      <c r="S756" s="17"/>
    </row>
    <row r="757" spans="16:19" ht="15.75" customHeight="1" x14ac:dyDescent="0.35">
      <c r="P757" s="17"/>
      <c r="Q757" s="17"/>
      <c r="R757" s="17"/>
      <c r="S757" s="17"/>
    </row>
    <row r="758" spans="16:19" ht="15.75" customHeight="1" x14ac:dyDescent="0.35">
      <c r="P758" s="17"/>
      <c r="Q758" s="17"/>
      <c r="R758" s="17"/>
      <c r="S758" s="17"/>
    </row>
    <row r="759" spans="16:19" ht="15.75" customHeight="1" x14ac:dyDescent="0.35">
      <c r="P759" s="17"/>
      <c r="Q759" s="17"/>
      <c r="R759" s="17"/>
      <c r="S759" s="17"/>
    </row>
    <row r="760" spans="16:19" ht="15.75" customHeight="1" x14ac:dyDescent="0.35">
      <c r="P760" s="17"/>
      <c r="Q760" s="17"/>
      <c r="R760" s="17"/>
      <c r="S760" s="17"/>
    </row>
    <row r="761" spans="16:19" ht="15.75" customHeight="1" x14ac:dyDescent="0.35">
      <c r="P761" s="17"/>
      <c r="Q761" s="17"/>
      <c r="R761" s="17"/>
      <c r="S761" s="17"/>
    </row>
    <row r="762" spans="16:19" ht="15.75" customHeight="1" x14ac:dyDescent="0.35">
      <c r="P762" s="17"/>
      <c r="Q762" s="17"/>
      <c r="R762" s="17"/>
      <c r="S762" s="17"/>
    </row>
    <row r="763" spans="16:19" ht="15.75" customHeight="1" x14ac:dyDescent="0.35">
      <c r="P763" s="17"/>
      <c r="Q763" s="17"/>
      <c r="R763" s="17"/>
      <c r="S763" s="17"/>
    </row>
    <row r="764" spans="16:19" ht="15.75" customHeight="1" x14ac:dyDescent="0.35">
      <c r="P764" s="17"/>
      <c r="Q764" s="17"/>
      <c r="R764" s="17"/>
      <c r="S764" s="17"/>
    </row>
    <row r="765" spans="16:19" ht="15.75" customHeight="1" x14ac:dyDescent="0.35">
      <c r="P765" s="17"/>
      <c r="Q765" s="17"/>
      <c r="R765" s="17"/>
      <c r="S765" s="17"/>
    </row>
    <row r="766" spans="16:19" ht="15.75" customHeight="1" x14ac:dyDescent="0.35">
      <c r="P766" s="17"/>
      <c r="Q766" s="17"/>
      <c r="R766" s="17"/>
      <c r="S766" s="17"/>
    </row>
    <row r="767" spans="16:19" ht="15.75" customHeight="1" x14ac:dyDescent="0.35">
      <c r="P767" s="17"/>
      <c r="Q767" s="17"/>
      <c r="R767" s="17"/>
      <c r="S767" s="17"/>
    </row>
    <row r="768" spans="16:19" ht="15.75" customHeight="1" x14ac:dyDescent="0.35">
      <c r="P768" s="17"/>
      <c r="Q768" s="17"/>
      <c r="R768" s="17"/>
      <c r="S768" s="17"/>
    </row>
    <row r="769" spans="16:19" ht="15.75" customHeight="1" x14ac:dyDescent="0.35">
      <c r="P769" s="17"/>
      <c r="Q769" s="17"/>
      <c r="R769" s="17"/>
      <c r="S769" s="17"/>
    </row>
    <row r="770" spans="16:19" ht="15.75" customHeight="1" x14ac:dyDescent="0.35">
      <c r="P770" s="17"/>
      <c r="Q770" s="17"/>
      <c r="R770" s="17"/>
      <c r="S770" s="17"/>
    </row>
    <row r="771" spans="16:19" ht="15.75" customHeight="1" x14ac:dyDescent="0.35">
      <c r="P771" s="17"/>
      <c r="Q771" s="17"/>
      <c r="R771" s="17"/>
      <c r="S771" s="17"/>
    </row>
    <row r="772" spans="16:19" ht="15.75" customHeight="1" x14ac:dyDescent="0.35">
      <c r="P772" s="17"/>
      <c r="Q772" s="17"/>
      <c r="R772" s="17"/>
      <c r="S772" s="17"/>
    </row>
    <row r="773" spans="16:19" ht="15.75" customHeight="1" x14ac:dyDescent="0.35">
      <c r="P773" s="17"/>
      <c r="Q773" s="17"/>
      <c r="R773" s="17"/>
      <c r="S773" s="17"/>
    </row>
    <row r="774" spans="16:19" ht="15.75" customHeight="1" x14ac:dyDescent="0.35">
      <c r="P774" s="17"/>
      <c r="Q774" s="17"/>
      <c r="R774" s="17"/>
      <c r="S774" s="17"/>
    </row>
    <row r="775" spans="16:19" ht="15.75" customHeight="1" x14ac:dyDescent="0.35">
      <c r="P775" s="17"/>
      <c r="Q775" s="17"/>
      <c r="R775" s="17"/>
      <c r="S775" s="17"/>
    </row>
    <row r="776" spans="16:19" ht="15.75" customHeight="1" x14ac:dyDescent="0.35">
      <c r="P776" s="17"/>
      <c r="Q776" s="17"/>
      <c r="R776" s="17"/>
      <c r="S776" s="17"/>
    </row>
    <row r="777" spans="16:19" ht="15.75" customHeight="1" x14ac:dyDescent="0.35">
      <c r="P777" s="17"/>
      <c r="Q777" s="17"/>
      <c r="R777" s="17"/>
      <c r="S777" s="17"/>
    </row>
    <row r="778" spans="16:19" ht="15.75" customHeight="1" x14ac:dyDescent="0.35">
      <c r="P778" s="17"/>
      <c r="Q778" s="17"/>
      <c r="R778" s="17"/>
      <c r="S778" s="17"/>
    </row>
    <row r="779" spans="16:19" ht="15.75" customHeight="1" x14ac:dyDescent="0.35">
      <c r="P779" s="17"/>
      <c r="Q779" s="17"/>
      <c r="R779" s="17"/>
      <c r="S779" s="17"/>
    </row>
    <row r="780" spans="16:19" ht="15.75" customHeight="1" x14ac:dyDescent="0.35">
      <c r="P780" s="17"/>
      <c r="Q780" s="17"/>
      <c r="R780" s="17"/>
      <c r="S780" s="17"/>
    </row>
    <row r="781" spans="16:19" ht="15.75" customHeight="1" x14ac:dyDescent="0.35">
      <c r="P781" s="17"/>
      <c r="Q781" s="17"/>
      <c r="R781" s="17"/>
      <c r="S781" s="17"/>
    </row>
    <row r="782" spans="16:19" ht="15.75" customHeight="1" x14ac:dyDescent="0.35">
      <c r="P782" s="17"/>
      <c r="Q782" s="17"/>
      <c r="R782" s="17"/>
      <c r="S782" s="17"/>
    </row>
    <row r="783" spans="16:19" ht="15.75" customHeight="1" x14ac:dyDescent="0.35">
      <c r="P783" s="17"/>
      <c r="Q783" s="17"/>
      <c r="R783" s="17"/>
      <c r="S783" s="17"/>
    </row>
    <row r="784" spans="16:19" ht="15.75" customHeight="1" x14ac:dyDescent="0.35">
      <c r="P784" s="17"/>
      <c r="Q784" s="17"/>
      <c r="R784" s="17"/>
      <c r="S784" s="17"/>
    </row>
    <row r="785" spans="16:19" ht="15.75" customHeight="1" x14ac:dyDescent="0.35">
      <c r="P785" s="17"/>
      <c r="Q785" s="17"/>
      <c r="R785" s="17"/>
      <c r="S785" s="17"/>
    </row>
    <row r="786" spans="16:19" ht="15.75" customHeight="1" x14ac:dyDescent="0.35">
      <c r="P786" s="17"/>
      <c r="Q786" s="17"/>
      <c r="R786" s="17"/>
      <c r="S786" s="17"/>
    </row>
    <row r="787" spans="16:19" ht="15.75" customHeight="1" x14ac:dyDescent="0.35">
      <c r="P787" s="17"/>
      <c r="Q787" s="17"/>
      <c r="R787" s="17"/>
      <c r="S787" s="17"/>
    </row>
    <row r="788" spans="16:19" ht="15.75" customHeight="1" x14ac:dyDescent="0.35">
      <c r="P788" s="17"/>
      <c r="Q788" s="17"/>
      <c r="R788" s="17"/>
      <c r="S788" s="17"/>
    </row>
    <row r="789" spans="16:19" ht="15.75" customHeight="1" x14ac:dyDescent="0.35">
      <c r="P789" s="17"/>
      <c r="Q789" s="17"/>
      <c r="R789" s="17"/>
      <c r="S789" s="17"/>
    </row>
    <row r="790" spans="16:19" ht="15.75" customHeight="1" x14ac:dyDescent="0.35">
      <c r="P790" s="17"/>
      <c r="Q790" s="17"/>
      <c r="R790" s="17"/>
      <c r="S790" s="17"/>
    </row>
    <row r="791" spans="16:19" ht="15.75" customHeight="1" x14ac:dyDescent="0.35">
      <c r="P791" s="17"/>
      <c r="Q791" s="17"/>
      <c r="R791" s="17"/>
      <c r="S791" s="17"/>
    </row>
    <row r="792" spans="16:19" ht="15.75" customHeight="1" x14ac:dyDescent="0.35">
      <c r="P792" s="17"/>
      <c r="Q792" s="17"/>
      <c r="R792" s="17"/>
      <c r="S792" s="17"/>
    </row>
    <row r="793" spans="16:19" ht="15.75" customHeight="1" x14ac:dyDescent="0.35">
      <c r="P793" s="17"/>
      <c r="Q793" s="17"/>
      <c r="R793" s="17"/>
      <c r="S793" s="17"/>
    </row>
    <row r="794" spans="16:19" ht="15.75" customHeight="1" x14ac:dyDescent="0.35">
      <c r="P794" s="17"/>
      <c r="Q794" s="17"/>
      <c r="R794" s="17"/>
      <c r="S794" s="17"/>
    </row>
    <row r="795" spans="16:19" ht="15.75" customHeight="1" x14ac:dyDescent="0.35">
      <c r="P795" s="17"/>
      <c r="Q795" s="17"/>
      <c r="R795" s="17"/>
      <c r="S795" s="17"/>
    </row>
    <row r="796" spans="16:19" ht="15.75" customHeight="1" x14ac:dyDescent="0.35">
      <c r="P796" s="17"/>
      <c r="Q796" s="17"/>
      <c r="R796" s="17"/>
      <c r="S796" s="17"/>
    </row>
    <row r="797" spans="16:19" ht="15.75" customHeight="1" x14ac:dyDescent="0.35">
      <c r="P797" s="17"/>
      <c r="Q797" s="17"/>
      <c r="R797" s="17"/>
      <c r="S797" s="17"/>
    </row>
    <row r="798" spans="16:19" ht="15.75" customHeight="1" x14ac:dyDescent="0.35">
      <c r="P798" s="17"/>
      <c r="Q798" s="17"/>
      <c r="R798" s="17"/>
      <c r="S798" s="17"/>
    </row>
    <row r="799" spans="16:19" ht="15.75" customHeight="1" x14ac:dyDescent="0.35">
      <c r="P799" s="17"/>
      <c r="Q799" s="17"/>
      <c r="R799" s="17"/>
      <c r="S799" s="17"/>
    </row>
    <row r="800" spans="16:19" ht="15.75" customHeight="1" x14ac:dyDescent="0.35">
      <c r="P800" s="17"/>
      <c r="Q800" s="17"/>
      <c r="R800" s="17"/>
      <c r="S800" s="17"/>
    </row>
    <row r="801" spans="16:19" ht="15.75" customHeight="1" x14ac:dyDescent="0.35">
      <c r="P801" s="17"/>
      <c r="Q801" s="17"/>
      <c r="R801" s="17"/>
      <c r="S801" s="17"/>
    </row>
    <row r="802" spans="16:19" ht="15.75" customHeight="1" x14ac:dyDescent="0.35">
      <c r="P802" s="17"/>
      <c r="Q802" s="17"/>
      <c r="R802" s="17"/>
      <c r="S802" s="17"/>
    </row>
    <row r="803" spans="16:19" ht="15.75" customHeight="1" x14ac:dyDescent="0.35">
      <c r="P803" s="17"/>
      <c r="Q803" s="17"/>
      <c r="R803" s="17"/>
      <c r="S803" s="17"/>
    </row>
    <row r="804" spans="16:19" ht="15.75" customHeight="1" x14ac:dyDescent="0.35">
      <c r="P804" s="17"/>
      <c r="Q804" s="17"/>
      <c r="R804" s="17"/>
      <c r="S804" s="17"/>
    </row>
    <row r="805" spans="16:19" ht="15.75" customHeight="1" x14ac:dyDescent="0.35">
      <c r="P805" s="17"/>
      <c r="Q805" s="17"/>
      <c r="R805" s="17"/>
      <c r="S805" s="17"/>
    </row>
    <row r="806" spans="16:19" ht="15.75" customHeight="1" x14ac:dyDescent="0.35">
      <c r="P806" s="17"/>
      <c r="Q806" s="17"/>
      <c r="R806" s="17"/>
      <c r="S806" s="17"/>
    </row>
    <row r="807" spans="16:19" ht="15.75" customHeight="1" x14ac:dyDescent="0.35">
      <c r="P807" s="17"/>
      <c r="Q807" s="17"/>
      <c r="R807" s="17"/>
      <c r="S807" s="17"/>
    </row>
    <row r="808" spans="16:19" ht="15.75" customHeight="1" x14ac:dyDescent="0.35">
      <c r="P808" s="17"/>
      <c r="Q808" s="17"/>
      <c r="R808" s="17"/>
      <c r="S808" s="17"/>
    </row>
    <row r="809" spans="16:19" ht="15.75" customHeight="1" x14ac:dyDescent="0.35">
      <c r="P809" s="17"/>
      <c r="Q809" s="17"/>
      <c r="R809" s="17"/>
      <c r="S809" s="17"/>
    </row>
    <row r="810" spans="16:19" ht="15.75" customHeight="1" x14ac:dyDescent="0.35">
      <c r="P810" s="17"/>
      <c r="Q810" s="17"/>
      <c r="R810" s="17"/>
      <c r="S810" s="17"/>
    </row>
    <row r="811" spans="16:19" ht="15.75" customHeight="1" x14ac:dyDescent="0.35">
      <c r="P811" s="17"/>
      <c r="Q811" s="17"/>
      <c r="R811" s="17"/>
      <c r="S811" s="17"/>
    </row>
    <row r="812" spans="16:19" ht="15.75" customHeight="1" x14ac:dyDescent="0.35">
      <c r="P812" s="17"/>
      <c r="Q812" s="17"/>
      <c r="R812" s="17"/>
      <c r="S812" s="17"/>
    </row>
    <row r="813" spans="16:19" ht="15.75" customHeight="1" x14ac:dyDescent="0.35">
      <c r="P813" s="17"/>
      <c r="Q813" s="17"/>
      <c r="R813" s="17"/>
      <c r="S813" s="17"/>
    </row>
    <row r="814" spans="16:19" ht="15.75" customHeight="1" x14ac:dyDescent="0.35">
      <c r="P814" s="17"/>
      <c r="Q814" s="17"/>
      <c r="R814" s="17"/>
      <c r="S814" s="17"/>
    </row>
    <row r="815" spans="16:19" ht="15.75" customHeight="1" x14ac:dyDescent="0.35">
      <c r="P815" s="17"/>
      <c r="Q815" s="17"/>
      <c r="R815" s="17"/>
      <c r="S815" s="17"/>
    </row>
    <row r="816" spans="16:19" ht="15.75" customHeight="1" x14ac:dyDescent="0.35">
      <c r="P816" s="17"/>
      <c r="Q816" s="17"/>
      <c r="R816" s="17"/>
      <c r="S816" s="17"/>
    </row>
    <row r="817" spans="16:19" ht="15.75" customHeight="1" x14ac:dyDescent="0.35">
      <c r="P817" s="17"/>
      <c r="Q817" s="17"/>
      <c r="R817" s="17"/>
      <c r="S817" s="17"/>
    </row>
    <row r="818" spans="16:19" ht="15.75" customHeight="1" x14ac:dyDescent="0.35">
      <c r="P818" s="17"/>
      <c r="Q818" s="17"/>
      <c r="R818" s="17"/>
      <c r="S818" s="17"/>
    </row>
    <row r="819" spans="16:19" ht="15.75" customHeight="1" x14ac:dyDescent="0.35">
      <c r="P819" s="17"/>
      <c r="Q819" s="17"/>
      <c r="R819" s="17"/>
      <c r="S819" s="17"/>
    </row>
    <row r="820" spans="16:19" ht="15.75" customHeight="1" x14ac:dyDescent="0.35">
      <c r="P820" s="17"/>
      <c r="Q820" s="17"/>
      <c r="R820" s="17"/>
      <c r="S820" s="17"/>
    </row>
    <row r="821" spans="16:19" ht="15.75" customHeight="1" x14ac:dyDescent="0.35">
      <c r="P821" s="17"/>
      <c r="Q821" s="17"/>
      <c r="R821" s="17"/>
      <c r="S821" s="17"/>
    </row>
    <row r="822" spans="16:19" ht="15.75" customHeight="1" x14ac:dyDescent="0.35">
      <c r="P822" s="17"/>
      <c r="Q822" s="17"/>
      <c r="R822" s="17"/>
      <c r="S822" s="17"/>
    </row>
    <row r="823" spans="16:19" ht="15.75" customHeight="1" x14ac:dyDescent="0.35">
      <c r="P823" s="17"/>
      <c r="Q823" s="17"/>
      <c r="R823" s="17"/>
      <c r="S823" s="17"/>
    </row>
    <row r="824" spans="16:19" ht="15.75" customHeight="1" x14ac:dyDescent="0.35">
      <c r="P824" s="17"/>
      <c r="Q824" s="17"/>
      <c r="R824" s="17"/>
      <c r="S824" s="17"/>
    </row>
    <row r="825" spans="16:19" ht="15.75" customHeight="1" x14ac:dyDescent="0.35">
      <c r="P825" s="17"/>
      <c r="Q825" s="17"/>
      <c r="R825" s="17"/>
      <c r="S825" s="17"/>
    </row>
    <row r="826" spans="16:19" ht="15.75" customHeight="1" x14ac:dyDescent="0.35">
      <c r="P826" s="17"/>
      <c r="Q826" s="17"/>
      <c r="R826" s="17"/>
      <c r="S826" s="17"/>
    </row>
    <row r="827" spans="16:19" ht="15.75" customHeight="1" x14ac:dyDescent="0.35">
      <c r="P827" s="17"/>
      <c r="Q827" s="17"/>
      <c r="R827" s="17"/>
      <c r="S827" s="17"/>
    </row>
    <row r="828" spans="16:19" ht="15.75" customHeight="1" x14ac:dyDescent="0.35">
      <c r="P828" s="17"/>
      <c r="Q828" s="17"/>
      <c r="R828" s="17"/>
      <c r="S828" s="17"/>
    </row>
    <row r="829" spans="16:19" ht="15.75" customHeight="1" x14ac:dyDescent="0.35">
      <c r="P829" s="17"/>
      <c r="Q829" s="17"/>
      <c r="R829" s="17"/>
      <c r="S829" s="17"/>
    </row>
    <row r="830" spans="16:19" ht="15.75" customHeight="1" x14ac:dyDescent="0.35">
      <c r="P830" s="17"/>
      <c r="Q830" s="17"/>
      <c r="R830" s="17"/>
      <c r="S830" s="17"/>
    </row>
    <row r="831" spans="16:19" ht="15.75" customHeight="1" x14ac:dyDescent="0.35">
      <c r="P831" s="17"/>
      <c r="Q831" s="17"/>
      <c r="R831" s="17"/>
      <c r="S831" s="17"/>
    </row>
    <row r="832" spans="16:19" ht="15.75" customHeight="1" x14ac:dyDescent="0.35">
      <c r="P832" s="17"/>
      <c r="Q832" s="17"/>
      <c r="R832" s="17"/>
      <c r="S832" s="17"/>
    </row>
    <row r="833" spans="16:19" ht="15.75" customHeight="1" x14ac:dyDescent="0.35">
      <c r="P833" s="17"/>
      <c r="Q833" s="17"/>
      <c r="R833" s="17"/>
      <c r="S833" s="17"/>
    </row>
    <row r="834" spans="16:19" ht="15.75" customHeight="1" x14ac:dyDescent="0.35">
      <c r="P834" s="17"/>
      <c r="Q834" s="17"/>
      <c r="R834" s="17"/>
      <c r="S834" s="17"/>
    </row>
    <row r="835" spans="16:19" ht="15.75" customHeight="1" x14ac:dyDescent="0.35">
      <c r="P835" s="17"/>
      <c r="Q835" s="17"/>
      <c r="R835" s="17"/>
      <c r="S835" s="17"/>
    </row>
    <row r="836" spans="16:19" ht="15.75" customHeight="1" x14ac:dyDescent="0.35">
      <c r="P836" s="17"/>
      <c r="Q836" s="17"/>
      <c r="R836" s="17"/>
      <c r="S836" s="17"/>
    </row>
    <row r="837" spans="16:19" ht="15.75" customHeight="1" x14ac:dyDescent="0.35">
      <c r="P837" s="17"/>
      <c r="Q837" s="17"/>
      <c r="R837" s="17"/>
      <c r="S837" s="17"/>
    </row>
    <row r="838" spans="16:19" ht="15.75" customHeight="1" x14ac:dyDescent="0.35">
      <c r="P838" s="17"/>
      <c r="Q838" s="17"/>
      <c r="R838" s="17"/>
      <c r="S838" s="17"/>
    </row>
    <row r="839" spans="16:19" ht="15.75" customHeight="1" x14ac:dyDescent="0.35">
      <c r="P839" s="17"/>
      <c r="Q839" s="17"/>
      <c r="R839" s="17"/>
      <c r="S839" s="17"/>
    </row>
    <row r="840" spans="16:19" ht="15.75" customHeight="1" x14ac:dyDescent="0.35">
      <c r="P840" s="17"/>
      <c r="Q840" s="17"/>
      <c r="R840" s="17"/>
      <c r="S840" s="17"/>
    </row>
    <row r="841" spans="16:19" ht="15.75" customHeight="1" x14ac:dyDescent="0.35">
      <c r="P841" s="17"/>
      <c r="Q841" s="17"/>
      <c r="R841" s="17"/>
      <c r="S841" s="17"/>
    </row>
    <row r="842" spans="16:19" ht="15.75" customHeight="1" x14ac:dyDescent="0.35">
      <c r="P842" s="17"/>
      <c r="Q842" s="17"/>
      <c r="R842" s="17"/>
      <c r="S842" s="17"/>
    </row>
    <row r="843" spans="16:19" ht="15.75" customHeight="1" x14ac:dyDescent="0.35">
      <c r="P843" s="17"/>
      <c r="Q843" s="17"/>
      <c r="R843" s="17"/>
      <c r="S843" s="17"/>
    </row>
    <row r="844" spans="16:19" ht="15.75" customHeight="1" x14ac:dyDescent="0.35">
      <c r="P844" s="17"/>
      <c r="Q844" s="17"/>
      <c r="R844" s="17"/>
      <c r="S844" s="17"/>
    </row>
    <row r="845" spans="16:19" ht="15.75" customHeight="1" x14ac:dyDescent="0.35">
      <c r="P845" s="17"/>
      <c r="Q845" s="17"/>
      <c r="R845" s="17"/>
      <c r="S845" s="17"/>
    </row>
    <row r="846" spans="16:19" ht="15.75" customHeight="1" x14ac:dyDescent="0.35">
      <c r="P846" s="17"/>
      <c r="Q846" s="17"/>
      <c r="R846" s="17"/>
      <c r="S846" s="17"/>
    </row>
    <row r="847" spans="16:19" ht="15.75" customHeight="1" x14ac:dyDescent="0.35">
      <c r="P847" s="17"/>
      <c r="Q847" s="17"/>
      <c r="R847" s="17"/>
      <c r="S847" s="17"/>
    </row>
    <row r="848" spans="16:19" ht="15.75" customHeight="1" x14ac:dyDescent="0.35">
      <c r="P848" s="17"/>
      <c r="Q848" s="17"/>
      <c r="R848" s="17"/>
      <c r="S848" s="17"/>
    </row>
    <row r="849" spans="16:19" ht="15.75" customHeight="1" x14ac:dyDescent="0.35">
      <c r="P849" s="17"/>
      <c r="Q849" s="17"/>
      <c r="R849" s="17"/>
      <c r="S849" s="17"/>
    </row>
    <row r="850" spans="16:19" ht="15.75" customHeight="1" x14ac:dyDescent="0.35">
      <c r="P850" s="17"/>
      <c r="Q850" s="17"/>
      <c r="R850" s="17"/>
      <c r="S850" s="17"/>
    </row>
    <row r="851" spans="16:19" ht="15.75" customHeight="1" x14ac:dyDescent="0.35">
      <c r="P851" s="17"/>
      <c r="Q851" s="17"/>
      <c r="R851" s="17"/>
      <c r="S851" s="17"/>
    </row>
    <row r="852" spans="16:19" ht="15.75" customHeight="1" x14ac:dyDescent="0.35">
      <c r="P852" s="17"/>
      <c r="Q852" s="17"/>
      <c r="R852" s="17"/>
      <c r="S852" s="17"/>
    </row>
    <row r="853" spans="16:19" ht="15.75" customHeight="1" x14ac:dyDescent="0.35">
      <c r="P853" s="17"/>
      <c r="Q853" s="17"/>
      <c r="R853" s="17"/>
      <c r="S853" s="17"/>
    </row>
    <row r="854" spans="16:19" ht="15.75" customHeight="1" x14ac:dyDescent="0.35">
      <c r="P854" s="17"/>
      <c r="Q854" s="17"/>
      <c r="R854" s="17"/>
      <c r="S854" s="17"/>
    </row>
    <row r="855" spans="16:19" ht="15.75" customHeight="1" x14ac:dyDescent="0.35">
      <c r="P855" s="17"/>
      <c r="Q855" s="17"/>
      <c r="R855" s="17"/>
      <c r="S855" s="17"/>
    </row>
    <row r="856" spans="16:19" ht="15.75" customHeight="1" x14ac:dyDescent="0.35">
      <c r="P856" s="17"/>
      <c r="Q856" s="17"/>
      <c r="R856" s="17"/>
      <c r="S856" s="17"/>
    </row>
    <row r="857" spans="16:19" ht="15.75" customHeight="1" x14ac:dyDescent="0.35">
      <c r="P857" s="17"/>
      <c r="Q857" s="17"/>
      <c r="R857" s="17"/>
      <c r="S857" s="17"/>
    </row>
    <row r="858" spans="16:19" ht="15.75" customHeight="1" x14ac:dyDescent="0.35">
      <c r="P858" s="17"/>
      <c r="Q858" s="17"/>
      <c r="R858" s="17"/>
      <c r="S858" s="17"/>
    </row>
    <row r="859" spans="16:19" ht="15.75" customHeight="1" x14ac:dyDescent="0.35">
      <c r="P859" s="17"/>
      <c r="Q859" s="17"/>
      <c r="R859" s="17"/>
      <c r="S859" s="17"/>
    </row>
    <row r="860" spans="16:19" ht="15.75" customHeight="1" x14ac:dyDescent="0.35">
      <c r="P860" s="17"/>
      <c r="Q860" s="17"/>
      <c r="R860" s="17"/>
      <c r="S860" s="17"/>
    </row>
    <row r="861" spans="16:19" ht="15.75" customHeight="1" x14ac:dyDescent="0.35">
      <c r="P861" s="17"/>
      <c r="Q861" s="17"/>
      <c r="R861" s="17"/>
      <c r="S861" s="17"/>
    </row>
    <row r="862" spans="16:19" ht="15.75" customHeight="1" x14ac:dyDescent="0.35">
      <c r="P862" s="17"/>
      <c r="Q862" s="17"/>
      <c r="R862" s="17"/>
      <c r="S862" s="17"/>
    </row>
    <row r="863" spans="16:19" ht="15.75" customHeight="1" x14ac:dyDescent="0.35">
      <c r="P863" s="17"/>
      <c r="Q863" s="17"/>
      <c r="R863" s="17"/>
      <c r="S863" s="17"/>
    </row>
    <row r="864" spans="16:19" ht="15.75" customHeight="1" x14ac:dyDescent="0.35">
      <c r="P864" s="17"/>
      <c r="Q864" s="17"/>
      <c r="R864" s="17"/>
      <c r="S864" s="17"/>
    </row>
    <row r="865" spans="16:19" ht="15.75" customHeight="1" x14ac:dyDescent="0.35">
      <c r="P865" s="17"/>
      <c r="Q865" s="17"/>
      <c r="R865" s="17"/>
      <c r="S865" s="17"/>
    </row>
    <row r="866" spans="16:19" ht="15.75" customHeight="1" x14ac:dyDescent="0.35">
      <c r="P866" s="17"/>
      <c r="Q866" s="17"/>
      <c r="R866" s="17"/>
      <c r="S866" s="17"/>
    </row>
    <row r="867" spans="16:19" ht="15.75" customHeight="1" x14ac:dyDescent="0.35">
      <c r="P867" s="17"/>
      <c r="Q867" s="17"/>
      <c r="R867" s="17"/>
      <c r="S867" s="17"/>
    </row>
    <row r="868" spans="16:19" ht="15.75" customHeight="1" x14ac:dyDescent="0.35">
      <c r="P868" s="17"/>
      <c r="Q868" s="17"/>
      <c r="R868" s="17"/>
      <c r="S868" s="17"/>
    </row>
    <row r="869" spans="16:19" ht="15.75" customHeight="1" x14ac:dyDescent="0.35">
      <c r="P869" s="17"/>
      <c r="Q869" s="17"/>
      <c r="R869" s="17"/>
      <c r="S869" s="17"/>
    </row>
    <row r="870" spans="16:19" ht="15.75" customHeight="1" x14ac:dyDescent="0.35">
      <c r="P870" s="17"/>
      <c r="Q870" s="17"/>
      <c r="R870" s="17"/>
      <c r="S870" s="17"/>
    </row>
    <row r="871" spans="16:19" ht="15.75" customHeight="1" x14ac:dyDescent="0.35">
      <c r="P871" s="17"/>
      <c r="Q871" s="17"/>
      <c r="R871" s="17"/>
      <c r="S871" s="17"/>
    </row>
    <row r="872" spans="16:19" ht="15.75" customHeight="1" x14ac:dyDescent="0.35">
      <c r="P872" s="17"/>
      <c r="Q872" s="17"/>
      <c r="R872" s="17"/>
      <c r="S872" s="17"/>
    </row>
    <row r="873" spans="16:19" ht="15.75" customHeight="1" x14ac:dyDescent="0.35">
      <c r="P873" s="17"/>
      <c r="Q873" s="17"/>
      <c r="R873" s="17"/>
      <c r="S873" s="17"/>
    </row>
    <row r="874" spans="16:19" ht="15.75" customHeight="1" x14ac:dyDescent="0.35">
      <c r="P874" s="17"/>
      <c r="Q874" s="17"/>
      <c r="R874" s="17"/>
      <c r="S874" s="17"/>
    </row>
    <row r="875" spans="16:19" ht="15.75" customHeight="1" x14ac:dyDescent="0.35">
      <c r="P875" s="17"/>
      <c r="Q875" s="17"/>
      <c r="R875" s="17"/>
      <c r="S875" s="17"/>
    </row>
    <row r="876" spans="16:19" ht="15.75" customHeight="1" x14ac:dyDescent="0.35">
      <c r="P876" s="17"/>
      <c r="Q876" s="17"/>
      <c r="R876" s="17"/>
      <c r="S876" s="17"/>
    </row>
    <row r="877" spans="16:19" ht="15.75" customHeight="1" x14ac:dyDescent="0.35">
      <c r="P877" s="17"/>
      <c r="Q877" s="17"/>
      <c r="R877" s="17"/>
      <c r="S877" s="17"/>
    </row>
    <row r="878" spans="16:19" ht="15.75" customHeight="1" x14ac:dyDescent="0.35">
      <c r="P878" s="17"/>
      <c r="Q878" s="17"/>
      <c r="R878" s="17"/>
      <c r="S878" s="17"/>
    </row>
    <row r="879" spans="16:19" ht="15.75" customHeight="1" x14ac:dyDescent="0.35">
      <c r="P879" s="17"/>
      <c r="Q879" s="17"/>
      <c r="R879" s="17"/>
      <c r="S879" s="17"/>
    </row>
    <row r="880" spans="16:19" ht="15.75" customHeight="1" x14ac:dyDescent="0.35">
      <c r="P880" s="17"/>
      <c r="Q880" s="17"/>
      <c r="R880" s="17"/>
      <c r="S880" s="17"/>
    </row>
    <row r="881" spans="16:19" ht="15.75" customHeight="1" x14ac:dyDescent="0.35">
      <c r="P881" s="17"/>
      <c r="Q881" s="17"/>
      <c r="R881" s="17"/>
      <c r="S881" s="17"/>
    </row>
    <row r="882" spans="16:19" ht="15.75" customHeight="1" x14ac:dyDescent="0.35">
      <c r="P882" s="17"/>
      <c r="Q882" s="17"/>
      <c r="R882" s="17"/>
      <c r="S882" s="17"/>
    </row>
    <row r="883" spans="16:19" ht="15.75" customHeight="1" x14ac:dyDescent="0.35">
      <c r="P883" s="17"/>
      <c r="Q883" s="17"/>
      <c r="R883" s="17"/>
      <c r="S883" s="17"/>
    </row>
    <row r="884" spans="16:19" ht="15.75" customHeight="1" x14ac:dyDescent="0.35">
      <c r="P884" s="17"/>
      <c r="Q884" s="17"/>
      <c r="R884" s="17"/>
      <c r="S884" s="17"/>
    </row>
    <row r="885" spans="16:19" ht="15.75" customHeight="1" x14ac:dyDescent="0.35">
      <c r="P885" s="17"/>
      <c r="Q885" s="17"/>
      <c r="R885" s="17"/>
      <c r="S885" s="17"/>
    </row>
    <row r="886" spans="16:19" ht="15.75" customHeight="1" x14ac:dyDescent="0.35">
      <c r="P886" s="17"/>
      <c r="Q886" s="17"/>
      <c r="R886" s="17"/>
      <c r="S886" s="17"/>
    </row>
    <row r="887" spans="16:19" ht="15.75" customHeight="1" x14ac:dyDescent="0.35">
      <c r="P887" s="17"/>
      <c r="Q887" s="17"/>
      <c r="R887" s="17"/>
      <c r="S887" s="17"/>
    </row>
    <row r="888" spans="16:19" ht="15.75" customHeight="1" x14ac:dyDescent="0.35">
      <c r="P888" s="17"/>
      <c r="Q888" s="17"/>
      <c r="R888" s="17"/>
      <c r="S888" s="17"/>
    </row>
    <row r="889" spans="16:19" ht="15.75" customHeight="1" x14ac:dyDescent="0.35">
      <c r="P889" s="17"/>
      <c r="Q889" s="17"/>
      <c r="R889" s="17"/>
      <c r="S889" s="17"/>
    </row>
    <row r="890" spans="16:19" ht="15.75" customHeight="1" x14ac:dyDescent="0.35">
      <c r="P890" s="17"/>
      <c r="Q890" s="17"/>
      <c r="R890" s="17"/>
      <c r="S890" s="17"/>
    </row>
    <row r="891" spans="16:19" ht="15.75" customHeight="1" x14ac:dyDescent="0.35">
      <c r="P891" s="17"/>
      <c r="Q891" s="17"/>
      <c r="R891" s="17"/>
      <c r="S891" s="17"/>
    </row>
    <row r="892" spans="16:19" ht="15.75" customHeight="1" x14ac:dyDescent="0.35">
      <c r="P892" s="17"/>
      <c r="Q892" s="17"/>
      <c r="R892" s="17"/>
      <c r="S892" s="17"/>
    </row>
    <row r="893" spans="16:19" ht="15.75" customHeight="1" x14ac:dyDescent="0.35">
      <c r="P893" s="17"/>
      <c r="Q893" s="17"/>
      <c r="R893" s="17"/>
      <c r="S893" s="17"/>
    </row>
    <row r="894" spans="16:19" ht="15.75" customHeight="1" x14ac:dyDescent="0.35">
      <c r="P894" s="17"/>
      <c r="Q894" s="17"/>
      <c r="R894" s="17"/>
      <c r="S894" s="17"/>
    </row>
    <row r="895" spans="16:19" ht="15.75" customHeight="1" x14ac:dyDescent="0.35">
      <c r="P895" s="17"/>
      <c r="Q895" s="17"/>
      <c r="R895" s="17"/>
      <c r="S895" s="17"/>
    </row>
    <row r="896" spans="16:19" ht="15.75" customHeight="1" x14ac:dyDescent="0.35">
      <c r="P896" s="17"/>
      <c r="Q896" s="17"/>
      <c r="R896" s="17"/>
      <c r="S896" s="17"/>
    </row>
    <row r="897" spans="16:19" ht="15.75" customHeight="1" x14ac:dyDescent="0.35">
      <c r="P897" s="17"/>
      <c r="Q897" s="17"/>
      <c r="R897" s="17"/>
      <c r="S897" s="17"/>
    </row>
    <row r="898" spans="16:19" ht="15.75" customHeight="1" x14ac:dyDescent="0.35">
      <c r="P898" s="17"/>
      <c r="Q898" s="17"/>
      <c r="R898" s="17"/>
      <c r="S898" s="17"/>
    </row>
    <row r="899" spans="16:19" ht="15.75" customHeight="1" x14ac:dyDescent="0.35">
      <c r="P899" s="17"/>
      <c r="Q899" s="17"/>
      <c r="R899" s="17"/>
      <c r="S899" s="17"/>
    </row>
    <row r="900" spans="16:19" ht="15.75" customHeight="1" x14ac:dyDescent="0.35">
      <c r="P900" s="17"/>
      <c r="Q900" s="17"/>
      <c r="R900" s="17"/>
      <c r="S900" s="17"/>
    </row>
    <row r="901" spans="16:19" ht="15.75" customHeight="1" x14ac:dyDescent="0.35">
      <c r="P901" s="17"/>
      <c r="Q901" s="17"/>
      <c r="R901" s="17"/>
      <c r="S901" s="17"/>
    </row>
    <row r="902" spans="16:19" ht="15.75" customHeight="1" x14ac:dyDescent="0.35">
      <c r="P902" s="17"/>
      <c r="Q902" s="17"/>
      <c r="R902" s="17"/>
      <c r="S902" s="17"/>
    </row>
    <row r="903" spans="16:19" ht="15.75" customHeight="1" x14ac:dyDescent="0.35">
      <c r="P903" s="17"/>
      <c r="Q903" s="17"/>
      <c r="R903" s="17"/>
      <c r="S903" s="17"/>
    </row>
    <row r="904" spans="16:19" ht="15.75" customHeight="1" x14ac:dyDescent="0.35">
      <c r="P904" s="17"/>
      <c r="Q904" s="17"/>
      <c r="R904" s="17"/>
      <c r="S904" s="17"/>
    </row>
    <row r="905" spans="16:19" ht="15.75" customHeight="1" x14ac:dyDescent="0.35">
      <c r="P905" s="17"/>
      <c r="Q905" s="17"/>
      <c r="R905" s="17"/>
      <c r="S905" s="17"/>
    </row>
    <row r="906" spans="16:19" ht="15.75" customHeight="1" x14ac:dyDescent="0.35">
      <c r="P906" s="17"/>
      <c r="Q906" s="17"/>
      <c r="R906" s="17"/>
      <c r="S906" s="17"/>
    </row>
    <row r="907" spans="16:19" ht="15.75" customHeight="1" x14ac:dyDescent="0.35">
      <c r="P907" s="17"/>
      <c r="Q907" s="17"/>
      <c r="R907" s="17"/>
      <c r="S907" s="17"/>
    </row>
    <row r="908" spans="16:19" ht="15.75" customHeight="1" x14ac:dyDescent="0.35">
      <c r="P908" s="17"/>
      <c r="Q908" s="17"/>
      <c r="R908" s="17"/>
      <c r="S908" s="17"/>
    </row>
    <row r="909" spans="16:19" ht="15.75" customHeight="1" x14ac:dyDescent="0.35">
      <c r="P909" s="17"/>
      <c r="Q909" s="17"/>
      <c r="R909" s="17"/>
      <c r="S909" s="17"/>
    </row>
    <row r="910" spans="16:19" ht="15.75" customHeight="1" x14ac:dyDescent="0.35">
      <c r="P910" s="17"/>
      <c r="Q910" s="17"/>
      <c r="R910" s="17"/>
      <c r="S910" s="17"/>
    </row>
    <row r="911" spans="16:19" ht="15.75" customHeight="1" x14ac:dyDescent="0.35">
      <c r="P911" s="17"/>
      <c r="Q911" s="17"/>
      <c r="R911" s="17"/>
      <c r="S911" s="17"/>
    </row>
    <row r="912" spans="16:19" ht="15.75" customHeight="1" x14ac:dyDescent="0.35">
      <c r="P912" s="17"/>
      <c r="Q912" s="17"/>
      <c r="R912" s="17"/>
      <c r="S912" s="17"/>
    </row>
    <row r="913" spans="16:19" ht="15.75" customHeight="1" x14ac:dyDescent="0.35">
      <c r="P913" s="17"/>
      <c r="Q913" s="17"/>
      <c r="R913" s="17"/>
      <c r="S913" s="17"/>
    </row>
    <row r="914" spans="16:19" ht="15.75" customHeight="1" x14ac:dyDescent="0.35">
      <c r="P914" s="17"/>
      <c r="Q914" s="17"/>
      <c r="R914" s="17"/>
      <c r="S914" s="17"/>
    </row>
    <row r="915" spans="16:19" ht="15.75" customHeight="1" x14ac:dyDescent="0.35">
      <c r="P915" s="17"/>
      <c r="Q915" s="17"/>
      <c r="R915" s="17"/>
      <c r="S915" s="17"/>
    </row>
    <row r="916" spans="16:19" ht="15.75" customHeight="1" x14ac:dyDescent="0.35">
      <c r="P916" s="17"/>
      <c r="Q916" s="17"/>
      <c r="R916" s="17"/>
      <c r="S916" s="17"/>
    </row>
    <row r="917" spans="16:19" ht="15.75" customHeight="1" x14ac:dyDescent="0.35">
      <c r="P917" s="17"/>
      <c r="Q917" s="17"/>
      <c r="R917" s="17"/>
      <c r="S917" s="17"/>
    </row>
    <row r="918" spans="16:19" ht="15.75" customHeight="1" x14ac:dyDescent="0.35">
      <c r="P918" s="17"/>
      <c r="Q918" s="17"/>
      <c r="R918" s="17"/>
      <c r="S918" s="17"/>
    </row>
    <row r="919" spans="16:19" ht="15.75" customHeight="1" x14ac:dyDescent="0.35">
      <c r="P919" s="17"/>
      <c r="Q919" s="17"/>
      <c r="R919" s="17"/>
      <c r="S919" s="17"/>
    </row>
    <row r="920" spans="16:19" ht="15.75" customHeight="1" x14ac:dyDescent="0.35">
      <c r="P920" s="17"/>
      <c r="Q920" s="17"/>
      <c r="R920" s="17"/>
      <c r="S920" s="17"/>
    </row>
    <row r="921" spans="16:19" ht="15.75" customHeight="1" x14ac:dyDescent="0.35">
      <c r="P921" s="17"/>
      <c r="Q921" s="17"/>
      <c r="R921" s="17"/>
      <c r="S921" s="17"/>
    </row>
    <row r="922" spans="16:19" ht="15.75" customHeight="1" x14ac:dyDescent="0.35">
      <c r="P922" s="17"/>
      <c r="Q922" s="17"/>
      <c r="R922" s="17"/>
      <c r="S922" s="17"/>
    </row>
    <row r="923" spans="16:19" ht="15.75" customHeight="1" x14ac:dyDescent="0.35">
      <c r="P923" s="17"/>
      <c r="Q923" s="17"/>
      <c r="R923" s="17"/>
      <c r="S923" s="17"/>
    </row>
    <row r="924" spans="16:19" ht="15.75" customHeight="1" x14ac:dyDescent="0.35">
      <c r="P924" s="17"/>
      <c r="Q924" s="17"/>
      <c r="R924" s="17"/>
      <c r="S924" s="17"/>
    </row>
    <row r="925" spans="16:19" ht="15.75" customHeight="1" x14ac:dyDescent="0.35">
      <c r="P925" s="17"/>
      <c r="Q925" s="17"/>
      <c r="R925" s="17"/>
      <c r="S925" s="17"/>
    </row>
    <row r="926" spans="16:19" ht="15.75" customHeight="1" x14ac:dyDescent="0.35">
      <c r="P926" s="17"/>
      <c r="Q926" s="17"/>
      <c r="R926" s="17"/>
      <c r="S926" s="17"/>
    </row>
    <row r="927" spans="16:19" ht="15.75" customHeight="1" x14ac:dyDescent="0.35">
      <c r="P927" s="17"/>
      <c r="Q927" s="17"/>
      <c r="R927" s="17"/>
      <c r="S927" s="17"/>
    </row>
    <row r="928" spans="16:19" ht="15.75" customHeight="1" x14ac:dyDescent="0.35">
      <c r="P928" s="17"/>
      <c r="Q928" s="17"/>
      <c r="R928" s="17"/>
      <c r="S928" s="17"/>
    </row>
    <row r="929" spans="16:19" ht="15.75" customHeight="1" x14ac:dyDescent="0.35">
      <c r="P929" s="17"/>
      <c r="Q929" s="17"/>
      <c r="R929" s="17"/>
      <c r="S929" s="17"/>
    </row>
    <row r="930" spans="16:19" ht="15.75" customHeight="1" x14ac:dyDescent="0.35">
      <c r="P930" s="17"/>
      <c r="Q930" s="17"/>
      <c r="R930" s="17"/>
      <c r="S930" s="17"/>
    </row>
    <row r="931" spans="16:19" ht="15.75" customHeight="1" x14ac:dyDescent="0.35">
      <c r="P931" s="17"/>
      <c r="Q931" s="17"/>
      <c r="R931" s="17"/>
      <c r="S931" s="17"/>
    </row>
    <row r="932" spans="16:19" ht="15.75" customHeight="1" x14ac:dyDescent="0.35">
      <c r="P932" s="17"/>
      <c r="Q932" s="17"/>
      <c r="R932" s="17"/>
      <c r="S932" s="17"/>
    </row>
    <row r="933" spans="16:19" ht="15.75" customHeight="1" x14ac:dyDescent="0.35">
      <c r="P933" s="17"/>
      <c r="Q933" s="17"/>
      <c r="R933" s="17"/>
      <c r="S933" s="17"/>
    </row>
    <row r="934" spans="16:19" ht="15.75" customHeight="1" x14ac:dyDescent="0.35">
      <c r="P934" s="17"/>
      <c r="Q934" s="17"/>
      <c r="R934" s="17"/>
      <c r="S934" s="17"/>
    </row>
    <row r="935" spans="16:19" ht="15.75" customHeight="1" x14ac:dyDescent="0.35">
      <c r="P935" s="17"/>
      <c r="Q935" s="17"/>
      <c r="R935" s="17"/>
      <c r="S935" s="17"/>
    </row>
    <row r="936" spans="16:19" ht="15.75" customHeight="1" x14ac:dyDescent="0.35">
      <c r="P936" s="17"/>
      <c r="Q936" s="17"/>
      <c r="R936" s="17"/>
      <c r="S936" s="17"/>
    </row>
    <row r="937" spans="16:19" ht="15.75" customHeight="1" x14ac:dyDescent="0.35">
      <c r="P937" s="17"/>
      <c r="Q937" s="17"/>
      <c r="R937" s="17"/>
      <c r="S937" s="17"/>
    </row>
    <row r="938" spans="16:19" ht="15.75" customHeight="1" x14ac:dyDescent="0.35">
      <c r="P938" s="17"/>
      <c r="Q938" s="17"/>
      <c r="R938" s="17"/>
      <c r="S938" s="17"/>
    </row>
    <row r="939" spans="16:19" ht="15.75" customHeight="1" x14ac:dyDescent="0.35">
      <c r="P939" s="17"/>
      <c r="Q939" s="17"/>
      <c r="R939" s="17"/>
      <c r="S939" s="17"/>
    </row>
    <row r="940" spans="16:19" ht="15.75" customHeight="1" x14ac:dyDescent="0.35">
      <c r="P940" s="17"/>
      <c r="Q940" s="17"/>
      <c r="R940" s="17"/>
      <c r="S940" s="17"/>
    </row>
    <row r="941" spans="16:19" ht="15.75" customHeight="1" x14ac:dyDescent="0.35">
      <c r="P941" s="17"/>
      <c r="Q941" s="17"/>
      <c r="R941" s="17"/>
      <c r="S941" s="17"/>
    </row>
    <row r="942" spans="16:19" ht="15.75" customHeight="1" x14ac:dyDescent="0.35">
      <c r="P942" s="17"/>
      <c r="Q942" s="17"/>
      <c r="R942" s="17"/>
      <c r="S942" s="17"/>
    </row>
    <row r="943" spans="16:19" ht="15.75" customHeight="1" x14ac:dyDescent="0.35">
      <c r="P943" s="17"/>
      <c r="Q943" s="17"/>
      <c r="R943" s="17"/>
      <c r="S943" s="17"/>
    </row>
    <row r="944" spans="16:19" ht="15.75" customHeight="1" x14ac:dyDescent="0.35">
      <c r="P944" s="17"/>
      <c r="Q944" s="17"/>
      <c r="R944" s="17"/>
      <c r="S944" s="17"/>
    </row>
    <row r="945" spans="16:19" ht="15.75" customHeight="1" x14ac:dyDescent="0.35">
      <c r="P945" s="17"/>
      <c r="Q945" s="17"/>
      <c r="R945" s="17"/>
      <c r="S945" s="17"/>
    </row>
    <row r="946" spans="16:19" ht="15.75" customHeight="1" x14ac:dyDescent="0.35">
      <c r="P946" s="17"/>
      <c r="Q946" s="17"/>
      <c r="R946" s="17"/>
      <c r="S946" s="17"/>
    </row>
    <row r="947" spans="16:19" ht="15.75" customHeight="1" x14ac:dyDescent="0.35">
      <c r="P947" s="17"/>
      <c r="Q947" s="17"/>
      <c r="R947" s="17"/>
      <c r="S947" s="17"/>
    </row>
    <row r="948" spans="16:19" ht="15.75" customHeight="1" x14ac:dyDescent="0.35">
      <c r="P948" s="17"/>
      <c r="Q948" s="17"/>
      <c r="R948" s="17"/>
      <c r="S948" s="17"/>
    </row>
    <row r="949" spans="16:19" ht="15.75" customHeight="1" x14ac:dyDescent="0.35">
      <c r="P949" s="17"/>
      <c r="Q949" s="17"/>
      <c r="R949" s="17"/>
      <c r="S949" s="17"/>
    </row>
    <row r="950" spans="16:19" ht="15.75" customHeight="1" x14ac:dyDescent="0.35">
      <c r="P950" s="17"/>
      <c r="Q950" s="17"/>
      <c r="R950" s="17"/>
      <c r="S950" s="17"/>
    </row>
    <row r="951" spans="16:19" ht="15.75" customHeight="1" x14ac:dyDescent="0.35">
      <c r="P951" s="17"/>
      <c r="Q951" s="17"/>
      <c r="R951" s="17"/>
      <c r="S951" s="17"/>
    </row>
    <row r="952" spans="16:19" ht="15.75" customHeight="1" x14ac:dyDescent="0.35">
      <c r="P952" s="17"/>
      <c r="Q952" s="17"/>
      <c r="R952" s="17"/>
      <c r="S952" s="17"/>
    </row>
    <row r="953" spans="16:19" ht="15.75" customHeight="1" x14ac:dyDescent="0.35">
      <c r="P953" s="17"/>
      <c r="Q953" s="17"/>
      <c r="R953" s="17"/>
      <c r="S953" s="17"/>
    </row>
    <row r="954" spans="16:19" ht="15.75" customHeight="1" x14ac:dyDescent="0.35">
      <c r="P954" s="17"/>
      <c r="Q954" s="17"/>
      <c r="R954" s="17"/>
      <c r="S954" s="17"/>
    </row>
    <row r="955" spans="16:19" ht="15.75" customHeight="1" x14ac:dyDescent="0.35">
      <c r="P955" s="17"/>
      <c r="Q955" s="17"/>
      <c r="R955" s="17"/>
      <c r="S955" s="17"/>
    </row>
    <row r="956" spans="16:19" ht="15.75" customHeight="1" x14ac:dyDescent="0.35">
      <c r="P956" s="17"/>
      <c r="Q956" s="17"/>
      <c r="R956" s="17"/>
      <c r="S956" s="17"/>
    </row>
    <row r="957" spans="16:19" ht="15.75" customHeight="1" x14ac:dyDescent="0.35">
      <c r="P957" s="17"/>
      <c r="Q957" s="17"/>
      <c r="R957" s="17"/>
      <c r="S957" s="17"/>
    </row>
    <row r="958" spans="16:19" ht="15.75" customHeight="1" x14ac:dyDescent="0.35">
      <c r="P958" s="17"/>
      <c r="Q958" s="17"/>
      <c r="R958" s="17"/>
      <c r="S958" s="17"/>
    </row>
    <row r="959" spans="16:19" ht="15.75" customHeight="1" x14ac:dyDescent="0.35">
      <c r="P959" s="17"/>
      <c r="Q959" s="17"/>
      <c r="R959" s="17"/>
      <c r="S959" s="17"/>
    </row>
    <row r="960" spans="16:19" ht="15.75" customHeight="1" x14ac:dyDescent="0.35">
      <c r="P960" s="17"/>
      <c r="Q960" s="17"/>
      <c r="R960" s="17"/>
      <c r="S960" s="17"/>
    </row>
    <row r="961" spans="16:19" ht="15.75" customHeight="1" x14ac:dyDescent="0.35">
      <c r="P961" s="17"/>
      <c r="Q961" s="17"/>
      <c r="R961" s="17"/>
      <c r="S961" s="17"/>
    </row>
    <row r="962" spans="16:19" ht="15.75" customHeight="1" x14ac:dyDescent="0.35">
      <c r="P962" s="17"/>
      <c r="Q962" s="17"/>
      <c r="R962" s="17"/>
      <c r="S962" s="17"/>
    </row>
    <row r="963" spans="16:19" ht="15.75" customHeight="1" x14ac:dyDescent="0.35">
      <c r="P963" s="17"/>
      <c r="Q963" s="17"/>
      <c r="R963" s="17"/>
      <c r="S963" s="17"/>
    </row>
    <row r="964" spans="16:19" ht="15.75" customHeight="1" x14ac:dyDescent="0.35">
      <c r="P964" s="17"/>
      <c r="Q964" s="17"/>
      <c r="R964" s="17"/>
      <c r="S964" s="17"/>
    </row>
    <row r="965" spans="16:19" ht="15.75" customHeight="1" x14ac:dyDescent="0.35">
      <c r="P965" s="17"/>
      <c r="Q965" s="17"/>
      <c r="R965" s="17"/>
      <c r="S965" s="17"/>
    </row>
    <row r="966" spans="16:19" ht="15.75" customHeight="1" x14ac:dyDescent="0.35">
      <c r="P966" s="17"/>
      <c r="Q966" s="17"/>
      <c r="R966" s="17"/>
      <c r="S966" s="17"/>
    </row>
    <row r="967" spans="16:19" ht="15.75" customHeight="1" x14ac:dyDescent="0.35">
      <c r="P967" s="17"/>
      <c r="Q967" s="17"/>
      <c r="R967" s="17"/>
      <c r="S967" s="17"/>
    </row>
    <row r="968" spans="16:19" ht="15.75" customHeight="1" x14ac:dyDescent="0.35">
      <c r="P968" s="17"/>
      <c r="Q968" s="17"/>
      <c r="R968" s="17"/>
      <c r="S968" s="17"/>
    </row>
    <row r="969" spans="16:19" ht="15.75" customHeight="1" x14ac:dyDescent="0.35">
      <c r="P969" s="17"/>
      <c r="Q969" s="17"/>
      <c r="R969" s="17"/>
      <c r="S969" s="17"/>
    </row>
    <row r="970" spans="16:19" ht="15.75" customHeight="1" x14ac:dyDescent="0.35">
      <c r="P970" s="17"/>
      <c r="Q970" s="17"/>
      <c r="R970" s="17"/>
      <c r="S970" s="17"/>
    </row>
    <row r="971" spans="16:19" ht="15.75" customHeight="1" x14ac:dyDescent="0.35">
      <c r="P971" s="17"/>
      <c r="Q971" s="17"/>
      <c r="R971" s="17"/>
      <c r="S971" s="17"/>
    </row>
    <row r="972" spans="16:19" ht="15.75" customHeight="1" x14ac:dyDescent="0.35">
      <c r="P972" s="17"/>
      <c r="Q972" s="17"/>
      <c r="R972" s="17"/>
      <c r="S972" s="17"/>
    </row>
    <row r="973" spans="16:19" ht="15.75" customHeight="1" x14ac:dyDescent="0.35">
      <c r="P973" s="17"/>
      <c r="Q973" s="17"/>
      <c r="R973" s="17"/>
      <c r="S973" s="17"/>
    </row>
    <row r="974" spans="16:19" ht="15.75" customHeight="1" x14ac:dyDescent="0.35">
      <c r="P974" s="17"/>
      <c r="Q974" s="17"/>
      <c r="R974" s="17"/>
      <c r="S974" s="17"/>
    </row>
    <row r="975" spans="16:19" ht="15.75" customHeight="1" x14ac:dyDescent="0.35">
      <c r="P975" s="17"/>
      <c r="Q975" s="17"/>
      <c r="R975" s="17"/>
      <c r="S975" s="17"/>
    </row>
    <row r="976" spans="16:19" ht="15.75" customHeight="1" x14ac:dyDescent="0.35">
      <c r="P976" s="17"/>
      <c r="Q976" s="17"/>
      <c r="R976" s="17"/>
      <c r="S976" s="17"/>
    </row>
    <row r="977" spans="16:19" ht="15.75" customHeight="1" x14ac:dyDescent="0.35">
      <c r="P977" s="17"/>
      <c r="Q977" s="17"/>
      <c r="R977" s="17"/>
      <c r="S977" s="17"/>
    </row>
    <row r="978" spans="16:19" ht="15.75" customHeight="1" x14ac:dyDescent="0.35">
      <c r="P978" s="17"/>
      <c r="Q978" s="17"/>
      <c r="R978" s="17"/>
      <c r="S978" s="17"/>
    </row>
    <row r="979" spans="16:19" ht="15.75" customHeight="1" x14ac:dyDescent="0.35">
      <c r="P979" s="17"/>
      <c r="Q979" s="17"/>
      <c r="R979" s="17"/>
      <c r="S979" s="17"/>
    </row>
    <row r="980" spans="16:19" ht="15.75" customHeight="1" x14ac:dyDescent="0.35">
      <c r="P980" s="17"/>
      <c r="Q980" s="17"/>
      <c r="R980" s="17"/>
      <c r="S980" s="17"/>
    </row>
    <row r="981" spans="16:19" ht="15.75" customHeight="1" x14ac:dyDescent="0.35">
      <c r="P981" s="17"/>
      <c r="Q981" s="17"/>
      <c r="R981" s="17"/>
      <c r="S981" s="17"/>
    </row>
    <row r="982" spans="16:19" ht="15.75" customHeight="1" x14ac:dyDescent="0.35">
      <c r="P982" s="17"/>
      <c r="Q982" s="17"/>
      <c r="R982" s="17"/>
      <c r="S982" s="17"/>
    </row>
    <row r="983" spans="16:19" ht="15.75" customHeight="1" x14ac:dyDescent="0.35">
      <c r="P983" s="17"/>
      <c r="Q983" s="17"/>
      <c r="R983" s="17"/>
      <c r="S983" s="17"/>
    </row>
    <row r="984" spans="16:19" ht="15.75" customHeight="1" x14ac:dyDescent="0.35">
      <c r="P984" s="17"/>
      <c r="Q984" s="17"/>
      <c r="R984" s="17"/>
      <c r="S984" s="17"/>
    </row>
    <row r="985" spans="16:19" ht="15.75" customHeight="1" x14ac:dyDescent="0.35">
      <c r="P985" s="17"/>
      <c r="Q985" s="17"/>
      <c r="R985" s="17"/>
      <c r="S985" s="17"/>
    </row>
    <row r="986" spans="16:19" ht="15.75" customHeight="1" x14ac:dyDescent="0.35">
      <c r="P986" s="17"/>
      <c r="Q986" s="17"/>
      <c r="R986" s="17"/>
      <c r="S986" s="17"/>
    </row>
    <row r="987" spans="16:19" ht="15.75" customHeight="1" x14ac:dyDescent="0.35">
      <c r="P987" s="17"/>
      <c r="Q987" s="17"/>
      <c r="R987" s="17"/>
      <c r="S987" s="17"/>
    </row>
    <row r="988" spans="16:19" ht="15.75" customHeight="1" x14ac:dyDescent="0.35">
      <c r="P988" s="17"/>
      <c r="Q988" s="17"/>
      <c r="R988" s="17"/>
      <c r="S988" s="17"/>
    </row>
    <row r="989" spans="16:19" ht="15.75" customHeight="1" x14ac:dyDescent="0.35">
      <c r="P989" s="17"/>
      <c r="Q989" s="17"/>
      <c r="R989" s="17"/>
      <c r="S989" s="17"/>
    </row>
    <row r="990" spans="16:19" ht="15.75" customHeight="1" x14ac:dyDescent="0.35">
      <c r="P990" s="17"/>
      <c r="Q990" s="17"/>
      <c r="R990" s="17"/>
      <c r="S990" s="17"/>
    </row>
    <row r="991" spans="16:19" ht="15.75" customHeight="1" x14ac:dyDescent="0.35">
      <c r="P991" s="17"/>
      <c r="Q991" s="17"/>
      <c r="R991" s="17"/>
      <c r="S991" s="17"/>
    </row>
    <row r="992" spans="16:19" ht="15.75" customHeight="1" x14ac:dyDescent="0.35">
      <c r="P992" s="17"/>
      <c r="Q992" s="17"/>
      <c r="R992" s="17"/>
      <c r="S992" s="17"/>
    </row>
    <row r="993" spans="16:19" ht="15.75" customHeight="1" x14ac:dyDescent="0.35">
      <c r="P993" s="17"/>
      <c r="Q993" s="17"/>
      <c r="R993" s="17"/>
      <c r="S993" s="17"/>
    </row>
    <row r="994" spans="16:19" ht="15.75" customHeight="1" x14ac:dyDescent="0.35">
      <c r="P994" s="17"/>
      <c r="Q994" s="17"/>
      <c r="R994" s="17"/>
      <c r="S994" s="17"/>
    </row>
    <row r="995" spans="16:19" ht="15.75" customHeight="1" x14ac:dyDescent="0.35">
      <c r="P995" s="17"/>
      <c r="Q995" s="17"/>
      <c r="R995" s="17"/>
      <c r="S995" s="17"/>
    </row>
    <row r="996" spans="16:19" ht="15.75" customHeight="1" x14ac:dyDescent="0.35">
      <c r="P996" s="17"/>
      <c r="Q996" s="17"/>
      <c r="R996" s="17"/>
      <c r="S996" s="17"/>
    </row>
    <row r="997" spans="16:19" ht="15.75" customHeight="1" x14ac:dyDescent="0.35">
      <c r="P997" s="17"/>
      <c r="Q997" s="17"/>
      <c r="R997" s="17"/>
      <c r="S997" s="17"/>
    </row>
    <row r="998" spans="16:19" ht="15.75" customHeight="1" x14ac:dyDescent="0.35">
      <c r="P998" s="17"/>
      <c r="Q998" s="17"/>
      <c r="R998" s="17"/>
      <c r="S998" s="17"/>
    </row>
    <row r="999" spans="16:19" ht="15.75" customHeight="1" x14ac:dyDescent="0.35">
      <c r="P999" s="17"/>
      <c r="Q999" s="17"/>
      <c r="R999" s="17"/>
      <c r="S999" s="17"/>
    </row>
    <row r="1000" spans="16:19" ht="15.75" customHeight="1" x14ac:dyDescent="0.35">
      <c r="P1000" s="17"/>
      <c r="Q1000" s="17"/>
      <c r="R1000" s="17"/>
      <c r="S1000" s="17"/>
    </row>
  </sheetData>
  <pageMargins left="0.7" right="0.7" top="0.75" bottom="0.75" header="0" footer="0"/>
  <pageSetup paperSize="9" orientation="portrait"/>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0"/>
  <sheetViews>
    <sheetView workbookViewId="0">
      <selection activeCell="C18" sqref="C18"/>
    </sheetView>
  </sheetViews>
  <sheetFormatPr baseColWidth="10" defaultColWidth="12.58203125" defaultRowHeight="12.5" x14ac:dyDescent="0.25"/>
  <cols>
    <col min="1" max="1" width="51.08203125" style="254" customWidth="1"/>
    <col min="2" max="2" width="22.58203125" style="254" customWidth="1"/>
    <col min="3" max="3" width="17" style="327" customWidth="1"/>
    <col min="4" max="4" width="16" style="254" customWidth="1"/>
    <col min="5" max="5" width="10.33203125" style="254" bestFit="1" customWidth="1"/>
    <col min="6" max="6" width="11.5" style="254" customWidth="1"/>
    <col min="7" max="7" width="19.5" style="254" customWidth="1"/>
    <col min="8" max="9" width="9.33203125" style="254" customWidth="1"/>
    <col min="10" max="10" width="12.08203125" style="254" bestFit="1" customWidth="1"/>
    <col min="11" max="26" width="9.33203125" style="254" customWidth="1"/>
    <col min="27" max="16384" width="12.58203125" style="254"/>
  </cols>
  <sheetData>
    <row r="1" spans="1:4" ht="13" x14ac:dyDescent="0.3">
      <c r="A1" s="253" t="s">
        <v>602</v>
      </c>
    </row>
    <row r="3" spans="1:4" ht="13.5" thickBot="1" x14ac:dyDescent="0.35">
      <c r="A3" s="253" t="s">
        <v>601</v>
      </c>
      <c r="B3" s="255"/>
    </row>
    <row r="4" spans="1:4" x14ac:dyDescent="0.25">
      <c r="A4" s="256" t="s">
        <v>603</v>
      </c>
      <c r="B4" s="257">
        <f>D34</f>
        <v>138430.95850058214</v>
      </c>
    </row>
    <row r="5" spans="1:4" x14ac:dyDescent="0.25">
      <c r="A5" s="258" t="s">
        <v>604</v>
      </c>
      <c r="B5" s="259">
        <f>D54</f>
        <v>94140.829586663778</v>
      </c>
    </row>
    <row r="6" spans="1:4" x14ac:dyDescent="0.25">
      <c r="A6" s="260" t="s">
        <v>605</v>
      </c>
      <c r="B6" s="259">
        <f>D74</f>
        <v>79766.629269331039</v>
      </c>
    </row>
    <row r="7" spans="1:4" x14ac:dyDescent="0.25">
      <c r="A7" s="260" t="s">
        <v>308</v>
      </c>
      <c r="B7" s="259">
        <f>D82</f>
        <v>44290.128913918365</v>
      </c>
    </row>
    <row r="8" spans="1:4" x14ac:dyDescent="0.25">
      <c r="A8" s="260" t="s">
        <v>315</v>
      </c>
      <c r="B8" s="259">
        <f>D90</f>
        <v>58664.329231251118</v>
      </c>
    </row>
    <row r="9" spans="1:4" ht="13" thickBot="1" x14ac:dyDescent="0.3">
      <c r="A9" s="261" t="s">
        <v>322</v>
      </c>
      <c r="B9" s="262">
        <f>D98</f>
        <v>51477.229072584742</v>
      </c>
    </row>
    <row r="10" spans="1:4" ht="13" thickBot="1" x14ac:dyDescent="0.3"/>
    <row r="11" spans="1:4" ht="13" x14ac:dyDescent="0.3">
      <c r="A11" s="328" t="s">
        <v>610</v>
      </c>
      <c r="B11" s="326" t="s">
        <v>253</v>
      </c>
      <c r="C11" s="326" t="s">
        <v>254</v>
      </c>
      <c r="D11" s="263" t="s">
        <v>255</v>
      </c>
    </row>
    <row r="12" spans="1:4" ht="13" x14ac:dyDescent="0.3">
      <c r="A12" s="264" t="s">
        <v>46</v>
      </c>
      <c r="B12" s="329"/>
      <c r="C12" s="329"/>
      <c r="D12" s="265"/>
    </row>
    <row r="13" spans="1:4" x14ac:dyDescent="0.25">
      <c r="A13" s="258" t="s">
        <v>256</v>
      </c>
      <c r="B13" s="329"/>
      <c r="C13" s="329"/>
      <c r="D13" s="266" t="str">
        <f>+'Input_Area and Costs'!A8</f>
        <v>Offices</v>
      </c>
    </row>
    <row r="14" spans="1:4" x14ac:dyDescent="0.25">
      <c r="A14" s="258" t="s">
        <v>247</v>
      </c>
      <c r="B14" s="329" t="s">
        <v>257</v>
      </c>
      <c r="C14" s="329" t="s">
        <v>251</v>
      </c>
      <c r="D14" s="267">
        <f>+'Input_Area and Costs'!B8</f>
        <v>60000</v>
      </c>
    </row>
    <row r="15" spans="1:4" x14ac:dyDescent="0.25">
      <c r="A15" s="258" t="s">
        <v>258</v>
      </c>
      <c r="B15" s="329" t="s">
        <v>259</v>
      </c>
      <c r="C15" s="329" t="s">
        <v>260</v>
      </c>
      <c r="D15" s="267">
        <f>'General Inputs&amp;Outputs'!$C$12</f>
        <v>15</v>
      </c>
    </row>
    <row r="16" spans="1:4" x14ac:dyDescent="0.25">
      <c r="B16" s="329"/>
      <c r="C16" s="329"/>
      <c r="D16" s="265"/>
    </row>
    <row r="17" spans="1:4" ht="13" x14ac:dyDescent="0.3">
      <c r="A17" s="264" t="s">
        <v>700</v>
      </c>
      <c r="B17" s="329"/>
      <c r="C17" s="329"/>
      <c r="D17" s="265"/>
    </row>
    <row r="18" spans="1:4" ht="13" x14ac:dyDescent="0.3">
      <c r="A18" s="264" t="s">
        <v>261</v>
      </c>
      <c r="B18" s="329"/>
      <c r="C18" s="333"/>
      <c r="D18" s="265"/>
    </row>
    <row r="19" spans="1:4" ht="13" x14ac:dyDescent="0.3">
      <c r="A19" s="268" t="s">
        <v>262</v>
      </c>
      <c r="B19" s="329" t="s">
        <v>263</v>
      </c>
      <c r="C19" s="329" t="s">
        <v>264</v>
      </c>
      <c r="D19" s="266">
        <f>'Energy use'!B625</f>
        <v>197</v>
      </c>
    </row>
    <row r="20" spans="1:4" ht="13" x14ac:dyDescent="0.3">
      <c r="A20" s="268" t="s">
        <v>265</v>
      </c>
      <c r="B20" s="329" t="s">
        <v>325</v>
      </c>
      <c r="C20" s="329" t="s">
        <v>264</v>
      </c>
      <c r="D20" s="266">
        <v>0</v>
      </c>
    </row>
    <row r="21" spans="1:4" ht="13" x14ac:dyDescent="0.3">
      <c r="A21" s="264" t="s">
        <v>267</v>
      </c>
      <c r="B21" s="329"/>
      <c r="C21" s="333"/>
      <c r="D21" s="265"/>
    </row>
    <row r="22" spans="1:4" ht="13" x14ac:dyDescent="0.3">
      <c r="A22" s="268" t="str">
        <f t="shared" ref="A22:A23" si="0">A19</f>
        <v>Electricity</v>
      </c>
      <c r="B22" s="329" t="s">
        <v>268</v>
      </c>
      <c r="C22" s="329" t="s">
        <v>269</v>
      </c>
      <c r="D22" s="269">
        <f>+'Input_Energy Context'!B12</f>
        <v>0.6388533474370115</v>
      </c>
    </row>
    <row r="23" spans="1:4" ht="13" x14ac:dyDescent="0.3">
      <c r="A23" s="268" t="str">
        <f t="shared" si="0"/>
        <v>Natural gas</v>
      </c>
      <c r="B23" s="329" t="s">
        <v>270</v>
      </c>
      <c r="C23" s="329" t="s">
        <v>269</v>
      </c>
      <c r="D23" s="266">
        <f>+'Input_Energy Context'!B13</f>
        <v>0.23100000000000001</v>
      </c>
    </row>
    <row r="24" spans="1:4" ht="13" x14ac:dyDescent="0.3">
      <c r="A24" s="264" t="s">
        <v>271</v>
      </c>
      <c r="B24" s="329"/>
      <c r="C24" s="333"/>
      <c r="D24" s="265"/>
    </row>
    <row r="25" spans="1:4" ht="13" x14ac:dyDescent="0.3">
      <c r="A25" s="268" t="str">
        <f t="shared" ref="A25:A26" si="1">A22</f>
        <v>Electricity</v>
      </c>
      <c r="B25" s="329" t="s">
        <v>272</v>
      </c>
      <c r="C25" s="329" t="s">
        <v>273</v>
      </c>
      <c r="D25" s="270">
        <f t="shared" ref="D25" si="2">+D19*D22</f>
        <v>125.85410944509127</v>
      </c>
    </row>
    <row r="26" spans="1:4" ht="13" x14ac:dyDescent="0.3">
      <c r="A26" s="268" t="str">
        <f t="shared" si="1"/>
        <v>Natural gas</v>
      </c>
      <c r="B26" s="329" t="s">
        <v>274</v>
      </c>
      <c r="C26" s="329" t="s">
        <v>273</v>
      </c>
      <c r="D26" s="270">
        <f>+D20*D23</f>
        <v>0</v>
      </c>
    </row>
    <row r="27" spans="1:4" ht="13" x14ac:dyDescent="0.3">
      <c r="A27" s="268" t="s">
        <v>275</v>
      </c>
      <c r="B27" s="329" t="s">
        <v>276</v>
      </c>
      <c r="C27" s="329" t="s">
        <v>273</v>
      </c>
      <c r="D27" s="270">
        <f>'Input_LC Materials'!B25/'Input_LC Materials'!E9</f>
        <v>419.37099999999998</v>
      </c>
    </row>
    <row r="28" spans="1:4" ht="13" x14ac:dyDescent="0.3">
      <c r="A28" s="264" t="s">
        <v>277</v>
      </c>
      <c r="B28" s="329"/>
      <c r="C28" s="333"/>
      <c r="D28" s="265"/>
    </row>
    <row r="29" spans="1:4" ht="13" x14ac:dyDescent="0.3">
      <c r="A29" s="268" t="str">
        <f>$A$25</f>
        <v>Electricity</v>
      </c>
      <c r="B29" s="329" t="s">
        <v>278</v>
      </c>
      <c r="C29" s="329" t="s">
        <v>279</v>
      </c>
      <c r="D29" s="267">
        <f>+D25*D14/1000</f>
        <v>7551.2465667054767</v>
      </c>
    </row>
    <row r="30" spans="1:4" ht="13" x14ac:dyDescent="0.3">
      <c r="A30" s="268" t="str">
        <f>$A$26</f>
        <v>Natural gas</v>
      </c>
      <c r="B30" s="329" t="s">
        <v>280</v>
      </c>
      <c r="C30" s="329" t="s">
        <v>279</v>
      </c>
      <c r="D30" s="267">
        <f>+D26*D14/1000</f>
        <v>0</v>
      </c>
    </row>
    <row r="31" spans="1:4" ht="13" x14ac:dyDescent="0.3">
      <c r="A31" s="268" t="str">
        <f>$A$25</f>
        <v>Electricity</v>
      </c>
      <c r="B31" s="329" t="s">
        <v>281</v>
      </c>
      <c r="C31" s="329" t="s">
        <v>577</v>
      </c>
      <c r="D31" s="267">
        <f>D29*$D$15</f>
        <v>113268.69850058215</v>
      </c>
    </row>
    <row r="32" spans="1:4" ht="13" x14ac:dyDescent="0.3">
      <c r="A32" s="268" t="str">
        <f>$A$26</f>
        <v>Natural gas</v>
      </c>
      <c r="B32" s="329" t="s">
        <v>282</v>
      </c>
      <c r="C32" s="329" t="s">
        <v>577</v>
      </c>
      <c r="D32" s="267">
        <f t="shared" ref="D32" si="3">D30*$D$15</f>
        <v>0</v>
      </c>
    </row>
    <row r="33" spans="1:4" ht="13" x14ac:dyDescent="0.3">
      <c r="A33" s="268" t="s">
        <v>275</v>
      </c>
      <c r="B33" s="329" t="s">
        <v>283</v>
      </c>
      <c r="C33" s="329" t="s">
        <v>577</v>
      </c>
      <c r="D33" s="267">
        <f>+D27*D14/1000</f>
        <v>25162.26</v>
      </c>
    </row>
    <row r="34" spans="1:4" ht="13.5" thickBot="1" x14ac:dyDescent="0.35">
      <c r="A34" s="325" t="s">
        <v>284</v>
      </c>
      <c r="B34" s="332"/>
      <c r="C34" s="332" t="s">
        <v>577</v>
      </c>
      <c r="D34" s="274">
        <f>SUM(D31:D33)</f>
        <v>138430.95850058214</v>
      </c>
    </row>
    <row r="35" spans="1:4" ht="13" thickBot="1" x14ac:dyDescent="0.3">
      <c r="B35" s="330"/>
      <c r="C35" s="330"/>
    </row>
    <row r="36" spans="1:4" ht="13" x14ac:dyDescent="0.3">
      <c r="A36" s="328" t="s">
        <v>604</v>
      </c>
      <c r="B36" s="326"/>
      <c r="C36" s="326"/>
      <c r="D36" s="263"/>
    </row>
    <row r="37" spans="1:4" ht="13" x14ac:dyDescent="0.3">
      <c r="A37" s="264" t="s">
        <v>285</v>
      </c>
      <c r="B37" s="329"/>
      <c r="C37" s="329"/>
      <c r="D37" s="265"/>
    </row>
    <row r="38" spans="1:4" ht="13" x14ac:dyDescent="0.3">
      <c r="A38" s="264" t="s">
        <v>261</v>
      </c>
      <c r="B38" s="329"/>
      <c r="C38" s="333"/>
      <c r="D38" s="265"/>
    </row>
    <row r="39" spans="1:4" ht="13" x14ac:dyDescent="0.3">
      <c r="A39" s="268" t="s">
        <v>262</v>
      </c>
      <c r="B39" s="329" t="s">
        <v>286</v>
      </c>
      <c r="C39" s="329" t="s">
        <v>264</v>
      </c>
      <c r="D39" s="266">
        <f>'Energy use'!C625</f>
        <v>125</v>
      </c>
    </row>
    <row r="40" spans="1:4" ht="13" x14ac:dyDescent="0.3">
      <c r="A40" s="268" t="s">
        <v>265</v>
      </c>
      <c r="B40" s="329" t="s">
        <v>325</v>
      </c>
      <c r="C40" s="329" t="s">
        <v>264</v>
      </c>
      <c r="D40" s="266">
        <v>0</v>
      </c>
    </row>
    <row r="41" spans="1:4" ht="13" x14ac:dyDescent="0.3">
      <c r="A41" s="264" t="s">
        <v>267</v>
      </c>
      <c r="B41" s="329"/>
      <c r="C41" s="329"/>
      <c r="D41" s="265"/>
    </row>
    <row r="42" spans="1:4" ht="13" x14ac:dyDescent="0.3">
      <c r="A42" s="268" t="str">
        <f t="shared" ref="A42:A43" si="4">A39</f>
        <v>Electricity</v>
      </c>
      <c r="B42" s="329" t="s">
        <v>268</v>
      </c>
      <c r="C42" s="329" t="s">
        <v>269</v>
      </c>
      <c r="D42" s="269">
        <f t="shared" ref="D42:D43" si="5">+D22</f>
        <v>0.6388533474370115</v>
      </c>
    </row>
    <row r="43" spans="1:4" ht="13" x14ac:dyDescent="0.3">
      <c r="A43" s="268" t="str">
        <f t="shared" si="4"/>
        <v>Natural gas</v>
      </c>
      <c r="B43" s="329" t="s">
        <v>270</v>
      </c>
      <c r="C43" s="329" t="s">
        <v>269</v>
      </c>
      <c r="D43" s="266">
        <f t="shared" si="5"/>
        <v>0.23100000000000001</v>
      </c>
    </row>
    <row r="44" spans="1:4" ht="13" x14ac:dyDescent="0.3">
      <c r="A44" s="264" t="s">
        <v>271</v>
      </c>
      <c r="B44" s="329"/>
      <c r="C44" s="329"/>
      <c r="D44" s="265"/>
    </row>
    <row r="45" spans="1:4" ht="13" x14ac:dyDescent="0.3">
      <c r="A45" s="268" t="str">
        <f t="shared" ref="A45:A46" si="6">A42</f>
        <v>Electricity</v>
      </c>
      <c r="B45" s="329" t="s">
        <v>288</v>
      </c>
      <c r="C45" s="329" t="s">
        <v>273</v>
      </c>
      <c r="D45" s="267">
        <f t="shared" ref="D45:D46" si="7">+D39*D42</f>
        <v>79.856668429626438</v>
      </c>
    </row>
    <row r="46" spans="1:4" ht="13" x14ac:dyDescent="0.3">
      <c r="A46" s="268" t="str">
        <f t="shared" si="6"/>
        <v>Natural gas</v>
      </c>
      <c r="B46" s="329" t="s">
        <v>289</v>
      </c>
      <c r="C46" s="329" t="s">
        <v>273</v>
      </c>
      <c r="D46" s="270">
        <f t="shared" si="7"/>
        <v>0</v>
      </c>
    </row>
    <row r="47" spans="1:4" ht="13" x14ac:dyDescent="0.3">
      <c r="A47" s="268" t="s">
        <v>275</v>
      </c>
      <c r="B47" s="329" t="s">
        <v>290</v>
      </c>
      <c r="C47" s="329" t="s">
        <v>273</v>
      </c>
      <c r="D47" s="270">
        <f>D27-'Input_LC Materials'!B25</f>
        <v>371.16379999999998</v>
      </c>
    </row>
    <row r="48" spans="1:4" ht="13" x14ac:dyDescent="0.3">
      <c r="A48" s="264" t="s">
        <v>277</v>
      </c>
      <c r="B48" s="329"/>
      <c r="C48" s="329"/>
      <c r="D48" s="265"/>
    </row>
    <row r="49" spans="1:5" ht="13" x14ac:dyDescent="0.3">
      <c r="A49" s="268" t="str">
        <f t="shared" ref="A49:A50" si="8">A45</f>
        <v>Electricity</v>
      </c>
      <c r="B49" s="329" t="s">
        <v>291</v>
      </c>
      <c r="C49" s="329" t="s">
        <v>279</v>
      </c>
      <c r="D49" s="267">
        <f>+D45*D14/1000</f>
        <v>4791.4001057775858</v>
      </c>
    </row>
    <row r="50" spans="1:5" ht="13" x14ac:dyDescent="0.3">
      <c r="A50" s="268" t="str">
        <f t="shared" si="8"/>
        <v>Natural gas</v>
      </c>
      <c r="B50" s="329" t="s">
        <v>292</v>
      </c>
      <c r="C50" s="329" t="s">
        <v>279</v>
      </c>
      <c r="D50" s="267">
        <f>+D46*D14/1000</f>
        <v>0</v>
      </c>
    </row>
    <row r="51" spans="1:5" ht="13" x14ac:dyDescent="0.3">
      <c r="A51" s="268" t="s">
        <v>262</v>
      </c>
      <c r="B51" s="329" t="s">
        <v>293</v>
      </c>
      <c r="C51" s="329" t="str">
        <f>$C$31</f>
        <v>tCO2 over lifetime</v>
      </c>
      <c r="D51" s="267">
        <f>D49*$D$15</f>
        <v>71871.001586663784</v>
      </c>
    </row>
    <row r="52" spans="1:5" ht="13" x14ac:dyDescent="0.3">
      <c r="A52" s="268" t="s">
        <v>265</v>
      </c>
      <c r="B52" s="329" t="s">
        <v>294</v>
      </c>
      <c r="C52" s="329" t="str">
        <f>$C$31</f>
        <v>tCO2 over lifetime</v>
      </c>
      <c r="D52" s="267">
        <f t="shared" ref="D52" si="9">D50*$D$15</f>
        <v>0</v>
      </c>
    </row>
    <row r="53" spans="1:5" ht="13" x14ac:dyDescent="0.3">
      <c r="A53" s="268" t="s">
        <v>275</v>
      </c>
      <c r="B53" s="329" t="s">
        <v>295</v>
      </c>
      <c r="C53" s="329" t="str">
        <f>$C$31</f>
        <v>tCO2 over lifetime</v>
      </c>
      <c r="D53" s="267">
        <f>+D47*D14/1000</f>
        <v>22269.828000000001</v>
      </c>
    </row>
    <row r="54" spans="1:5" ht="13.5" thickBot="1" x14ac:dyDescent="0.35">
      <c r="A54" s="325" t="s">
        <v>284</v>
      </c>
      <c r="B54" s="332"/>
      <c r="C54" s="332" t="str">
        <f>$C$31</f>
        <v>tCO2 over lifetime</v>
      </c>
      <c r="D54" s="274">
        <f>SUM(D51:D53)</f>
        <v>94140.829586663778</v>
      </c>
      <c r="E54" s="255"/>
    </row>
    <row r="55" spans="1:5" ht="13" thickBot="1" x14ac:dyDescent="0.3">
      <c r="A55" s="255"/>
      <c r="B55" s="330"/>
      <c r="C55" s="330"/>
      <c r="D55" s="255"/>
      <c r="E55" s="255"/>
    </row>
    <row r="56" spans="1:5" ht="13" x14ac:dyDescent="0.3">
      <c r="A56" s="328" t="s">
        <v>605</v>
      </c>
      <c r="B56" s="326"/>
      <c r="C56" s="326"/>
      <c r="D56" s="263"/>
      <c r="E56" s="255"/>
    </row>
    <row r="57" spans="1:5" ht="13" x14ac:dyDescent="0.3">
      <c r="A57" s="264" t="s">
        <v>285</v>
      </c>
      <c r="B57" s="329"/>
      <c r="C57" s="329"/>
      <c r="D57" s="265"/>
      <c r="E57" s="255"/>
    </row>
    <row r="58" spans="1:5" ht="13" x14ac:dyDescent="0.3">
      <c r="A58" s="264" t="s">
        <v>261</v>
      </c>
      <c r="B58" s="329"/>
      <c r="C58" s="329" t="s">
        <v>264</v>
      </c>
      <c r="D58" s="265"/>
    </row>
    <row r="59" spans="1:5" ht="13" x14ac:dyDescent="0.3">
      <c r="A59" s="268" t="s">
        <v>262</v>
      </c>
      <c r="B59" s="329" t="s">
        <v>296</v>
      </c>
      <c r="C59" s="329" t="s">
        <v>264</v>
      </c>
      <c r="D59" s="266">
        <f>'Energy use'!D625</f>
        <v>100</v>
      </c>
    </row>
    <row r="60" spans="1:5" ht="13" x14ac:dyDescent="0.3">
      <c r="A60" s="268" t="s">
        <v>265</v>
      </c>
      <c r="B60" s="329" t="s">
        <v>325</v>
      </c>
      <c r="C60" s="329" t="s">
        <v>264</v>
      </c>
      <c r="D60" s="266">
        <v>0</v>
      </c>
    </row>
    <row r="61" spans="1:5" ht="13" x14ac:dyDescent="0.3">
      <c r="A61" s="264" t="s">
        <v>267</v>
      </c>
      <c r="B61" s="329"/>
      <c r="C61" s="329"/>
      <c r="D61" s="265"/>
    </row>
    <row r="62" spans="1:5" ht="13" x14ac:dyDescent="0.3">
      <c r="A62" s="268" t="str">
        <f t="shared" ref="A62:A63" si="10">A59</f>
        <v>Electricity</v>
      </c>
      <c r="B62" s="329" t="s">
        <v>268</v>
      </c>
      <c r="C62" s="329" t="s">
        <v>298</v>
      </c>
      <c r="D62" s="269">
        <f>+D42</f>
        <v>0.6388533474370115</v>
      </c>
    </row>
    <row r="63" spans="1:5" ht="13" x14ac:dyDescent="0.3">
      <c r="A63" s="268" t="str">
        <f t="shared" si="10"/>
        <v>Natural gas</v>
      </c>
      <c r="B63" s="329" t="s">
        <v>270</v>
      </c>
      <c r="C63" s="329" t="s">
        <v>298</v>
      </c>
      <c r="D63" s="266">
        <f>+D43</f>
        <v>0.23100000000000001</v>
      </c>
    </row>
    <row r="64" spans="1:5" ht="13" x14ac:dyDescent="0.3">
      <c r="A64" s="264" t="s">
        <v>271</v>
      </c>
      <c r="B64" s="329"/>
      <c r="C64" s="329"/>
      <c r="D64" s="265"/>
    </row>
    <row r="65" spans="1:4" ht="13" x14ac:dyDescent="0.3">
      <c r="A65" s="268" t="str">
        <f t="shared" ref="A65:A66" si="11">A62</f>
        <v>Electricity</v>
      </c>
      <c r="B65" s="329" t="s">
        <v>299</v>
      </c>
      <c r="C65" s="329" t="s">
        <v>264</v>
      </c>
      <c r="D65" s="267">
        <f t="shared" ref="D65:D66" si="12">+D59*D62</f>
        <v>63.885334743701151</v>
      </c>
    </row>
    <row r="66" spans="1:4" ht="13" x14ac:dyDescent="0.3">
      <c r="A66" s="268" t="str">
        <f t="shared" si="11"/>
        <v>Natural gas</v>
      </c>
      <c r="B66" s="329" t="s">
        <v>300</v>
      </c>
      <c r="C66" s="329" t="s">
        <v>264</v>
      </c>
      <c r="D66" s="270">
        <f t="shared" si="12"/>
        <v>0</v>
      </c>
    </row>
    <row r="67" spans="1:4" ht="13" x14ac:dyDescent="0.3">
      <c r="A67" s="268" t="s">
        <v>275</v>
      </c>
      <c r="B67" s="329" t="s">
        <v>301</v>
      </c>
      <c r="C67" s="329" t="s">
        <v>302</v>
      </c>
      <c r="D67" s="270">
        <f>D47</f>
        <v>371.16379999999998</v>
      </c>
    </row>
    <row r="68" spans="1:4" ht="13" x14ac:dyDescent="0.3">
      <c r="A68" s="264" t="s">
        <v>277</v>
      </c>
      <c r="B68" s="329"/>
      <c r="C68" s="329"/>
      <c r="D68" s="265"/>
    </row>
    <row r="69" spans="1:4" ht="13" x14ac:dyDescent="0.3">
      <c r="A69" s="268" t="str">
        <f t="shared" ref="A69:A70" si="13">A65</f>
        <v>Electricity</v>
      </c>
      <c r="B69" s="329" t="s">
        <v>303</v>
      </c>
      <c r="C69" s="329" t="s">
        <v>279</v>
      </c>
      <c r="D69" s="267">
        <f t="shared" ref="D69:D70" si="14">+D65*$D$14/1000</f>
        <v>3833.120084622069</v>
      </c>
    </row>
    <row r="70" spans="1:4" ht="13" x14ac:dyDescent="0.3">
      <c r="A70" s="268" t="str">
        <f t="shared" si="13"/>
        <v>Natural gas</v>
      </c>
      <c r="B70" s="329" t="s">
        <v>304</v>
      </c>
      <c r="C70" s="329" t="s">
        <v>279</v>
      </c>
      <c r="D70" s="267">
        <f t="shared" si="14"/>
        <v>0</v>
      </c>
    </row>
    <row r="71" spans="1:4" ht="13" x14ac:dyDescent="0.3">
      <c r="A71" s="268" t="s">
        <v>262</v>
      </c>
      <c r="B71" s="329" t="s">
        <v>305</v>
      </c>
      <c r="C71" s="329" t="str">
        <f>$C$31</f>
        <v>tCO2 over lifetime</v>
      </c>
      <c r="D71" s="267">
        <f t="shared" ref="D71:D72" si="15">D69*$D$15</f>
        <v>57496.801269331037</v>
      </c>
    </row>
    <row r="72" spans="1:4" ht="13" x14ac:dyDescent="0.3">
      <c r="A72" s="268" t="s">
        <v>265</v>
      </c>
      <c r="B72" s="329" t="s">
        <v>306</v>
      </c>
      <c r="C72" s="329" t="str">
        <f>$C$31</f>
        <v>tCO2 over lifetime</v>
      </c>
      <c r="D72" s="267">
        <f t="shared" si="15"/>
        <v>0</v>
      </c>
    </row>
    <row r="73" spans="1:4" ht="13" x14ac:dyDescent="0.3">
      <c r="A73" s="268" t="s">
        <v>275</v>
      </c>
      <c r="B73" s="329" t="s">
        <v>307</v>
      </c>
      <c r="C73" s="329" t="str">
        <f>$C$31</f>
        <v>tCO2 over lifetime</v>
      </c>
      <c r="D73" s="267">
        <f>+D67*$D$14/1000</f>
        <v>22269.828000000001</v>
      </c>
    </row>
    <row r="74" spans="1:4" ht="13.5" thickBot="1" x14ac:dyDescent="0.35">
      <c r="A74" s="325" t="s">
        <v>284</v>
      </c>
      <c r="B74" s="332"/>
      <c r="C74" s="332" t="str">
        <f>$C$31</f>
        <v>tCO2 over lifetime</v>
      </c>
      <c r="D74" s="274">
        <f>SUM(D71:D73)</f>
        <v>79766.629269331039</v>
      </c>
    </row>
    <row r="75" spans="1:4" ht="13" thickBot="1" x14ac:dyDescent="0.3">
      <c r="B75" s="330"/>
      <c r="C75" s="330"/>
    </row>
    <row r="76" spans="1:4" ht="13" x14ac:dyDescent="0.3">
      <c r="A76" s="272" t="s">
        <v>606</v>
      </c>
      <c r="B76" s="331"/>
      <c r="C76" s="331"/>
      <c r="D76" s="273"/>
    </row>
    <row r="77" spans="1:4" x14ac:dyDescent="0.25">
      <c r="A77" s="258" t="s">
        <v>262</v>
      </c>
      <c r="B77" s="329" t="s">
        <v>309</v>
      </c>
      <c r="C77" s="334" t="s">
        <v>279</v>
      </c>
      <c r="D77" s="267">
        <f>+D29-D49</f>
        <v>2759.8464609278908</v>
      </c>
    </row>
    <row r="78" spans="1:4" x14ac:dyDescent="0.25">
      <c r="A78" s="258" t="s">
        <v>265</v>
      </c>
      <c r="B78" s="329" t="s">
        <v>310</v>
      </c>
      <c r="C78" s="329" t="s">
        <v>279</v>
      </c>
      <c r="D78" s="267">
        <f>+D30-D50</f>
        <v>0</v>
      </c>
    </row>
    <row r="79" spans="1:4" x14ac:dyDescent="0.25">
      <c r="A79" s="258" t="s">
        <v>262</v>
      </c>
      <c r="B79" s="329" t="s">
        <v>311</v>
      </c>
      <c r="C79" s="329" t="str">
        <f>$C$31</f>
        <v>tCO2 over lifetime</v>
      </c>
      <c r="D79" s="267">
        <f>D77*$D$15</f>
        <v>41397.696913918364</v>
      </c>
    </row>
    <row r="80" spans="1:4" x14ac:dyDescent="0.25">
      <c r="A80" s="258" t="s">
        <v>265</v>
      </c>
      <c r="B80" s="329" t="s">
        <v>312</v>
      </c>
      <c r="C80" s="329" t="str">
        <f>$C$31</f>
        <v>tCO2 over lifetime</v>
      </c>
      <c r="D80" s="267">
        <f t="shared" ref="D80" si="16">D78*$D$15</f>
        <v>0</v>
      </c>
    </row>
    <row r="81" spans="1:4" x14ac:dyDescent="0.25">
      <c r="A81" s="258" t="s">
        <v>275</v>
      </c>
      <c r="B81" s="329" t="s">
        <v>313</v>
      </c>
      <c r="C81" s="329" t="str">
        <f>$C$31</f>
        <v>tCO2 over lifetime</v>
      </c>
      <c r="D81" s="267">
        <f>+D33-D53</f>
        <v>2892.4319999999971</v>
      </c>
    </row>
    <row r="82" spans="1:4" ht="13.5" thickBot="1" x14ac:dyDescent="0.35">
      <c r="A82" s="275" t="s">
        <v>284</v>
      </c>
      <c r="B82" s="332" t="s">
        <v>314</v>
      </c>
      <c r="C82" s="332" t="str">
        <f>$C$31</f>
        <v>tCO2 over lifetime</v>
      </c>
      <c r="D82" s="274">
        <f>SUM(D79:D81)</f>
        <v>44290.128913918365</v>
      </c>
    </row>
    <row r="83" spans="1:4" ht="13" thickBot="1" x14ac:dyDescent="0.3">
      <c r="B83" s="330"/>
      <c r="C83" s="330"/>
    </row>
    <row r="84" spans="1:4" ht="13" x14ac:dyDescent="0.3">
      <c r="A84" s="272" t="s">
        <v>608</v>
      </c>
      <c r="B84" s="331"/>
      <c r="C84" s="331"/>
      <c r="D84" s="273"/>
    </row>
    <row r="85" spans="1:4" x14ac:dyDescent="0.25">
      <c r="A85" s="258" t="s">
        <v>262</v>
      </c>
      <c r="B85" s="329" t="s">
        <v>316</v>
      </c>
      <c r="C85" s="329" t="s">
        <v>279</v>
      </c>
      <c r="D85" s="267">
        <f>+D29-D69</f>
        <v>3718.1264820834076</v>
      </c>
    </row>
    <row r="86" spans="1:4" x14ac:dyDescent="0.25">
      <c r="A86" s="258" t="s">
        <v>265</v>
      </c>
      <c r="B86" s="329" t="s">
        <v>317</v>
      </c>
      <c r="C86" s="329" t="str">
        <f>$C$31</f>
        <v>tCO2 over lifetime</v>
      </c>
      <c r="D86" s="267">
        <f>+D30-D70</f>
        <v>0</v>
      </c>
    </row>
    <row r="87" spans="1:4" x14ac:dyDescent="0.25">
      <c r="A87" s="258" t="s">
        <v>262</v>
      </c>
      <c r="B87" s="329" t="s">
        <v>318</v>
      </c>
      <c r="C87" s="329" t="str">
        <f>$C$31</f>
        <v>tCO2 over lifetime</v>
      </c>
      <c r="D87" s="267">
        <f t="shared" ref="D87:D88" si="17">D85*$D$15</f>
        <v>55771.897231251118</v>
      </c>
    </row>
    <row r="88" spans="1:4" x14ac:dyDescent="0.25">
      <c r="A88" s="258" t="s">
        <v>265</v>
      </c>
      <c r="B88" s="329" t="s">
        <v>319</v>
      </c>
      <c r="C88" s="329" t="str">
        <f>$C$31</f>
        <v>tCO2 over lifetime</v>
      </c>
      <c r="D88" s="267">
        <f t="shared" si="17"/>
        <v>0</v>
      </c>
    </row>
    <row r="89" spans="1:4" x14ac:dyDescent="0.25">
      <c r="A89" s="258" t="s">
        <v>275</v>
      </c>
      <c r="B89" s="329" t="s">
        <v>320</v>
      </c>
      <c r="C89" s="329" t="str">
        <f>$C$31</f>
        <v>tCO2 over lifetime</v>
      </c>
      <c r="D89" s="267">
        <f>+D33-D73</f>
        <v>2892.4319999999971</v>
      </c>
    </row>
    <row r="90" spans="1:4" ht="13.5" thickBot="1" x14ac:dyDescent="0.35">
      <c r="A90" s="275" t="s">
        <v>284</v>
      </c>
      <c r="B90" s="332" t="s">
        <v>321</v>
      </c>
      <c r="C90" s="332" t="str">
        <f>$C$31</f>
        <v>tCO2 over lifetime</v>
      </c>
      <c r="D90" s="274">
        <f>SUM(D87:D89)</f>
        <v>58664.329231251118</v>
      </c>
    </row>
    <row r="91" spans="1:4" ht="13" thickBot="1" x14ac:dyDescent="0.3">
      <c r="B91" s="330"/>
      <c r="C91" s="330"/>
    </row>
    <row r="92" spans="1:4" ht="13" x14ac:dyDescent="0.3">
      <c r="A92" s="272" t="s">
        <v>607</v>
      </c>
      <c r="B92" s="331"/>
      <c r="C92" s="331"/>
      <c r="D92" s="273"/>
    </row>
    <row r="93" spans="1:4" x14ac:dyDescent="0.25">
      <c r="A93" s="258" t="s">
        <v>262</v>
      </c>
      <c r="B93" s="329" t="s">
        <v>323</v>
      </c>
      <c r="C93" s="329" t="s">
        <v>279</v>
      </c>
      <c r="D93" s="267">
        <f t="shared" ref="D93:D94" si="18">+AVERAGE(D85,D77)</f>
        <v>3238.9864715056492</v>
      </c>
    </row>
    <row r="94" spans="1:4" x14ac:dyDescent="0.25">
      <c r="A94" s="258" t="s">
        <v>265</v>
      </c>
      <c r="B94" s="329" t="s">
        <v>323</v>
      </c>
      <c r="C94" s="329" t="str">
        <f>$C$31</f>
        <v>tCO2 over lifetime</v>
      </c>
      <c r="D94" s="267">
        <f t="shared" si="18"/>
        <v>0</v>
      </c>
    </row>
    <row r="95" spans="1:4" x14ac:dyDescent="0.25">
      <c r="A95" s="258" t="s">
        <v>262</v>
      </c>
      <c r="B95" s="329" t="s">
        <v>323</v>
      </c>
      <c r="C95" s="329" t="str">
        <f>$C$31</f>
        <v>tCO2 over lifetime</v>
      </c>
      <c r="D95" s="267">
        <f t="shared" ref="D95:D96" si="19">D93*$D$15</f>
        <v>48584.797072584741</v>
      </c>
    </row>
    <row r="96" spans="1:4" x14ac:dyDescent="0.25">
      <c r="A96" s="258" t="s">
        <v>265</v>
      </c>
      <c r="B96" s="329" t="s">
        <v>323</v>
      </c>
      <c r="C96" s="329" t="str">
        <f>$C$31</f>
        <v>tCO2 over lifetime</v>
      </c>
      <c r="D96" s="267">
        <f t="shared" si="19"/>
        <v>0</v>
      </c>
    </row>
    <row r="97" spans="1:7" x14ac:dyDescent="0.25">
      <c r="A97" s="258" t="s">
        <v>275</v>
      </c>
      <c r="B97" s="329" t="s">
        <v>323</v>
      </c>
      <c r="C97" s="329" t="str">
        <f>$C$31</f>
        <v>tCO2 over lifetime</v>
      </c>
      <c r="D97" s="267">
        <f>+AVERAGE(D89,D81)</f>
        <v>2892.4319999999971</v>
      </c>
    </row>
    <row r="98" spans="1:7" ht="13.5" thickBot="1" x14ac:dyDescent="0.35">
      <c r="A98" s="275" t="s">
        <v>284</v>
      </c>
      <c r="B98" s="332" t="s">
        <v>324</v>
      </c>
      <c r="C98" s="332" t="str">
        <f>$C$31</f>
        <v>tCO2 over lifetime</v>
      </c>
      <c r="D98" s="274">
        <f>SUM(D95:D97)</f>
        <v>51477.229072584742</v>
      </c>
    </row>
    <row r="100" spans="1:7" x14ac:dyDescent="0.25">
      <c r="A100" s="254" t="s">
        <v>709</v>
      </c>
      <c r="D100" s="375">
        <f>D97/D98</f>
        <v>5.6188572153360546E-2</v>
      </c>
    </row>
    <row r="102" spans="1:7" ht="13" x14ac:dyDescent="0.3">
      <c r="A102" s="398" t="s">
        <v>730</v>
      </c>
    </row>
    <row r="103" spans="1:7" ht="13" thickBot="1" x14ac:dyDescent="0.3">
      <c r="C103" s="254"/>
    </row>
    <row r="104" spans="1:7" ht="13" x14ac:dyDescent="0.3">
      <c r="A104" s="393" t="s">
        <v>728</v>
      </c>
      <c r="B104" s="394" t="str">
        <f>C19</f>
        <v>kWh/m2/yr</v>
      </c>
      <c r="G104" s="391"/>
    </row>
    <row r="105" spans="1:7" ht="13" x14ac:dyDescent="0.3">
      <c r="A105" s="395" t="s">
        <v>172</v>
      </c>
      <c r="B105" s="265"/>
      <c r="C105" s="254"/>
    </row>
    <row r="106" spans="1:7" x14ac:dyDescent="0.25">
      <c r="A106" s="260" t="s">
        <v>726</v>
      </c>
      <c r="B106" s="265">
        <f>D19</f>
        <v>197</v>
      </c>
    </row>
    <row r="107" spans="1:7" x14ac:dyDescent="0.25">
      <c r="A107" s="260" t="s">
        <v>727</v>
      </c>
      <c r="B107" s="265">
        <f>D20</f>
        <v>0</v>
      </c>
    </row>
    <row r="108" spans="1:7" ht="13" x14ac:dyDescent="0.3">
      <c r="A108" s="396" t="s">
        <v>249</v>
      </c>
      <c r="B108" s="265"/>
    </row>
    <row r="109" spans="1:7" x14ac:dyDescent="0.25">
      <c r="A109" s="260" t="s">
        <v>726</v>
      </c>
      <c r="B109" s="265">
        <f>D39</f>
        <v>125</v>
      </c>
    </row>
    <row r="110" spans="1:7" x14ac:dyDescent="0.25">
      <c r="A110" s="260" t="s">
        <v>727</v>
      </c>
      <c r="B110" s="265">
        <f>D40</f>
        <v>0</v>
      </c>
    </row>
    <row r="111" spans="1:7" ht="13" x14ac:dyDescent="0.3">
      <c r="A111" s="396" t="s">
        <v>250</v>
      </c>
      <c r="B111" s="265"/>
    </row>
    <row r="112" spans="1:7" x14ac:dyDescent="0.25">
      <c r="A112" s="260" t="s">
        <v>726</v>
      </c>
      <c r="B112" s="265">
        <f>D59</f>
        <v>100</v>
      </c>
    </row>
    <row r="113" spans="1:2" x14ac:dyDescent="0.25">
      <c r="A113" s="260" t="s">
        <v>727</v>
      </c>
      <c r="B113" s="265">
        <f>D60</f>
        <v>0</v>
      </c>
    </row>
    <row r="114" spans="1:2" ht="13" x14ac:dyDescent="0.3">
      <c r="A114" s="396" t="s">
        <v>731</v>
      </c>
      <c r="B114" s="265"/>
    </row>
    <row r="115" spans="1:2" x14ac:dyDescent="0.25">
      <c r="A115" s="260" t="s">
        <v>726</v>
      </c>
      <c r="B115" s="265">
        <f>AVERAGE(B109,B112)</f>
        <v>112.5</v>
      </c>
    </row>
    <row r="116" spans="1:2" ht="13" thickBot="1" x14ac:dyDescent="0.3">
      <c r="A116" s="261" t="s">
        <v>727</v>
      </c>
      <c r="B116" s="397">
        <f>AVERAGE(B110,B113)</f>
        <v>0</v>
      </c>
    </row>
    <row r="117" spans="1:2" ht="13" thickBot="1" x14ac:dyDescent="0.3"/>
    <row r="118" spans="1:2" ht="13" x14ac:dyDescent="0.3">
      <c r="A118" s="393" t="s">
        <v>729</v>
      </c>
      <c r="B118" s="394" t="s">
        <v>725</v>
      </c>
    </row>
    <row r="119" spans="1:2" ht="13" x14ac:dyDescent="0.3">
      <c r="A119" s="395" t="s">
        <v>172</v>
      </c>
      <c r="B119" s="265"/>
    </row>
    <row r="120" spans="1:2" x14ac:dyDescent="0.25">
      <c r="A120" s="260" t="s">
        <v>726</v>
      </c>
      <c r="B120" s="259">
        <f>B106*D14/1000</f>
        <v>11820</v>
      </c>
    </row>
    <row r="121" spans="1:2" x14ac:dyDescent="0.25">
      <c r="A121" s="260" t="s">
        <v>727</v>
      </c>
      <c r="B121" s="259">
        <f>B107*D15/1000</f>
        <v>0</v>
      </c>
    </row>
    <row r="122" spans="1:2" ht="13" x14ac:dyDescent="0.3">
      <c r="A122" s="396" t="s">
        <v>731</v>
      </c>
      <c r="B122" s="265"/>
    </row>
    <row r="123" spans="1:2" x14ac:dyDescent="0.25">
      <c r="A123" s="260" t="s">
        <v>726</v>
      </c>
      <c r="B123" s="259">
        <f>B115*D14/1000</f>
        <v>6750</v>
      </c>
    </row>
    <row r="124" spans="1:2" ht="13" thickBot="1" x14ac:dyDescent="0.3">
      <c r="A124" s="261" t="s">
        <v>727</v>
      </c>
      <c r="B124" s="262">
        <f>B116*D15</f>
        <v>0</v>
      </c>
    </row>
    <row r="125" spans="1:2" ht="13" thickBot="1" x14ac:dyDescent="0.3">
      <c r="B125" s="392"/>
    </row>
    <row r="126" spans="1:2" ht="13" x14ac:dyDescent="0.3">
      <c r="A126" s="393" t="s">
        <v>732</v>
      </c>
      <c r="B126" s="394" t="s">
        <v>725</v>
      </c>
    </row>
    <row r="127" spans="1:2" ht="13" x14ac:dyDescent="0.3">
      <c r="A127" s="396" t="s">
        <v>731</v>
      </c>
      <c r="B127" s="399"/>
    </row>
    <row r="128" spans="1:2" x14ac:dyDescent="0.25">
      <c r="A128" s="260" t="s">
        <v>726</v>
      </c>
      <c r="B128" s="259">
        <f>B120-B123</f>
        <v>5070</v>
      </c>
    </row>
    <row r="129" spans="1:2" ht="13" thickBot="1" x14ac:dyDescent="0.3">
      <c r="A129" s="261" t="s">
        <v>727</v>
      </c>
      <c r="B129" s="262">
        <f>B121-B124</f>
        <v>0</v>
      </c>
    </row>
    <row r="130" spans="1:2" x14ac:dyDescent="0.25">
      <c r="A130" s="255"/>
      <c r="B130" s="401"/>
    </row>
  </sheetData>
  <pageMargins left="0.7" right="0.7" top="0.75" bottom="0.75" header="0" footer="0"/>
  <pageSetup orientation="landscape"/>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00"/>
  <sheetViews>
    <sheetView workbookViewId="0"/>
  </sheetViews>
  <sheetFormatPr baseColWidth="10" defaultColWidth="12.58203125" defaultRowHeight="15" customHeight="1" x14ac:dyDescent="0.3"/>
  <cols>
    <col min="1" max="1" width="14.83203125" customWidth="1"/>
    <col min="2" max="2" width="15" customWidth="1"/>
    <col min="3" max="5" width="14.83203125" customWidth="1"/>
    <col min="6" max="6" width="20" customWidth="1"/>
    <col min="7" max="8" width="12.83203125" customWidth="1"/>
    <col min="9" max="9" width="10.83203125" customWidth="1"/>
    <col min="10" max="10" width="22" customWidth="1"/>
    <col min="11" max="11" width="22.58203125" customWidth="1"/>
    <col min="12" max="12" width="20.5" customWidth="1"/>
    <col min="13" max="13" width="12.83203125" customWidth="1"/>
    <col min="14" max="14" width="13.08203125" customWidth="1"/>
    <col min="15" max="15" width="18.58203125" customWidth="1"/>
    <col min="16" max="16" width="21.5" customWidth="1"/>
    <col min="17" max="17" width="12" customWidth="1"/>
    <col min="18" max="18" width="21.33203125" customWidth="1"/>
    <col min="19" max="19" width="20.08203125" customWidth="1"/>
    <col min="20" max="20" width="21.08203125" customWidth="1"/>
    <col min="21" max="21" width="22" customWidth="1"/>
    <col min="22" max="23" width="21.5" customWidth="1"/>
    <col min="24" max="24" width="21" customWidth="1"/>
    <col min="25" max="26" width="10" customWidth="1"/>
  </cols>
  <sheetData>
    <row r="1" spans="1:24" ht="23.25" customHeight="1" x14ac:dyDescent="0.3">
      <c r="A1" s="506" t="s">
        <v>327</v>
      </c>
      <c r="B1" s="507"/>
      <c r="C1" s="507"/>
      <c r="D1" s="507"/>
      <c r="E1" s="507"/>
      <c r="F1" s="507"/>
      <c r="G1" s="507"/>
      <c r="H1" s="26"/>
      <c r="I1" s="26"/>
      <c r="J1" s="499" t="s">
        <v>328</v>
      </c>
      <c r="K1" s="500"/>
      <c r="L1" s="500"/>
      <c r="M1" s="500"/>
      <c r="N1" s="500"/>
      <c r="O1" s="501"/>
      <c r="P1" s="499" t="s">
        <v>329</v>
      </c>
      <c r="Q1" s="500"/>
      <c r="R1" s="500"/>
      <c r="S1" s="500"/>
      <c r="T1" s="501"/>
      <c r="U1" s="499" t="s">
        <v>330</v>
      </c>
      <c r="V1" s="500"/>
      <c r="W1" s="501"/>
      <c r="X1" s="9" t="s">
        <v>331</v>
      </c>
    </row>
    <row r="2" spans="1:24" ht="14.5" x14ac:dyDescent="0.35">
      <c r="A2" s="69" t="s">
        <v>332</v>
      </c>
      <c r="B2" s="70" t="s">
        <v>333</v>
      </c>
      <c r="C2" s="70" t="s">
        <v>334</v>
      </c>
      <c r="D2" s="70" t="s">
        <v>335</v>
      </c>
      <c r="E2" s="70" t="s">
        <v>336</v>
      </c>
      <c r="F2" s="7" t="s">
        <v>337</v>
      </c>
      <c r="G2" s="7" t="s">
        <v>338</v>
      </c>
      <c r="H2" s="44"/>
      <c r="I2" s="71"/>
      <c r="J2" s="72" t="s">
        <v>339</v>
      </c>
      <c r="K2" s="73" t="s">
        <v>340</v>
      </c>
      <c r="L2" s="72" t="s">
        <v>341</v>
      </c>
      <c r="M2" s="73" t="s">
        <v>342</v>
      </c>
      <c r="N2" s="72" t="s">
        <v>343</v>
      </c>
      <c r="O2" s="73" t="s">
        <v>344</v>
      </c>
      <c r="P2" s="74" t="s">
        <v>345</v>
      </c>
      <c r="Q2" s="72" t="s">
        <v>346</v>
      </c>
      <c r="R2" s="73" t="s">
        <v>347</v>
      </c>
      <c r="S2" s="72" t="s">
        <v>348</v>
      </c>
      <c r="T2" s="75" t="s">
        <v>349</v>
      </c>
      <c r="U2" s="72" t="s">
        <v>350</v>
      </c>
      <c r="V2" s="72" t="s">
        <v>351</v>
      </c>
      <c r="W2" s="72" t="s">
        <v>352</v>
      </c>
      <c r="X2" s="72" t="s">
        <v>353</v>
      </c>
    </row>
    <row r="3" spans="1:24" ht="14.5" x14ac:dyDescent="0.35">
      <c r="A3" s="76" t="s">
        <v>354</v>
      </c>
      <c r="B3" s="77" t="s">
        <v>355</v>
      </c>
      <c r="C3" s="76" t="s">
        <v>356</v>
      </c>
      <c r="D3" s="76" t="s">
        <v>357</v>
      </c>
      <c r="E3" s="76" t="s">
        <v>358</v>
      </c>
      <c r="F3" s="76" t="s">
        <v>359</v>
      </c>
      <c r="G3" s="76" t="s">
        <v>360</v>
      </c>
      <c r="H3" s="44"/>
      <c r="I3" s="44"/>
      <c r="J3" s="78" t="s">
        <v>361</v>
      </c>
      <c r="K3" s="44" t="s">
        <v>362</v>
      </c>
      <c r="L3" s="78" t="s">
        <v>363</v>
      </c>
      <c r="M3" s="44" t="s">
        <v>360</v>
      </c>
      <c r="N3" s="78" t="s">
        <v>360</v>
      </c>
      <c r="O3" s="44" t="s">
        <v>360</v>
      </c>
      <c r="P3" s="79" t="s">
        <v>361</v>
      </c>
      <c r="Q3" s="78" t="s">
        <v>360</v>
      </c>
      <c r="R3" s="44" t="s">
        <v>361</v>
      </c>
      <c r="S3" s="78" t="s">
        <v>360</v>
      </c>
      <c r="T3" s="80" t="s">
        <v>361</v>
      </c>
      <c r="U3" s="76" t="s">
        <v>364</v>
      </c>
      <c r="V3" s="81" t="s">
        <v>364</v>
      </c>
      <c r="W3" s="76" t="s">
        <v>365</v>
      </c>
      <c r="X3" s="78" t="s">
        <v>361</v>
      </c>
    </row>
    <row r="4" spans="1:24" ht="14.5" x14ac:dyDescent="0.35">
      <c r="A4" s="78" t="s">
        <v>366</v>
      </c>
      <c r="B4" s="79" t="s">
        <v>367</v>
      </c>
      <c r="C4" s="78" t="s">
        <v>368</v>
      </c>
      <c r="D4" s="78" t="s">
        <v>369</v>
      </c>
      <c r="E4" s="78" t="s">
        <v>370</v>
      </c>
      <c r="F4" s="78" t="s">
        <v>371</v>
      </c>
      <c r="G4" s="78" t="s">
        <v>372</v>
      </c>
      <c r="H4" s="44"/>
      <c r="I4" s="44"/>
      <c r="J4" s="78" t="s">
        <v>373</v>
      </c>
      <c r="K4" s="44" t="s">
        <v>374</v>
      </c>
      <c r="L4" s="78" t="s">
        <v>375</v>
      </c>
      <c r="M4" s="44" t="s">
        <v>372</v>
      </c>
      <c r="N4" s="78" t="s">
        <v>372</v>
      </c>
      <c r="O4" s="44" t="s">
        <v>372</v>
      </c>
      <c r="P4" s="79" t="s">
        <v>373</v>
      </c>
      <c r="Q4" s="78" t="s">
        <v>372</v>
      </c>
      <c r="R4" s="44" t="s">
        <v>373</v>
      </c>
      <c r="S4" s="78" t="s">
        <v>372</v>
      </c>
      <c r="T4" s="80" t="s">
        <v>373</v>
      </c>
      <c r="U4" s="78" t="s">
        <v>376</v>
      </c>
      <c r="V4" s="44" t="s">
        <v>376</v>
      </c>
      <c r="W4" s="78" t="s">
        <v>377</v>
      </c>
      <c r="X4" s="78" t="s">
        <v>373</v>
      </c>
    </row>
    <row r="5" spans="1:24" ht="14.5" x14ac:dyDescent="0.35">
      <c r="A5" s="78" t="s">
        <v>378</v>
      </c>
      <c r="B5" s="79" t="s">
        <v>379</v>
      </c>
      <c r="C5" s="78" t="s">
        <v>380</v>
      </c>
      <c r="D5" s="78" t="s">
        <v>381</v>
      </c>
      <c r="E5" s="78" t="s">
        <v>382</v>
      </c>
      <c r="F5" s="78" t="s">
        <v>383</v>
      </c>
      <c r="G5" s="70" t="s">
        <v>384</v>
      </c>
      <c r="H5" s="44"/>
      <c r="I5" s="44"/>
      <c r="J5" s="78" t="s">
        <v>385</v>
      </c>
      <c r="K5" s="44" t="s">
        <v>386</v>
      </c>
      <c r="L5" s="78" t="s">
        <v>385</v>
      </c>
      <c r="M5" s="44"/>
      <c r="N5" s="78"/>
      <c r="O5" s="44"/>
      <c r="P5" s="79" t="s">
        <v>385</v>
      </c>
      <c r="Q5" s="78"/>
      <c r="R5" s="44" t="s">
        <v>385</v>
      </c>
      <c r="S5" s="78"/>
      <c r="T5" s="80" t="s">
        <v>387</v>
      </c>
      <c r="U5" s="78" t="s">
        <v>385</v>
      </c>
      <c r="V5" s="44" t="s">
        <v>385</v>
      </c>
      <c r="W5" s="78" t="s">
        <v>388</v>
      </c>
      <c r="X5" s="78" t="s">
        <v>385</v>
      </c>
    </row>
    <row r="6" spans="1:24" ht="14.5" x14ac:dyDescent="0.35">
      <c r="A6" s="78" t="s">
        <v>389</v>
      </c>
      <c r="B6" s="79" t="s">
        <v>390</v>
      </c>
      <c r="C6" s="78" t="s">
        <v>391</v>
      </c>
      <c r="D6" s="78" t="s">
        <v>392</v>
      </c>
      <c r="E6" s="78" t="s">
        <v>393</v>
      </c>
      <c r="F6" s="78" t="s">
        <v>394</v>
      </c>
      <c r="G6" s="44"/>
      <c r="H6" s="44"/>
      <c r="I6" s="44"/>
      <c r="J6" s="78" t="s">
        <v>395</v>
      </c>
      <c r="K6" s="44"/>
      <c r="L6" s="70" t="s">
        <v>396</v>
      </c>
      <c r="M6" s="44"/>
      <c r="N6" s="78"/>
      <c r="O6" s="44"/>
      <c r="P6" s="79" t="s">
        <v>395</v>
      </c>
      <c r="Q6" s="78"/>
      <c r="R6" s="44" t="s">
        <v>387</v>
      </c>
      <c r="S6" s="78"/>
      <c r="T6" s="80"/>
      <c r="U6" s="78" t="s">
        <v>395</v>
      </c>
      <c r="V6" s="44" t="s">
        <v>395</v>
      </c>
      <c r="W6" s="78"/>
      <c r="X6" s="78" t="s">
        <v>387</v>
      </c>
    </row>
    <row r="7" spans="1:24" ht="14.5" x14ac:dyDescent="0.35">
      <c r="A7" s="78" t="s">
        <v>397</v>
      </c>
      <c r="B7" s="79" t="s">
        <v>398</v>
      </c>
      <c r="C7" s="78" t="s">
        <v>399</v>
      </c>
      <c r="D7" s="70" t="s">
        <v>400</v>
      </c>
      <c r="E7" s="78" t="s">
        <v>401</v>
      </c>
      <c r="F7" s="70" t="s">
        <v>402</v>
      </c>
      <c r="G7" s="44"/>
      <c r="H7" s="44"/>
      <c r="I7" s="44"/>
      <c r="J7" s="70" t="s">
        <v>387</v>
      </c>
      <c r="K7" s="82"/>
      <c r="L7" s="78"/>
      <c r="M7" s="82"/>
      <c r="N7" s="70"/>
      <c r="O7" s="82"/>
      <c r="P7" s="83" t="s">
        <v>387</v>
      </c>
      <c r="Q7" s="70"/>
      <c r="R7" s="82"/>
      <c r="S7" s="70"/>
      <c r="T7" s="84"/>
      <c r="U7" s="70" t="s">
        <v>403</v>
      </c>
      <c r="V7" s="82" t="s">
        <v>403</v>
      </c>
      <c r="W7" s="70"/>
      <c r="X7" s="70"/>
    </row>
    <row r="8" spans="1:24" ht="14.5" x14ac:dyDescent="0.35">
      <c r="A8" s="78" t="s">
        <v>404</v>
      </c>
      <c r="B8" s="79" t="s">
        <v>405</v>
      </c>
      <c r="C8" s="78" t="s">
        <v>406</v>
      </c>
      <c r="D8" s="78"/>
      <c r="E8" s="78" t="s">
        <v>407</v>
      </c>
      <c r="F8" s="44"/>
      <c r="G8" s="44"/>
      <c r="H8" s="44"/>
      <c r="I8" s="44"/>
    </row>
    <row r="9" spans="1:24" ht="14.5" x14ac:dyDescent="0.35">
      <c r="A9" s="79" t="s">
        <v>408</v>
      </c>
      <c r="B9" s="44" t="s">
        <v>409</v>
      </c>
      <c r="C9" s="80" t="s">
        <v>410</v>
      </c>
      <c r="D9" s="78"/>
      <c r="E9" s="78" t="s">
        <v>411</v>
      </c>
      <c r="F9" s="44"/>
      <c r="G9" s="44"/>
      <c r="H9" s="44"/>
    </row>
    <row r="10" spans="1:24" ht="15" customHeight="1" x14ac:dyDescent="0.35">
      <c r="A10" s="78" t="s">
        <v>412</v>
      </c>
      <c r="B10" s="85" t="s">
        <v>413</v>
      </c>
      <c r="C10" s="78" t="s">
        <v>414</v>
      </c>
      <c r="D10" s="78"/>
      <c r="E10" s="78" t="s">
        <v>415</v>
      </c>
      <c r="F10" s="44"/>
      <c r="G10" s="44"/>
      <c r="H10" s="44"/>
    </row>
    <row r="11" spans="1:24" ht="14.5" x14ac:dyDescent="0.35">
      <c r="A11" s="78" t="s">
        <v>416</v>
      </c>
      <c r="B11" s="71"/>
      <c r="C11" s="86" t="s">
        <v>417</v>
      </c>
      <c r="D11" s="86"/>
      <c r="E11" s="86" t="s">
        <v>418</v>
      </c>
      <c r="F11" s="25"/>
      <c r="G11" s="25"/>
      <c r="H11" s="25"/>
    </row>
    <row r="12" spans="1:24" ht="14.5" x14ac:dyDescent="0.35">
      <c r="A12" s="78" t="s">
        <v>419</v>
      </c>
      <c r="B12" s="44"/>
      <c r="C12" s="78" t="s">
        <v>420</v>
      </c>
      <c r="D12" s="78"/>
      <c r="E12" s="78" t="s">
        <v>421</v>
      </c>
      <c r="F12" s="44"/>
      <c r="G12" s="44"/>
      <c r="H12" s="44"/>
    </row>
    <row r="13" spans="1:24" ht="15" customHeight="1" x14ac:dyDescent="0.35">
      <c r="A13" s="78" t="s">
        <v>422</v>
      </c>
      <c r="B13" s="44"/>
      <c r="C13" s="78" t="s">
        <v>423</v>
      </c>
      <c r="D13" s="78"/>
      <c r="E13" s="78" t="s">
        <v>424</v>
      </c>
      <c r="F13" s="44"/>
      <c r="G13" s="44"/>
      <c r="H13" s="44"/>
    </row>
    <row r="14" spans="1:24" ht="15" customHeight="1" x14ac:dyDescent="0.35">
      <c r="A14" s="70" t="s">
        <v>425</v>
      </c>
      <c r="B14" s="44"/>
      <c r="C14" s="78" t="s">
        <v>426</v>
      </c>
      <c r="D14" s="78"/>
      <c r="E14" s="78" t="s">
        <v>427</v>
      </c>
      <c r="F14" s="44"/>
      <c r="G14" s="44"/>
      <c r="H14" s="44"/>
    </row>
    <row r="15" spans="1:24" ht="15" customHeight="1" x14ac:dyDescent="0.35">
      <c r="B15" s="44"/>
      <c r="C15" s="78" t="s">
        <v>428</v>
      </c>
      <c r="D15" s="78"/>
      <c r="E15" s="70" t="s">
        <v>429</v>
      </c>
      <c r="F15" s="44"/>
      <c r="G15" s="44"/>
      <c r="H15" s="44"/>
    </row>
    <row r="16" spans="1:24" ht="15" customHeight="1" x14ac:dyDescent="0.35">
      <c r="B16" s="44"/>
      <c r="C16" s="78" t="s">
        <v>430</v>
      </c>
      <c r="D16" s="44"/>
      <c r="E16" s="44"/>
      <c r="F16" s="44"/>
      <c r="G16" s="44"/>
      <c r="H16" s="44"/>
    </row>
    <row r="17" spans="2:19" ht="14.5" x14ac:dyDescent="0.35">
      <c r="B17" s="44"/>
      <c r="C17" s="78" t="s">
        <v>431</v>
      </c>
      <c r="D17" s="44"/>
      <c r="E17" s="44"/>
      <c r="F17" s="44"/>
      <c r="G17" s="44"/>
      <c r="H17" s="44"/>
    </row>
    <row r="18" spans="2:19" ht="14.5" x14ac:dyDescent="0.35">
      <c r="B18" s="44"/>
      <c r="C18" s="78" t="s">
        <v>432</v>
      </c>
      <c r="D18" s="44"/>
      <c r="E18" s="44"/>
      <c r="F18" s="44"/>
      <c r="G18" s="44"/>
      <c r="H18" s="44"/>
    </row>
    <row r="19" spans="2:19" ht="14.5" x14ac:dyDescent="0.35">
      <c r="B19" s="44"/>
      <c r="C19" s="78" t="s">
        <v>433</v>
      </c>
      <c r="D19" s="44"/>
      <c r="E19" s="44"/>
      <c r="F19" s="44"/>
      <c r="G19" s="44"/>
      <c r="H19" s="44"/>
    </row>
    <row r="20" spans="2:19" ht="15" customHeight="1" x14ac:dyDescent="0.35">
      <c r="B20" s="44"/>
      <c r="C20" s="70" t="s">
        <v>434</v>
      </c>
      <c r="D20" s="44"/>
      <c r="E20" s="44"/>
      <c r="F20" s="44"/>
      <c r="G20" s="44"/>
      <c r="H20" s="44"/>
    </row>
    <row r="21" spans="2:19" ht="15" customHeight="1" x14ac:dyDescent="0.35">
      <c r="B21" s="44"/>
      <c r="C21" s="78"/>
      <c r="D21" s="44"/>
      <c r="E21" s="44"/>
      <c r="F21" s="44"/>
      <c r="G21" s="44"/>
      <c r="H21" s="44"/>
    </row>
    <row r="22" spans="2:19" ht="15.75" customHeight="1" x14ac:dyDescent="0.35">
      <c r="B22" s="44"/>
      <c r="C22" s="78"/>
      <c r="D22" s="44"/>
      <c r="E22" s="44"/>
      <c r="F22" s="44"/>
      <c r="G22" s="44"/>
      <c r="H22" s="44"/>
    </row>
    <row r="23" spans="2:19" ht="15.75" customHeight="1" x14ac:dyDescent="0.35">
      <c r="B23" s="44"/>
      <c r="C23" s="78"/>
      <c r="D23" s="44"/>
      <c r="E23" s="44"/>
      <c r="F23" s="44"/>
      <c r="G23" s="44"/>
      <c r="H23" s="44"/>
    </row>
    <row r="24" spans="2:19" ht="15" customHeight="1" x14ac:dyDescent="0.35">
      <c r="C24" s="78"/>
      <c r="D24" s="44"/>
    </row>
    <row r="25" spans="2:19" ht="15.75" customHeight="1" x14ac:dyDescent="0.35">
      <c r="C25" s="78"/>
      <c r="D25" s="44"/>
    </row>
    <row r="27" spans="2:19" ht="24.75" customHeight="1" x14ac:dyDescent="0.3">
      <c r="K27" s="499" t="s">
        <v>435</v>
      </c>
      <c r="L27" s="500"/>
      <c r="M27" s="500"/>
      <c r="N27" s="500"/>
      <c r="O27" s="500"/>
      <c r="P27" s="500"/>
      <c r="Q27" s="500"/>
      <c r="R27" s="501"/>
      <c r="S27" s="9" t="s">
        <v>436</v>
      </c>
    </row>
    <row r="28" spans="2:19" ht="15.75" customHeight="1" x14ac:dyDescent="0.35">
      <c r="K28" s="7" t="s">
        <v>437</v>
      </c>
      <c r="L28" s="70" t="s">
        <v>438</v>
      </c>
      <c r="M28" s="82" t="s">
        <v>439</v>
      </c>
      <c r="N28" s="70" t="s">
        <v>440</v>
      </c>
      <c r="O28" s="82" t="s">
        <v>441</v>
      </c>
      <c r="P28" s="70" t="s">
        <v>442</v>
      </c>
      <c r="Q28" s="82" t="s">
        <v>443</v>
      </c>
      <c r="R28" s="70" t="s">
        <v>444</v>
      </c>
      <c r="S28" s="7" t="s">
        <v>445</v>
      </c>
    </row>
    <row r="29" spans="2:19" ht="15.75" customHeight="1" x14ac:dyDescent="0.35">
      <c r="K29" s="76" t="s">
        <v>446</v>
      </c>
      <c r="L29" s="80" t="s">
        <v>360</v>
      </c>
      <c r="M29" s="44" t="s">
        <v>360</v>
      </c>
      <c r="N29" s="78" t="s">
        <v>360</v>
      </c>
      <c r="O29" s="44" t="s">
        <v>360</v>
      </c>
      <c r="P29" s="78" t="s">
        <v>360</v>
      </c>
      <c r="Q29" s="44" t="s">
        <v>360</v>
      </c>
      <c r="R29" s="77" t="s">
        <v>446</v>
      </c>
      <c r="S29" s="76" t="s">
        <v>446</v>
      </c>
    </row>
    <row r="30" spans="2:19" ht="15.75" customHeight="1" x14ac:dyDescent="0.35">
      <c r="K30" s="78" t="s">
        <v>447</v>
      </c>
      <c r="L30" s="84" t="s">
        <v>372</v>
      </c>
      <c r="M30" s="82" t="s">
        <v>372</v>
      </c>
      <c r="N30" s="70" t="s">
        <v>372</v>
      </c>
      <c r="O30" s="82" t="s">
        <v>372</v>
      </c>
      <c r="P30" s="70" t="s">
        <v>372</v>
      </c>
      <c r="Q30" s="82" t="s">
        <v>372</v>
      </c>
      <c r="R30" s="79" t="s">
        <v>447</v>
      </c>
      <c r="S30" s="78" t="s">
        <v>447</v>
      </c>
    </row>
    <row r="31" spans="2:19" ht="15.75" customHeight="1" x14ac:dyDescent="0.35">
      <c r="K31" s="78" t="s">
        <v>385</v>
      </c>
      <c r="R31" s="83" t="s">
        <v>448</v>
      </c>
      <c r="S31" s="78" t="s">
        <v>385</v>
      </c>
    </row>
    <row r="32" spans="2:19" ht="15.75" customHeight="1" x14ac:dyDescent="0.35">
      <c r="K32" s="78" t="s">
        <v>395</v>
      </c>
      <c r="S32" s="78" t="s">
        <v>395</v>
      </c>
    </row>
    <row r="33" spans="11:19" ht="15.75" customHeight="1" x14ac:dyDescent="0.35">
      <c r="K33" s="70" t="s">
        <v>448</v>
      </c>
      <c r="S33" s="70" t="s">
        <v>448</v>
      </c>
    </row>
    <row r="34" spans="11:19" ht="15.75" customHeight="1" x14ac:dyDescent="0.3"/>
    <row r="35" spans="11:19" ht="15.75" customHeight="1" x14ac:dyDescent="0.3"/>
    <row r="36" spans="11:19" ht="15.75" customHeight="1" x14ac:dyDescent="0.3"/>
    <row r="37" spans="11:19" ht="15.75" customHeight="1" x14ac:dyDescent="0.3"/>
    <row r="38" spans="11:19" ht="15.75" customHeight="1" x14ac:dyDescent="0.3"/>
    <row r="39" spans="11:19" ht="15.75" customHeight="1" x14ac:dyDescent="0.3"/>
    <row r="40" spans="11:19" ht="15.75" customHeight="1" x14ac:dyDescent="0.3"/>
    <row r="41" spans="11:19" ht="15.75" customHeight="1" x14ac:dyDescent="0.3"/>
    <row r="42" spans="11:19" ht="15.75" customHeight="1" x14ac:dyDescent="0.3"/>
    <row r="43" spans="11:19" ht="15.75" customHeight="1" x14ac:dyDescent="0.3"/>
    <row r="44" spans="11:19" ht="15.75" customHeight="1" x14ac:dyDescent="0.3"/>
    <row r="45" spans="11:19" ht="15.75" customHeight="1" x14ac:dyDescent="0.3"/>
    <row r="46" spans="11:19" ht="15.75" customHeight="1" x14ac:dyDescent="0.3"/>
    <row r="47" spans="11:19" ht="15.75" customHeight="1" x14ac:dyDescent="0.3"/>
    <row r="48" spans="11:19"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mergeCells count="5">
    <mergeCell ref="A1:G1"/>
    <mergeCell ref="J1:O1"/>
    <mergeCell ref="P1:T1"/>
    <mergeCell ref="U1:W1"/>
    <mergeCell ref="K27:R27"/>
  </mergeCells>
  <dataValidations count="2">
    <dataValidation type="list" allowBlank="1" showErrorMessage="1" sqref="D2">
      <formula1>$D$3:$D$7</formula1>
    </dataValidation>
    <dataValidation type="list" allowBlank="1" showErrorMessage="1" sqref="J3:J7">
      <formula1>$J$3:$J$7</formula1>
    </dataValidation>
  </dataValidations>
  <pageMargins left="0.7" right="0.7" top="0.75" bottom="0.75" header="0" footer="0"/>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0"/>
  <sheetViews>
    <sheetView workbookViewId="0">
      <selection activeCell="D15" sqref="D15"/>
    </sheetView>
  </sheetViews>
  <sheetFormatPr baseColWidth="10" defaultColWidth="12.58203125" defaultRowHeight="12.5" x14ac:dyDescent="0.25"/>
  <cols>
    <col min="1" max="1" width="51.08203125" style="254" customWidth="1"/>
    <col min="2" max="2" width="22.58203125" style="254" customWidth="1"/>
    <col min="3" max="3" width="17" style="327" customWidth="1"/>
    <col min="4" max="4" width="16" style="254" customWidth="1"/>
    <col min="5" max="26" width="9.33203125" style="254" customWidth="1"/>
    <col min="27" max="16384" width="12.58203125" style="254"/>
  </cols>
  <sheetData>
    <row r="1" spans="1:4" ht="13" x14ac:dyDescent="0.3">
      <c r="A1" s="253" t="s">
        <v>653</v>
      </c>
    </row>
    <row r="3" spans="1:4" ht="13.5" thickBot="1" x14ac:dyDescent="0.35">
      <c r="A3" s="253" t="s">
        <v>601</v>
      </c>
      <c r="B3" s="255"/>
    </row>
    <row r="4" spans="1:4" x14ac:dyDescent="0.25">
      <c r="A4" s="256" t="s">
        <v>603</v>
      </c>
      <c r="B4" s="257">
        <f>D34</f>
        <v>1423933.6609042143</v>
      </c>
    </row>
    <row r="5" spans="1:4" x14ac:dyDescent="0.25">
      <c r="A5" s="258" t="s">
        <v>604</v>
      </c>
      <c r="B5" s="259">
        <f>D54</f>
        <v>1066048.7853898883</v>
      </c>
    </row>
    <row r="6" spans="1:4" x14ac:dyDescent="0.25">
      <c r="A6" s="260" t="s">
        <v>605</v>
      </c>
      <c r="B6" s="259">
        <f>D74</f>
        <v>977457.39788988815</v>
      </c>
    </row>
    <row r="7" spans="1:4" x14ac:dyDescent="0.25">
      <c r="A7" s="260" t="s">
        <v>308</v>
      </c>
      <c r="B7" s="259">
        <f>D82</f>
        <v>357884.87551432592</v>
      </c>
    </row>
    <row r="8" spans="1:4" x14ac:dyDescent="0.25">
      <c r="A8" s="260" t="s">
        <v>315</v>
      </c>
      <c r="B8" s="259">
        <f>D90</f>
        <v>446476.26301432593</v>
      </c>
    </row>
    <row r="9" spans="1:4" ht="13" thickBot="1" x14ac:dyDescent="0.3">
      <c r="A9" s="261" t="s">
        <v>322</v>
      </c>
      <c r="B9" s="262">
        <f>D98</f>
        <v>402180.5692643259</v>
      </c>
    </row>
    <row r="10" spans="1:4" ht="13" thickBot="1" x14ac:dyDescent="0.3"/>
    <row r="11" spans="1:4" ht="13" x14ac:dyDescent="0.3">
      <c r="A11" s="328" t="s">
        <v>610</v>
      </c>
      <c r="B11" s="326" t="s">
        <v>253</v>
      </c>
      <c r="C11" s="326" t="s">
        <v>254</v>
      </c>
      <c r="D11" s="263" t="s">
        <v>255</v>
      </c>
    </row>
    <row r="12" spans="1:4" ht="13" x14ac:dyDescent="0.3">
      <c r="A12" s="264" t="s">
        <v>48</v>
      </c>
      <c r="B12" s="329"/>
      <c r="C12" s="329"/>
      <c r="D12" s="265"/>
    </row>
    <row r="13" spans="1:4" x14ac:dyDescent="0.25">
      <c r="A13" s="258" t="s">
        <v>256</v>
      </c>
      <c r="B13" s="329"/>
      <c r="C13" s="329"/>
      <c r="D13" s="266" t="str">
        <f>+'Input_Area and Costs'!A4</f>
        <v>Residential</v>
      </c>
    </row>
    <row r="14" spans="1:4" x14ac:dyDescent="0.25">
      <c r="A14" s="258" t="s">
        <v>247</v>
      </c>
      <c r="B14" s="329" t="s">
        <v>257</v>
      </c>
      <c r="C14" s="329" t="s">
        <v>251</v>
      </c>
      <c r="D14" s="267">
        <f>+'Input_Area and Costs'!C4</f>
        <v>1217500</v>
      </c>
    </row>
    <row r="15" spans="1:4" x14ac:dyDescent="0.25">
      <c r="A15" s="258" t="s">
        <v>258</v>
      </c>
      <c r="B15" s="329" t="s">
        <v>259</v>
      </c>
      <c r="C15" s="329" t="s">
        <v>260</v>
      </c>
      <c r="D15" s="267">
        <f>'General Inputs&amp;Outputs'!$C$12</f>
        <v>15</v>
      </c>
    </row>
    <row r="16" spans="1:4" x14ac:dyDescent="0.25">
      <c r="A16" s="254" t="s">
        <v>172</v>
      </c>
      <c r="B16" s="329"/>
      <c r="C16" s="329"/>
      <c r="D16" s="265"/>
    </row>
    <row r="17" spans="1:4" ht="13" x14ac:dyDescent="0.3">
      <c r="A17" s="264" t="s">
        <v>285</v>
      </c>
      <c r="B17" s="329"/>
      <c r="C17" s="329"/>
      <c r="D17" s="265"/>
    </row>
    <row r="18" spans="1:4" ht="13" x14ac:dyDescent="0.3">
      <c r="A18" s="264" t="s">
        <v>261</v>
      </c>
      <c r="B18" s="329"/>
      <c r="C18" s="333"/>
      <c r="D18" s="265"/>
    </row>
    <row r="19" spans="1:4" ht="13" x14ac:dyDescent="0.3">
      <c r="A19" s="268" t="s">
        <v>262</v>
      </c>
      <c r="B19" s="329" t="s">
        <v>263</v>
      </c>
      <c r="C19" s="329" t="s">
        <v>264</v>
      </c>
      <c r="D19" s="266">
        <f>+'Energy use'!B299-D20</f>
        <v>69</v>
      </c>
    </row>
    <row r="20" spans="1:4" ht="13" x14ac:dyDescent="0.3">
      <c r="A20" s="268" t="s">
        <v>265</v>
      </c>
      <c r="B20" s="329" t="s">
        <v>266</v>
      </c>
      <c r="C20" s="329" t="s">
        <v>264</v>
      </c>
      <c r="D20" s="266">
        <f>+'Energy use'!B305+'Energy use'!B300</f>
        <v>60</v>
      </c>
    </row>
    <row r="21" spans="1:4" ht="13" x14ac:dyDescent="0.3">
      <c r="A21" s="264" t="s">
        <v>267</v>
      </c>
      <c r="B21" s="329"/>
      <c r="C21" s="333"/>
      <c r="D21" s="265"/>
    </row>
    <row r="22" spans="1:4" ht="13" x14ac:dyDescent="0.3">
      <c r="A22" s="268" t="str">
        <f t="shared" ref="A22:A23" si="0">A19</f>
        <v>Electricity</v>
      </c>
      <c r="B22" s="329" t="s">
        <v>268</v>
      </c>
      <c r="C22" s="329" t="s">
        <v>269</v>
      </c>
      <c r="D22" s="269">
        <f>+'Input_Energy Context'!C12</f>
        <v>0.55057909980594144</v>
      </c>
    </row>
    <row r="23" spans="1:4" ht="13" x14ac:dyDescent="0.3">
      <c r="A23" s="268" t="str">
        <f t="shared" si="0"/>
        <v>Natural gas</v>
      </c>
      <c r="B23" s="329" t="s">
        <v>270</v>
      </c>
      <c r="C23" s="329" t="s">
        <v>269</v>
      </c>
      <c r="D23" s="266">
        <f>+'Input_Energy Context'!B13</f>
        <v>0.23100000000000001</v>
      </c>
    </row>
    <row r="24" spans="1:4" ht="13" x14ac:dyDescent="0.3">
      <c r="A24" s="264" t="s">
        <v>271</v>
      </c>
      <c r="B24" s="329"/>
      <c r="C24" s="333"/>
      <c r="D24" s="265"/>
    </row>
    <row r="25" spans="1:4" ht="13" x14ac:dyDescent="0.3">
      <c r="A25" s="268" t="str">
        <f t="shared" ref="A25:A26" si="1">A22</f>
        <v>Electricity</v>
      </c>
      <c r="B25" s="329" t="s">
        <v>272</v>
      </c>
      <c r="C25" s="329" t="s">
        <v>273</v>
      </c>
      <c r="D25" s="270">
        <f t="shared" ref="D25:D26" si="2">+D19*D22</f>
        <v>37.989957886609957</v>
      </c>
    </row>
    <row r="26" spans="1:4" ht="13" x14ac:dyDescent="0.3">
      <c r="A26" s="268" t="str">
        <f t="shared" si="1"/>
        <v>Natural gas</v>
      </c>
      <c r="B26" s="329" t="s">
        <v>274</v>
      </c>
      <c r="C26" s="329" t="s">
        <v>273</v>
      </c>
      <c r="D26" s="270">
        <f t="shared" si="2"/>
        <v>13.860000000000001</v>
      </c>
    </row>
    <row r="27" spans="1:4" ht="13" x14ac:dyDescent="0.3">
      <c r="A27" s="268" t="s">
        <v>275</v>
      </c>
      <c r="B27" s="329" t="s">
        <v>276</v>
      </c>
      <c r="C27" s="329" t="s">
        <v>273</v>
      </c>
      <c r="D27" s="270">
        <f>'Input_LC Materials'!C21/'Input_LC Materials'!C5</f>
        <v>391.80599999999993</v>
      </c>
    </row>
    <row r="28" spans="1:4" ht="13" x14ac:dyDescent="0.3">
      <c r="A28" s="264" t="s">
        <v>277</v>
      </c>
      <c r="B28" s="329"/>
      <c r="C28" s="333"/>
      <c r="D28" s="265"/>
    </row>
    <row r="29" spans="1:4" ht="13" x14ac:dyDescent="0.3">
      <c r="A29" s="268" t="str">
        <f t="shared" ref="A29:A30" si="3">A25</f>
        <v>Electricity</v>
      </c>
      <c r="B29" s="329" t="s">
        <v>278</v>
      </c>
      <c r="C29" s="329" t="s">
        <v>279</v>
      </c>
      <c r="D29" s="267">
        <f>+D25*D14/1000</f>
        <v>46252.77372694762</v>
      </c>
    </row>
    <row r="30" spans="1:4" ht="13" x14ac:dyDescent="0.3">
      <c r="A30" s="268" t="str">
        <f t="shared" si="3"/>
        <v>Natural gas</v>
      </c>
      <c r="B30" s="329" t="s">
        <v>280</v>
      </c>
      <c r="C30" s="329" t="s">
        <v>279</v>
      </c>
      <c r="D30" s="267">
        <f>+D26*D14/1000</f>
        <v>16874.55</v>
      </c>
    </row>
    <row r="31" spans="1:4" ht="13" x14ac:dyDescent="0.3">
      <c r="A31" s="268" t="str">
        <f>$A$25</f>
        <v>Electricity</v>
      </c>
      <c r="B31" s="329" t="s">
        <v>281</v>
      </c>
      <c r="C31" s="329" t="s">
        <v>577</v>
      </c>
      <c r="D31" s="267">
        <f t="shared" ref="D31:D32" si="4">D29*$D$15</f>
        <v>693791.60590421432</v>
      </c>
    </row>
    <row r="32" spans="1:4" ht="13" x14ac:dyDescent="0.3">
      <c r="A32" s="268" t="str">
        <f>$A$26</f>
        <v>Natural gas</v>
      </c>
      <c r="B32" s="329" t="s">
        <v>282</v>
      </c>
      <c r="C32" s="329" t="s">
        <v>577</v>
      </c>
      <c r="D32" s="267">
        <f t="shared" si="4"/>
        <v>253118.25</v>
      </c>
    </row>
    <row r="33" spans="1:4" ht="13" x14ac:dyDescent="0.3">
      <c r="A33" s="268" t="s">
        <v>275</v>
      </c>
      <c r="B33" s="329" t="s">
        <v>283</v>
      </c>
      <c r="C33" s="329" t="s">
        <v>577</v>
      </c>
      <c r="D33" s="267">
        <f>+D27*D14/1000</f>
        <v>477023.80499999988</v>
      </c>
    </row>
    <row r="34" spans="1:4" ht="13.5" thickBot="1" x14ac:dyDescent="0.35">
      <c r="A34" s="325" t="s">
        <v>284</v>
      </c>
      <c r="B34" s="332"/>
      <c r="C34" s="332" t="s">
        <v>577</v>
      </c>
      <c r="D34" s="274">
        <f>SUM(D31:D33)</f>
        <v>1423933.6609042143</v>
      </c>
    </row>
    <row r="35" spans="1:4" ht="13" thickBot="1" x14ac:dyDescent="0.3">
      <c r="B35" s="330"/>
      <c r="C35" s="330"/>
    </row>
    <row r="36" spans="1:4" ht="13" x14ac:dyDescent="0.3">
      <c r="A36" s="328" t="s">
        <v>249</v>
      </c>
      <c r="B36" s="326"/>
      <c r="C36" s="326"/>
      <c r="D36" s="263"/>
    </row>
    <row r="37" spans="1:4" ht="13" x14ac:dyDescent="0.3">
      <c r="A37" s="264" t="s">
        <v>285</v>
      </c>
      <c r="B37" s="329"/>
      <c r="C37" s="329"/>
      <c r="D37" s="265"/>
    </row>
    <row r="38" spans="1:4" ht="13" x14ac:dyDescent="0.3">
      <c r="A38" s="264" t="s">
        <v>261</v>
      </c>
      <c r="B38" s="329"/>
      <c r="C38" s="333"/>
      <c r="D38" s="265"/>
    </row>
    <row r="39" spans="1:4" ht="13" x14ac:dyDescent="0.3">
      <c r="A39" s="268" t="s">
        <v>262</v>
      </c>
      <c r="B39" s="329" t="s">
        <v>286</v>
      </c>
      <c r="C39" s="329" t="s">
        <v>264</v>
      </c>
      <c r="D39" s="266">
        <f>+'Energy use'!C299-D40</f>
        <v>48</v>
      </c>
    </row>
    <row r="40" spans="1:4" ht="13" x14ac:dyDescent="0.3">
      <c r="A40" s="268" t="s">
        <v>265</v>
      </c>
      <c r="B40" s="329" t="s">
        <v>287</v>
      </c>
      <c r="C40" s="329" t="s">
        <v>264</v>
      </c>
      <c r="D40" s="266">
        <f>+'Energy use'!C305++'Energy use'!C300</f>
        <v>50</v>
      </c>
    </row>
    <row r="41" spans="1:4" ht="13" x14ac:dyDescent="0.3">
      <c r="A41" s="264" t="s">
        <v>267</v>
      </c>
      <c r="B41" s="329"/>
      <c r="C41" s="329"/>
      <c r="D41" s="265"/>
    </row>
    <row r="42" spans="1:4" ht="13" x14ac:dyDescent="0.3">
      <c r="A42" s="268" t="str">
        <f t="shared" ref="A42:A43" si="5">A39</f>
        <v>Electricity</v>
      </c>
      <c r="B42" s="329" t="s">
        <v>268</v>
      </c>
      <c r="C42" s="329" t="s">
        <v>269</v>
      </c>
      <c r="D42" s="269">
        <f t="shared" ref="D42:D43" si="6">+D22</f>
        <v>0.55057909980594144</v>
      </c>
    </row>
    <row r="43" spans="1:4" ht="13" x14ac:dyDescent="0.3">
      <c r="A43" s="268" t="str">
        <f t="shared" si="5"/>
        <v>Natural gas</v>
      </c>
      <c r="B43" s="329" t="s">
        <v>270</v>
      </c>
      <c r="C43" s="329" t="s">
        <v>269</v>
      </c>
      <c r="D43" s="266">
        <f t="shared" si="6"/>
        <v>0.23100000000000001</v>
      </c>
    </row>
    <row r="44" spans="1:4" ht="13" x14ac:dyDescent="0.3">
      <c r="A44" s="264" t="s">
        <v>271</v>
      </c>
      <c r="B44" s="329"/>
      <c r="C44" s="329"/>
      <c r="D44" s="265"/>
    </row>
    <row r="45" spans="1:4" ht="13" x14ac:dyDescent="0.3">
      <c r="A45" s="268" t="str">
        <f t="shared" ref="A45:A46" si="7">A42</f>
        <v>Electricity</v>
      </c>
      <c r="B45" s="329" t="s">
        <v>288</v>
      </c>
      <c r="C45" s="329" t="s">
        <v>273</v>
      </c>
      <c r="D45" s="267">
        <f t="shared" ref="D45:D46" si="8">+D39*D42</f>
        <v>26.427796790685189</v>
      </c>
    </row>
    <row r="46" spans="1:4" ht="13" x14ac:dyDescent="0.3">
      <c r="A46" s="268" t="str">
        <f t="shared" si="7"/>
        <v>Natural gas</v>
      </c>
      <c r="B46" s="329" t="s">
        <v>289</v>
      </c>
      <c r="C46" s="329" t="s">
        <v>273</v>
      </c>
      <c r="D46" s="270">
        <f t="shared" si="8"/>
        <v>11.55</v>
      </c>
    </row>
    <row r="47" spans="1:4" ht="13" x14ac:dyDescent="0.3">
      <c r="A47" s="268" t="s">
        <v>275</v>
      </c>
      <c r="B47" s="329" t="s">
        <v>290</v>
      </c>
      <c r="C47" s="329" t="s">
        <v>273</v>
      </c>
      <c r="D47" s="270">
        <f>D27-'Input_LC Materials'!C21</f>
        <v>305.93779999999998</v>
      </c>
    </row>
    <row r="48" spans="1:4" ht="13" x14ac:dyDescent="0.3">
      <c r="A48" s="264" t="s">
        <v>277</v>
      </c>
      <c r="B48" s="329"/>
      <c r="C48" s="329"/>
      <c r="D48" s="265"/>
    </row>
    <row r="49" spans="1:5" ht="13" x14ac:dyDescent="0.3">
      <c r="A49" s="268" t="str">
        <f t="shared" ref="A49:A50" si="9">A45</f>
        <v>Electricity</v>
      </c>
      <c r="B49" s="329" t="s">
        <v>291</v>
      </c>
      <c r="C49" s="329" t="s">
        <v>279</v>
      </c>
      <c r="D49" s="267">
        <f>+D45*D14/1000</f>
        <v>32175.842592659217</v>
      </c>
    </row>
    <row r="50" spans="1:5" ht="13" x14ac:dyDescent="0.3">
      <c r="A50" s="268" t="str">
        <f t="shared" si="9"/>
        <v>Natural gas</v>
      </c>
      <c r="B50" s="329" t="s">
        <v>292</v>
      </c>
      <c r="C50" s="329" t="s">
        <v>279</v>
      </c>
      <c r="D50" s="267">
        <f>+D46*D14/1000</f>
        <v>14062.125</v>
      </c>
    </row>
    <row r="51" spans="1:5" ht="13" x14ac:dyDescent="0.3">
      <c r="A51" s="268" t="str">
        <f>$A$45</f>
        <v>Electricity</v>
      </c>
      <c r="B51" s="329" t="s">
        <v>293</v>
      </c>
      <c r="C51" s="329" t="str">
        <f>$C$31</f>
        <v>tCO2 over lifetime</v>
      </c>
      <c r="D51" s="267">
        <f t="shared" ref="D51:D52" si="10">D49*$D$15</f>
        <v>482637.63888988824</v>
      </c>
    </row>
    <row r="52" spans="1:5" ht="13" x14ac:dyDescent="0.3">
      <c r="A52" s="268" t="str">
        <f>$A$46</f>
        <v>Natural gas</v>
      </c>
      <c r="B52" s="329" t="s">
        <v>294</v>
      </c>
      <c r="C52" s="329" t="str">
        <f>$C$31</f>
        <v>tCO2 over lifetime</v>
      </c>
      <c r="D52" s="267">
        <f t="shared" si="10"/>
        <v>210931.875</v>
      </c>
    </row>
    <row r="53" spans="1:5" ht="13" x14ac:dyDescent="0.3">
      <c r="A53" s="268" t="s">
        <v>275</v>
      </c>
      <c r="B53" s="329" t="s">
        <v>295</v>
      </c>
      <c r="C53" s="329" t="str">
        <f>$C$31</f>
        <v>tCO2 over lifetime</v>
      </c>
      <c r="D53" s="267">
        <f>+D47*D14/1000</f>
        <v>372479.27149999997</v>
      </c>
    </row>
    <row r="54" spans="1:5" ht="13.5" thickBot="1" x14ac:dyDescent="0.35">
      <c r="A54" s="325" t="s">
        <v>284</v>
      </c>
      <c r="B54" s="332"/>
      <c r="C54" s="332" t="str">
        <f>$C$31</f>
        <v>tCO2 over lifetime</v>
      </c>
      <c r="D54" s="274">
        <f>SUM(D51:D53)</f>
        <v>1066048.7853898883</v>
      </c>
      <c r="E54" s="255"/>
    </row>
    <row r="55" spans="1:5" ht="13" thickBot="1" x14ac:dyDescent="0.3">
      <c r="A55" s="255"/>
      <c r="B55" s="330"/>
      <c r="C55" s="330"/>
      <c r="D55" s="255"/>
      <c r="E55" s="255"/>
    </row>
    <row r="56" spans="1:5" ht="13" x14ac:dyDescent="0.3">
      <c r="A56" s="328" t="s">
        <v>250</v>
      </c>
      <c r="B56" s="326"/>
      <c r="C56" s="326"/>
      <c r="D56" s="263"/>
      <c r="E56" s="255"/>
    </row>
    <row r="57" spans="1:5" ht="13" x14ac:dyDescent="0.3">
      <c r="A57" s="264" t="s">
        <v>285</v>
      </c>
      <c r="B57" s="329"/>
      <c r="C57" s="329"/>
      <c r="D57" s="265"/>
      <c r="E57" s="255"/>
    </row>
    <row r="58" spans="1:5" ht="13" x14ac:dyDescent="0.3">
      <c r="A58" s="264" t="s">
        <v>261</v>
      </c>
      <c r="B58" s="329"/>
      <c r="C58" s="329" t="s">
        <v>264</v>
      </c>
      <c r="D58" s="265"/>
    </row>
    <row r="59" spans="1:5" ht="13" x14ac:dyDescent="0.3">
      <c r="A59" s="268" t="s">
        <v>262</v>
      </c>
      <c r="B59" s="329" t="s">
        <v>296</v>
      </c>
      <c r="C59" s="329" t="s">
        <v>264</v>
      </c>
      <c r="D59" s="266">
        <f>+'Energy use'!D299-D60</f>
        <v>48</v>
      </c>
    </row>
    <row r="60" spans="1:5" ht="13" x14ac:dyDescent="0.3">
      <c r="A60" s="268" t="s">
        <v>265</v>
      </c>
      <c r="B60" s="329" t="s">
        <v>297</v>
      </c>
      <c r="C60" s="329" t="s">
        <v>264</v>
      </c>
      <c r="D60" s="266">
        <f>+'Energy use'!D305+'Energy use'!D300</f>
        <v>29</v>
      </c>
    </row>
    <row r="61" spans="1:5" ht="13" x14ac:dyDescent="0.3">
      <c r="A61" s="264" t="s">
        <v>267</v>
      </c>
      <c r="B61" s="329"/>
      <c r="C61" s="329"/>
      <c r="D61" s="265"/>
    </row>
    <row r="62" spans="1:5" ht="13" x14ac:dyDescent="0.3">
      <c r="A62" s="268" t="str">
        <f t="shared" ref="A62:A63" si="11">A59</f>
        <v>Electricity</v>
      </c>
      <c r="B62" s="329" t="s">
        <v>268</v>
      </c>
      <c r="C62" s="329" t="s">
        <v>298</v>
      </c>
      <c r="D62" s="269">
        <f t="shared" ref="D62:D63" si="12">+D42</f>
        <v>0.55057909980594144</v>
      </c>
    </row>
    <row r="63" spans="1:5" ht="13" x14ac:dyDescent="0.3">
      <c r="A63" s="268" t="str">
        <f t="shared" si="11"/>
        <v>Natural gas</v>
      </c>
      <c r="B63" s="329" t="s">
        <v>270</v>
      </c>
      <c r="C63" s="329" t="s">
        <v>298</v>
      </c>
      <c r="D63" s="266">
        <f t="shared" si="12"/>
        <v>0.23100000000000001</v>
      </c>
    </row>
    <row r="64" spans="1:5" ht="13" x14ac:dyDescent="0.3">
      <c r="A64" s="264" t="s">
        <v>271</v>
      </c>
      <c r="B64" s="329"/>
      <c r="C64" s="329"/>
      <c r="D64" s="265"/>
    </row>
    <row r="65" spans="1:4" ht="13" x14ac:dyDescent="0.3">
      <c r="A65" s="268" t="str">
        <f t="shared" ref="A65:A66" si="13">A62</f>
        <v>Electricity</v>
      </c>
      <c r="B65" s="329" t="s">
        <v>299</v>
      </c>
      <c r="C65" s="329" t="s">
        <v>264</v>
      </c>
      <c r="D65" s="267">
        <f t="shared" ref="D65:D66" si="14">+D59*D62</f>
        <v>26.427796790685189</v>
      </c>
    </row>
    <row r="66" spans="1:4" ht="13" x14ac:dyDescent="0.3">
      <c r="A66" s="268" t="str">
        <f t="shared" si="13"/>
        <v>Natural gas</v>
      </c>
      <c r="B66" s="329" t="s">
        <v>300</v>
      </c>
      <c r="C66" s="329" t="s">
        <v>264</v>
      </c>
      <c r="D66" s="270">
        <f t="shared" si="14"/>
        <v>6.6990000000000007</v>
      </c>
    </row>
    <row r="67" spans="1:4" ht="13" x14ac:dyDescent="0.3">
      <c r="A67" s="268" t="s">
        <v>275</v>
      </c>
      <c r="B67" s="329" t="s">
        <v>301</v>
      </c>
      <c r="C67" s="329" t="s">
        <v>302</v>
      </c>
      <c r="D67" s="270">
        <f>D47</f>
        <v>305.93779999999998</v>
      </c>
    </row>
    <row r="68" spans="1:4" ht="13" x14ac:dyDescent="0.3">
      <c r="A68" s="264" t="s">
        <v>277</v>
      </c>
      <c r="B68" s="329"/>
      <c r="C68" s="329"/>
      <c r="D68" s="265"/>
    </row>
    <row r="69" spans="1:4" ht="13" x14ac:dyDescent="0.3">
      <c r="A69" s="268" t="str">
        <f t="shared" ref="A69:A70" si="15">A65</f>
        <v>Electricity</v>
      </c>
      <c r="B69" s="329" t="s">
        <v>303</v>
      </c>
      <c r="C69" s="329" t="s">
        <v>279</v>
      </c>
      <c r="D69" s="267">
        <f t="shared" ref="D69:D70" si="16">+D65*$D$14/1000</f>
        <v>32175.842592659217</v>
      </c>
    </row>
    <row r="70" spans="1:4" ht="13" x14ac:dyDescent="0.3">
      <c r="A70" s="268" t="str">
        <f t="shared" si="15"/>
        <v>Natural gas</v>
      </c>
      <c r="B70" s="329" t="s">
        <v>304</v>
      </c>
      <c r="C70" s="329" t="s">
        <v>279</v>
      </c>
      <c r="D70" s="267">
        <f t="shared" si="16"/>
        <v>8156.0325000000012</v>
      </c>
    </row>
    <row r="71" spans="1:4" ht="13" x14ac:dyDescent="0.3">
      <c r="A71" s="268" t="str">
        <f>$A$45</f>
        <v>Electricity</v>
      </c>
      <c r="B71" s="329" t="s">
        <v>305</v>
      </c>
      <c r="C71" s="329" t="str">
        <f>$C$31</f>
        <v>tCO2 over lifetime</v>
      </c>
      <c r="D71" s="267">
        <f t="shared" ref="D71:D72" si="17">D69*$D$15</f>
        <v>482637.63888988824</v>
      </c>
    </row>
    <row r="72" spans="1:4" ht="13" x14ac:dyDescent="0.3">
      <c r="A72" s="268" t="str">
        <f>$A$46</f>
        <v>Natural gas</v>
      </c>
      <c r="B72" s="329" t="s">
        <v>306</v>
      </c>
      <c r="C72" s="329" t="str">
        <f>$C$31</f>
        <v>tCO2 over lifetime</v>
      </c>
      <c r="D72" s="267">
        <f t="shared" si="17"/>
        <v>122340.48750000002</v>
      </c>
    </row>
    <row r="73" spans="1:4" ht="13" x14ac:dyDescent="0.3">
      <c r="A73" s="268" t="s">
        <v>275</v>
      </c>
      <c r="B73" s="329" t="s">
        <v>307</v>
      </c>
      <c r="C73" s="329" t="str">
        <f>$C$31</f>
        <v>tCO2 over lifetime</v>
      </c>
      <c r="D73" s="267">
        <f>+D67*$D$14/1000</f>
        <v>372479.27149999997</v>
      </c>
    </row>
    <row r="74" spans="1:4" ht="13.5" thickBot="1" x14ac:dyDescent="0.35">
      <c r="A74" s="325" t="s">
        <v>284</v>
      </c>
      <c r="B74" s="332"/>
      <c r="C74" s="332" t="str">
        <f>$C$31</f>
        <v>tCO2 over lifetime</v>
      </c>
      <c r="D74" s="274">
        <f>SUM(D71:D73)</f>
        <v>977457.39788988815</v>
      </c>
    </row>
    <row r="75" spans="1:4" ht="13" thickBot="1" x14ac:dyDescent="0.3">
      <c r="B75" s="330"/>
      <c r="C75" s="330"/>
    </row>
    <row r="76" spans="1:4" ht="13" x14ac:dyDescent="0.3">
      <c r="A76" s="272" t="s">
        <v>308</v>
      </c>
      <c r="B76" s="331"/>
      <c r="C76" s="331"/>
      <c r="D76" s="273"/>
    </row>
    <row r="77" spans="1:4" x14ac:dyDescent="0.25">
      <c r="A77" s="258" t="s">
        <v>262</v>
      </c>
      <c r="B77" s="329" t="s">
        <v>309</v>
      </c>
      <c r="C77" s="334" t="s">
        <v>279</v>
      </c>
      <c r="D77" s="267">
        <f>+D29-D49</f>
        <v>14076.931134288403</v>
      </c>
    </row>
    <row r="78" spans="1:4" x14ac:dyDescent="0.25">
      <c r="A78" s="258" t="s">
        <v>265</v>
      </c>
      <c r="B78" s="329" t="s">
        <v>310</v>
      </c>
      <c r="C78" s="329" t="s">
        <v>279</v>
      </c>
      <c r="D78" s="267">
        <f t="shared" ref="D78" si="18">+D30-D50</f>
        <v>2812.4249999999993</v>
      </c>
    </row>
    <row r="79" spans="1:4" x14ac:dyDescent="0.25">
      <c r="A79" s="258" t="s">
        <v>262</v>
      </c>
      <c r="B79" s="329" t="s">
        <v>311</v>
      </c>
      <c r="C79" s="329" t="str">
        <f>$C$31</f>
        <v>tCO2 over lifetime</v>
      </c>
      <c r="D79" s="267">
        <f t="shared" ref="D79:D80" si="19">D77*$D$15</f>
        <v>211153.96701432604</v>
      </c>
    </row>
    <row r="80" spans="1:4" x14ac:dyDescent="0.25">
      <c r="A80" s="258" t="s">
        <v>265</v>
      </c>
      <c r="B80" s="329" t="s">
        <v>312</v>
      </c>
      <c r="C80" s="329" t="str">
        <f>$C$31</f>
        <v>tCO2 over lifetime</v>
      </c>
      <c r="D80" s="267">
        <f t="shared" si="19"/>
        <v>42186.374999999985</v>
      </c>
    </row>
    <row r="81" spans="1:4" x14ac:dyDescent="0.25">
      <c r="A81" s="258" t="s">
        <v>275</v>
      </c>
      <c r="B81" s="329" t="s">
        <v>313</v>
      </c>
      <c r="C81" s="329" t="str">
        <f>$C$31</f>
        <v>tCO2 over lifetime</v>
      </c>
      <c r="D81" s="267">
        <f>+D33-D53</f>
        <v>104544.5334999999</v>
      </c>
    </row>
    <row r="82" spans="1:4" ht="13.5" thickBot="1" x14ac:dyDescent="0.35">
      <c r="A82" s="275" t="s">
        <v>284</v>
      </c>
      <c r="B82" s="332" t="s">
        <v>314</v>
      </c>
      <c r="C82" s="332" t="str">
        <f>$C$31</f>
        <v>tCO2 over lifetime</v>
      </c>
      <c r="D82" s="274">
        <f>SUM(D79:D81)</f>
        <v>357884.87551432592</v>
      </c>
    </row>
    <row r="83" spans="1:4" ht="13" thickBot="1" x14ac:dyDescent="0.3">
      <c r="B83" s="330"/>
      <c r="C83" s="330"/>
    </row>
    <row r="84" spans="1:4" ht="13" x14ac:dyDescent="0.3">
      <c r="A84" s="272" t="s">
        <v>315</v>
      </c>
      <c r="B84" s="331"/>
      <c r="C84" s="331"/>
      <c r="D84" s="273"/>
    </row>
    <row r="85" spans="1:4" x14ac:dyDescent="0.25">
      <c r="A85" s="258" t="s">
        <v>262</v>
      </c>
      <c r="B85" s="329" t="s">
        <v>316</v>
      </c>
      <c r="C85" s="329" t="s">
        <v>279</v>
      </c>
      <c r="D85" s="267">
        <f t="shared" ref="D85:D86" si="20">+D29-D69</f>
        <v>14076.931134288403</v>
      </c>
    </row>
    <row r="86" spans="1:4" x14ac:dyDescent="0.25">
      <c r="A86" s="258" t="s">
        <v>265</v>
      </c>
      <c r="B86" s="329" t="s">
        <v>317</v>
      </c>
      <c r="C86" s="329" t="str">
        <f>$C$31</f>
        <v>tCO2 over lifetime</v>
      </c>
      <c r="D86" s="267">
        <f t="shared" si="20"/>
        <v>8718.5174999999981</v>
      </c>
    </row>
    <row r="87" spans="1:4" x14ac:dyDescent="0.25">
      <c r="A87" s="258" t="s">
        <v>262</v>
      </c>
      <c r="B87" s="329" t="s">
        <v>318</v>
      </c>
      <c r="C87" s="329" t="str">
        <f>$C$31</f>
        <v>tCO2 over lifetime</v>
      </c>
      <c r="D87" s="267">
        <f t="shared" ref="D87:D88" si="21">D85*$D$15</f>
        <v>211153.96701432604</v>
      </c>
    </row>
    <row r="88" spans="1:4" x14ac:dyDescent="0.25">
      <c r="A88" s="258" t="s">
        <v>265</v>
      </c>
      <c r="B88" s="329" t="s">
        <v>319</v>
      </c>
      <c r="C88" s="329" t="str">
        <f>$C$31</f>
        <v>tCO2 over lifetime</v>
      </c>
      <c r="D88" s="267">
        <f t="shared" si="21"/>
        <v>130777.76249999997</v>
      </c>
    </row>
    <row r="89" spans="1:4" x14ac:dyDescent="0.25">
      <c r="A89" s="258" t="s">
        <v>275</v>
      </c>
      <c r="B89" s="329" t="s">
        <v>320</v>
      </c>
      <c r="C89" s="329" t="str">
        <f>$C$31</f>
        <v>tCO2 over lifetime</v>
      </c>
      <c r="D89" s="267">
        <f>+D33-D73</f>
        <v>104544.5334999999</v>
      </c>
    </row>
    <row r="90" spans="1:4" ht="13.5" thickBot="1" x14ac:dyDescent="0.35">
      <c r="A90" s="275" t="s">
        <v>284</v>
      </c>
      <c r="B90" s="332" t="s">
        <v>321</v>
      </c>
      <c r="C90" s="332" t="str">
        <f>$C$31</f>
        <v>tCO2 over lifetime</v>
      </c>
      <c r="D90" s="274">
        <f>SUM(D87:D89)</f>
        <v>446476.26301432593</v>
      </c>
    </row>
    <row r="91" spans="1:4" ht="13" thickBot="1" x14ac:dyDescent="0.3">
      <c r="B91" s="330"/>
      <c r="C91" s="330"/>
    </row>
    <row r="92" spans="1:4" ht="13" x14ac:dyDescent="0.3">
      <c r="A92" s="272" t="s">
        <v>322</v>
      </c>
      <c r="B92" s="331"/>
      <c r="C92" s="331"/>
      <c r="D92" s="273"/>
    </row>
    <row r="93" spans="1:4" x14ac:dyDescent="0.25">
      <c r="A93" s="258" t="s">
        <v>262</v>
      </c>
      <c r="B93" s="329" t="s">
        <v>323</v>
      </c>
      <c r="C93" s="329" t="s">
        <v>279</v>
      </c>
      <c r="D93" s="267">
        <f t="shared" ref="D93:D94" si="22">+AVERAGE(D85,D77)</f>
        <v>14076.931134288403</v>
      </c>
    </row>
    <row r="94" spans="1:4" x14ac:dyDescent="0.25">
      <c r="A94" s="258" t="s">
        <v>265</v>
      </c>
      <c r="B94" s="329" t="s">
        <v>323</v>
      </c>
      <c r="C94" s="329" t="str">
        <f>$C$31</f>
        <v>tCO2 over lifetime</v>
      </c>
      <c r="D94" s="267">
        <f t="shared" si="22"/>
        <v>5765.4712499999987</v>
      </c>
    </row>
    <row r="95" spans="1:4" x14ac:dyDescent="0.25">
      <c r="A95" s="258" t="s">
        <v>262</v>
      </c>
      <c r="B95" s="329" t="s">
        <v>323</v>
      </c>
      <c r="C95" s="329" t="str">
        <f>$C$31</f>
        <v>tCO2 over lifetime</v>
      </c>
      <c r="D95" s="267">
        <f t="shared" ref="D95:D96" si="23">D93*$D$15</f>
        <v>211153.96701432604</v>
      </c>
    </row>
    <row r="96" spans="1:4" x14ac:dyDescent="0.25">
      <c r="A96" s="258" t="s">
        <v>265</v>
      </c>
      <c r="B96" s="329" t="s">
        <v>323</v>
      </c>
      <c r="C96" s="329" t="str">
        <f>$C$31</f>
        <v>tCO2 over lifetime</v>
      </c>
      <c r="D96" s="267">
        <f t="shared" si="23"/>
        <v>86482.068749999977</v>
      </c>
    </row>
    <row r="97" spans="1:4" x14ac:dyDescent="0.25">
      <c r="A97" s="258" t="s">
        <v>275</v>
      </c>
      <c r="B97" s="329" t="s">
        <v>323</v>
      </c>
      <c r="C97" s="329" t="str">
        <f>$C$31</f>
        <v>tCO2 over lifetime</v>
      </c>
      <c r="D97" s="267">
        <f>+AVERAGE(D89,D81)</f>
        <v>104544.5334999999</v>
      </c>
    </row>
    <row r="98" spans="1:4" ht="13.5" thickBot="1" x14ac:dyDescent="0.35">
      <c r="A98" s="275" t="s">
        <v>284</v>
      </c>
      <c r="B98" s="332" t="s">
        <v>324</v>
      </c>
      <c r="C98" s="332" t="str">
        <f>$C$31</f>
        <v>tCO2 over lifetime</v>
      </c>
      <c r="D98" s="274">
        <f>SUM(D95:D97)</f>
        <v>402180.5692643259</v>
      </c>
    </row>
    <row r="100" spans="1:4" x14ac:dyDescent="0.25">
      <c r="A100" s="254" t="s">
        <v>709</v>
      </c>
      <c r="D100" s="375">
        <f>D97/D98</f>
        <v>0.25994426754936018</v>
      </c>
    </row>
    <row r="103" spans="1:4" ht="13" x14ac:dyDescent="0.3">
      <c r="A103" s="398" t="s">
        <v>730</v>
      </c>
    </row>
    <row r="104" spans="1:4" ht="13" thickBot="1" x14ac:dyDescent="0.3"/>
    <row r="105" spans="1:4" ht="13" x14ac:dyDescent="0.3">
      <c r="A105" s="393" t="s">
        <v>728</v>
      </c>
      <c r="B105" s="394" t="str">
        <f>C20</f>
        <v>kWh/m2/yr</v>
      </c>
    </row>
    <row r="106" spans="1:4" ht="13" x14ac:dyDescent="0.3">
      <c r="A106" s="395" t="s">
        <v>172</v>
      </c>
      <c r="B106" s="265"/>
    </row>
    <row r="107" spans="1:4" x14ac:dyDescent="0.25">
      <c r="A107" s="260" t="s">
        <v>726</v>
      </c>
      <c r="B107" s="265">
        <f>D19</f>
        <v>69</v>
      </c>
    </row>
    <row r="108" spans="1:4" x14ac:dyDescent="0.25">
      <c r="A108" s="260" t="s">
        <v>727</v>
      </c>
      <c r="B108" s="265">
        <f>D20</f>
        <v>60</v>
      </c>
    </row>
    <row r="109" spans="1:4" ht="13" x14ac:dyDescent="0.3">
      <c r="A109" s="396" t="s">
        <v>249</v>
      </c>
      <c r="B109" s="265"/>
    </row>
    <row r="110" spans="1:4" x14ac:dyDescent="0.25">
      <c r="A110" s="260" t="s">
        <v>726</v>
      </c>
      <c r="B110" s="265">
        <f>D39</f>
        <v>48</v>
      </c>
    </row>
    <row r="111" spans="1:4" x14ac:dyDescent="0.25">
      <c r="A111" s="260" t="s">
        <v>727</v>
      </c>
      <c r="B111" s="265">
        <f>D40</f>
        <v>50</v>
      </c>
    </row>
    <row r="112" spans="1:4" ht="13" x14ac:dyDescent="0.3">
      <c r="A112" s="396" t="s">
        <v>250</v>
      </c>
      <c r="B112" s="265"/>
    </row>
    <row r="113" spans="1:2" x14ac:dyDescent="0.25">
      <c r="A113" s="260" t="s">
        <v>726</v>
      </c>
      <c r="B113" s="265">
        <f>D59</f>
        <v>48</v>
      </c>
    </row>
    <row r="114" spans="1:2" x14ac:dyDescent="0.25">
      <c r="A114" s="260" t="s">
        <v>727</v>
      </c>
      <c r="B114" s="265">
        <f>D60</f>
        <v>29</v>
      </c>
    </row>
    <row r="115" spans="1:2" ht="13" x14ac:dyDescent="0.3">
      <c r="A115" s="396" t="s">
        <v>731</v>
      </c>
      <c r="B115" s="265"/>
    </row>
    <row r="116" spans="1:2" x14ac:dyDescent="0.25">
      <c r="A116" s="260" t="s">
        <v>726</v>
      </c>
      <c r="B116" s="265">
        <f>AVERAGE(B110,B113)</f>
        <v>48</v>
      </c>
    </row>
    <row r="117" spans="1:2" ht="13" thickBot="1" x14ac:dyDescent="0.3">
      <c r="A117" s="261" t="s">
        <v>727</v>
      </c>
      <c r="B117" s="397">
        <f>AVERAGE(B111,B114)</f>
        <v>39.5</v>
      </c>
    </row>
    <row r="118" spans="1:2" ht="13" thickBot="1" x14ac:dyDescent="0.3"/>
    <row r="119" spans="1:2" ht="13" x14ac:dyDescent="0.3">
      <c r="A119" s="393" t="s">
        <v>729</v>
      </c>
      <c r="B119" s="394" t="s">
        <v>725</v>
      </c>
    </row>
    <row r="120" spans="1:2" ht="13" x14ac:dyDescent="0.3">
      <c r="A120" s="395" t="s">
        <v>172</v>
      </c>
      <c r="B120" s="265"/>
    </row>
    <row r="121" spans="1:2" x14ac:dyDescent="0.25">
      <c r="A121" s="260" t="s">
        <v>726</v>
      </c>
      <c r="B121" s="259">
        <f>B107*D14/1000</f>
        <v>84007.5</v>
      </c>
    </row>
    <row r="122" spans="1:2" x14ac:dyDescent="0.25">
      <c r="A122" s="260" t="s">
        <v>727</v>
      </c>
      <c r="B122" s="259">
        <f>B108*D14/1000</f>
        <v>73050</v>
      </c>
    </row>
    <row r="123" spans="1:2" ht="13" x14ac:dyDescent="0.3">
      <c r="A123" s="396" t="s">
        <v>731</v>
      </c>
      <c r="B123" s="265"/>
    </row>
    <row r="124" spans="1:2" x14ac:dyDescent="0.25">
      <c r="A124" s="260" t="s">
        <v>726</v>
      </c>
      <c r="B124" s="259">
        <f>B116*D14/1000</f>
        <v>58440</v>
      </c>
    </row>
    <row r="125" spans="1:2" ht="13" thickBot="1" x14ac:dyDescent="0.3">
      <c r="A125" s="261" t="s">
        <v>727</v>
      </c>
      <c r="B125" s="262">
        <f>B117*D14/1000</f>
        <v>48091.25</v>
      </c>
    </row>
    <row r="126" spans="1:2" ht="13" thickBot="1" x14ac:dyDescent="0.3">
      <c r="B126" s="392"/>
    </row>
    <row r="127" spans="1:2" ht="13" x14ac:dyDescent="0.3">
      <c r="A127" s="393" t="s">
        <v>732</v>
      </c>
      <c r="B127" s="394" t="s">
        <v>725</v>
      </c>
    </row>
    <row r="128" spans="1:2" ht="13" x14ac:dyDescent="0.3">
      <c r="A128" s="396" t="s">
        <v>731</v>
      </c>
      <c r="B128" s="399"/>
    </row>
    <row r="129" spans="1:2" x14ac:dyDescent="0.25">
      <c r="A129" s="260" t="s">
        <v>726</v>
      </c>
      <c r="B129" s="259">
        <f>B121-B124</f>
        <v>25567.5</v>
      </c>
    </row>
    <row r="130" spans="1:2" ht="13" thickBot="1" x14ac:dyDescent="0.3">
      <c r="A130" s="261" t="s">
        <v>727</v>
      </c>
      <c r="B130" s="262">
        <f>B122-B125</f>
        <v>24958.75</v>
      </c>
    </row>
  </sheetData>
  <pageMargins left="0.7" right="0.7" top="0.75" bottom="0.75" header="0" footer="0"/>
  <pageSetup orientation="landscape"/>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9"/>
  <sheetViews>
    <sheetView topLeftCell="A97" workbookViewId="0">
      <selection activeCell="A102" sqref="A102:B129"/>
    </sheetView>
  </sheetViews>
  <sheetFormatPr baseColWidth="10" defaultColWidth="12.58203125" defaultRowHeight="12.5" x14ac:dyDescent="0.25"/>
  <cols>
    <col min="1" max="1" width="43.58203125" style="254" customWidth="1"/>
    <col min="2" max="2" width="22.58203125" style="254" customWidth="1"/>
    <col min="3" max="3" width="17" style="327" customWidth="1"/>
    <col min="4" max="4" width="16" style="254" customWidth="1"/>
    <col min="5" max="26" width="9.33203125" style="254" customWidth="1"/>
    <col min="27" max="16384" width="12.58203125" style="254"/>
  </cols>
  <sheetData>
    <row r="1" spans="1:4" ht="13" x14ac:dyDescent="0.3">
      <c r="A1" s="253" t="s">
        <v>654</v>
      </c>
    </row>
    <row r="3" spans="1:4" ht="13.5" thickBot="1" x14ac:dyDescent="0.35">
      <c r="A3" s="253" t="s">
        <v>601</v>
      </c>
      <c r="B3" s="255"/>
    </row>
    <row r="4" spans="1:4" x14ac:dyDescent="0.25">
      <c r="A4" s="256" t="s">
        <v>603</v>
      </c>
      <c r="B4" s="257">
        <f>D34</f>
        <v>6568.7158003985678</v>
      </c>
    </row>
    <row r="5" spans="1:4" x14ac:dyDescent="0.25">
      <c r="A5" s="258" t="s">
        <v>604</v>
      </c>
      <c r="B5" s="259">
        <f>D54</f>
        <v>5632.7025425682932</v>
      </c>
    </row>
    <row r="6" spans="1:4" x14ac:dyDescent="0.25">
      <c r="A6" s="260" t="s">
        <v>605</v>
      </c>
      <c r="B6" s="259">
        <f>D74</f>
        <v>5198.0468732915351</v>
      </c>
    </row>
    <row r="7" spans="1:4" x14ac:dyDescent="0.25">
      <c r="A7" s="260" t="s">
        <v>308</v>
      </c>
      <c r="B7" s="259">
        <f>D82</f>
        <v>936.01325783027414</v>
      </c>
    </row>
    <row r="8" spans="1:4" x14ac:dyDescent="0.25">
      <c r="A8" s="260" t="s">
        <v>315</v>
      </c>
      <c r="B8" s="259">
        <f>D90</f>
        <v>1370.668927107032</v>
      </c>
    </row>
    <row r="9" spans="1:4" ht="13" thickBot="1" x14ac:dyDescent="0.3">
      <c r="A9" s="261" t="s">
        <v>322</v>
      </c>
      <c r="B9" s="262">
        <f>D98</f>
        <v>1153.3410924686532</v>
      </c>
    </row>
    <row r="10" spans="1:4" ht="13" thickBot="1" x14ac:dyDescent="0.3"/>
    <row r="11" spans="1:4" ht="13" x14ac:dyDescent="0.3">
      <c r="A11" s="328" t="s">
        <v>610</v>
      </c>
      <c r="B11" s="326" t="s">
        <v>253</v>
      </c>
      <c r="C11" s="326" t="s">
        <v>254</v>
      </c>
      <c r="D11" s="263" t="s">
        <v>255</v>
      </c>
    </row>
    <row r="12" spans="1:4" ht="13" x14ac:dyDescent="0.3">
      <c r="A12" s="264" t="s">
        <v>48</v>
      </c>
      <c r="B12" s="329"/>
      <c r="C12" s="329"/>
      <c r="D12" s="265"/>
    </row>
    <row r="13" spans="1:4" x14ac:dyDescent="0.25">
      <c r="A13" s="258" t="s">
        <v>256</v>
      </c>
      <c r="B13" s="329"/>
      <c r="C13" s="329"/>
      <c r="D13" s="266" t="str">
        <f>+'Input_Area and Costs'!A7</f>
        <v>Education</v>
      </c>
    </row>
    <row r="14" spans="1:4" x14ac:dyDescent="0.25">
      <c r="A14" s="258" t="s">
        <v>247</v>
      </c>
      <c r="B14" s="329" t="s">
        <v>257</v>
      </c>
      <c r="C14" s="329" t="s">
        <v>251</v>
      </c>
      <c r="D14" s="267">
        <f>+'Input_Area and Costs'!C7</f>
        <v>11250</v>
      </c>
    </row>
    <row r="15" spans="1:4" x14ac:dyDescent="0.25">
      <c r="A15" s="258" t="s">
        <v>258</v>
      </c>
      <c r="B15" s="329" t="s">
        <v>259</v>
      </c>
      <c r="C15" s="329" t="s">
        <v>260</v>
      </c>
      <c r="D15" s="267">
        <f>'General Inputs&amp;Outputs'!$C$12</f>
        <v>15</v>
      </c>
    </row>
    <row r="16" spans="1:4" x14ac:dyDescent="0.25">
      <c r="A16" s="254" t="s">
        <v>172</v>
      </c>
      <c r="B16" s="329"/>
      <c r="C16" s="329"/>
      <c r="D16" s="265"/>
    </row>
    <row r="17" spans="1:4" ht="13" x14ac:dyDescent="0.3">
      <c r="A17" s="264" t="s">
        <v>285</v>
      </c>
      <c r="B17" s="329"/>
      <c r="C17" s="329"/>
      <c r="D17" s="265"/>
    </row>
    <row r="18" spans="1:4" ht="13" x14ac:dyDescent="0.3">
      <c r="A18" s="264" t="s">
        <v>261</v>
      </c>
      <c r="B18" s="329"/>
      <c r="C18" s="333"/>
      <c r="D18" s="265"/>
    </row>
    <row r="19" spans="1:4" ht="13" x14ac:dyDescent="0.3">
      <c r="A19" s="268" t="s">
        <v>262</v>
      </c>
      <c r="B19" s="329" t="s">
        <v>263</v>
      </c>
      <c r="C19" s="329" t="s">
        <v>264</v>
      </c>
      <c r="D19" s="266">
        <f>+'Energy use'!B533-(+'Energy use'!B536+'Energy use'!B534)</f>
        <v>26</v>
      </c>
    </row>
    <row r="20" spans="1:4" ht="13" x14ac:dyDescent="0.3">
      <c r="A20" s="268" t="s">
        <v>265</v>
      </c>
      <c r="B20" s="329" t="s">
        <v>266</v>
      </c>
      <c r="C20" s="329" t="s">
        <v>264</v>
      </c>
      <c r="D20" s="266">
        <f>+'Energy use'!B536+'Energy use'!B534</f>
        <v>9</v>
      </c>
    </row>
    <row r="21" spans="1:4" ht="13" x14ac:dyDescent="0.3">
      <c r="A21" s="264" t="s">
        <v>267</v>
      </c>
      <c r="B21" s="329"/>
      <c r="C21" s="333"/>
      <c r="D21" s="265"/>
    </row>
    <row r="22" spans="1:4" ht="13" x14ac:dyDescent="0.3">
      <c r="A22" s="268" t="str">
        <f t="shared" ref="A22:A23" si="0">A19</f>
        <v>Electricity</v>
      </c>
      <c r="B22" s="329" t="s">
        <v>268</v>
      </c>
      <c r="C22" s="329" t="s">
        <v>269</v>
      </c>
      <c r="D22" s="269">
        <f>+'Input_Energy Context'!C12</f>
        <v>0.55057909980594144</v>
      </c>
    </row>
    <row r="23" spans="1:4" ht="13" x14ac:dyDescent="0.3">
      <c r="A23" s="268" t="str">
        <f t="shared" si="0"/>
        <v>Natural gas</v>
      </c>
      <c r="B23" s="329" t="s">
        <v>270</v>
      </c>
      <c r="C23" s="329" t="s">
        <v>269</v>
      </c>
      <c r="D23" s="266">
        <f>+'Input_Energy Context'!B13</f>
        <v>0.23100000000000001</v>
      </c>
    </row>
    <row r="24" spans="1:4" ht="13" x14ac:dyDescent="0.3">
      <c r="A24" s="264" t="s">
        <v>271</v>
      </c>
      <c r="B24" s="329"/>
      <c r="C24" s="333"/>
      <c r="D24" s="265"/>
    </row>
    <row r="25" spans="1:4" ht="13" x14ac:dyDescent="0.3">
      <c r="A25" s="268" t="str">
        <f t="shared" ref="A25:A26" si="1">A22</f>
        <v>Electricity</v>
      </c>
      <c r="B25" s="329" t="s">
        <v>272</v>
      </c>
      <c r="C25" s="329" t="s">
        <v>273</v>
      </c>
      <c r="D25" s="270">
        <f t="shared" ref="D25:D26" si="2">+D19*D22</f>
        <v>14.315056594954477</v>
      </c>
    </row>
    <row r="26" spans="1:4" ht="13" x14ac:dyDescent="0.3">
      <c r="A26" s="268" t="str">
        <f t="shared" si="1"/>
        <v>Natural gas</v>
      </c>
      <c r="B26" s="329" t="s">
        <v>274</v>
      </c>
      <c r="C26" s="329" t="s">
        <v>273</v>
      </c>
      <c r="D26" s="270">
        <f t="shared" si="2"/>
        <v>2.0790000000000002</v>
      </c>
    </row>
    <row r="27" spans="1:4" ht="13" x14ac:dyDescent="0.3">
      <c r="A27" s="268" t="s">
        <v>275</v>
      </c>
      <c r="B27" s="329" t="s">
        <v>276</v>
      </c>
      <c r="C27" s="329" t="s">
        <v>273</v>
      </c>
      <c r="D27" s="270">
        <f>'Input_LC Materials'!C24/'Input_LC Materials'!C8</f>
        <v>337.97499999999991</v>
      </c>
    </row>
    <row r="28" spans="1:4" ht="13" x14ac:dyDescent="0.3">
      <c r="A28" s="264" t="s">
        <v>277</v>
      </c>
      <c r="B28" s="329"/>
      <c r="C28" s="333"/>
      <c r="D28" s="265"/>
    </row>
    <row r="29" spans="1:4" ht="13" x14ac:dyDescent="0.3">
      <c r="A29" s="268" t="str">
        <f t="shared" ref="A29:A30" si="3">A25</f>
        <v>Electricity</v>
      </c>
      <c r="B29" s="329" t="s">
        <v>278</v>
      </c>
      <c r="C29" s="329" t="s">
        <v>279</v>
      </c>
      <c r="D29" s="267">
        <f>+D25*D14/1000</f>
        <v>161.04438669323787</v>
      </c>
    </row>
    <row r="30" spans="1:4" ht="13" x14ac:dyDescent="0.3">
      <c r="A30" s="268" t="str">
        <f t="shared" si="3"/>
        <v>Natural gas</v>
      </c>
      <c r="B30" s="329" t="s">
        <v>280</v>
      </c>
      <c r="C30" s="329" t="s">
        <v>279</v>
      </c>
      <c r="D30" s="267">
        <f>+D26*D14/1000</f>
        <v>23.388750000000005</v>
      </c>
    </row>
    <row r="31" spans="1:4" ht="13" x14ac:dyDescent="0.3">
      <c r="A31" s="268" t="str">
        <f>$A$25</f>
        <v>Electricity</v>
      </c>
      <c r="B31" s="329" t="s">
        <v>281</v>
      </c>
      <c r="C31" s="329" t="s">
        <v>577</v>
      </c>
      <c r="D31" s="267">
        <f t="shared" ref="D31:D32" si="4">D29*$D$15</f>
        <v>2415.6658003985681</v>
      </c>
    </row>
    <row r="32" spans="1:4" ht="13" x14ac:dyDescent="0.3">
      <c r="A32" s="268" t="str">
        <f>$A$26</f>
        <v>Natural gas</v>
      </c>
      <c r="B32" s="329" t="s">
        <v>282</v>
      </c>
      <c r="C32" s="329" t="s">
        <v>577</v>
      </c>
      <c r="D32" s="267">
        <f t="shared" si="4"/>
        <v>350.83125000000007</v>
      </c>
    </row>
    <row r="33" spans="1:4" ht="13" x14ac:dyDescent="0.3">
      <c r="A33" s="268" t="s">
        <v>275</v>
      </c>
      <c r="B33" s="329" t="s">
        <v>283</v>
      </c>
      <c r="C33" s="329" t="s">
        <v>577</v>
      </c>
      <c r="D33" s="267">
        <f>+D27*D14/1000</f>
        <v>3802.2187499999991</v>
      </c>
    </row>
    <row r="34" spans="1:4" ht="13.5" thickBot="1" x14ac:dyDescent="0.35">
      <c r="A34" s="325" t="s">
        <v>284</v>
      </c>
      <c r="B34" s="332"/>
      <c r="C34" s="332" t="s">
        <v>577</v>
      </c>
      <c r="D34" s="274">
        <f>SUM(D31:D33)</f>
        <v>6568.7158003985678</v>
      </c>
    </row>
    <row r="35" spans="1:4" ht="13" thickBot="1" x14ac:dyDescent="0.3">
      <c r="B35" s="330"/>
      <c r="C35" s="330"/>
    </row>
    <row r="36" spans="1:4" ht="13" x14ac:dyDescent="0.3">
      <c r="A36" s="328" t="s">
        <v>249</v>
      </c>
      <c r="B36" s="326"/>
      <c r="C36" s="326"/>
      <c r="D36" s="263"/>
    </row>
    <row r="37" spans="1:4" ht="13" x14ac:dyDescent="0.3">
      <c r="A37" s="264" t="s">
        <v>285</v>
      </c>
      <c r="B37" s="329"/>
      <c r="C37" s="329"/>
      <c r="D37" s="265"/>
    </row>
    <row r="38" spans="1:4" ht="13" x14ac:dyDescent="0.3">
      <c r="A38" s="264" t="s">
        <v>261</v>
      </c>
      <c r="B38" s="329"/>
      <c r="C38" s="333"/>
      <c r="D38" s="265"/>
    </row>
    <row r="39" spans="1:4" ht="13" x14ac:dyDescent="0.3">
      <c r="A39" s="268" t="s">
        <v>262</v>
      </c>
      <c r="B39" s="329" t="s">
        <v>286</v>
      </c>
      <c r="C39" s="329" t="s">
        <v>264</v>
      </c>
      <c r="D39" s="266">
        <f>+'Energy use'!C533-D40</f>
        <v>17</v>
      </c>
    </row>
    <row r="40" spans="1:4" ht="13" x14ac:dyDescent="0.3">
      <c r="A40" s="268" t="s">
        <v>265</v>
      </c>
      <c r="B40" s="329" t="s">
        <v>287</v>
      </c>
      <c r="C40" s="329" t="s">
        <v>264</v>
      </c>
      <c r="D40" s="266">
        <f>+'Energy use'!C536+'Energy use'!C534</f>
        <v>10</v>
      </c>
    </row>
    <row r="41" spans="1:4" ht="13" x14ac:dyDescent="0.3">
      <c r="A41" s="264" t="s">
        <v>267</v>
      </c>
      <c r="B41" s="329"/>
      <c r="C41" s="329"/>
      <c r="D41" s="265"/>
    </row>
    <row r="42" spans="1:4" ht="13" x14ac:dyDescent="0.3">
      <c r="A42" s="268" t="str">
        <f t="shared" ref="A42:A43" si="5">A39</f>
        <v>Electricity</v>
      </c>
      <c r="B42" s="329" t="s">
        <v>268</v>
      </c>
      <c r="C42" s="329" t="s">
        <v>269</v>
      </c>
      <c r="D42" s="269">
        <f t="shared" ref="D42:D43" si="6">+D22</f>
        <v>0.55057909980594144</v>
      </c>
    </row>
    <row r="43" spans="1:4" ht="13" x14ac:dyDescent="0.3">
      <c r="A43" s="268" t="str">
        <f t="shared" si="5"/>
        <v>Natural gas</v>
      </c>
      <c r="B43" s="329" t="s">
        <v>270</v>
      </c>
      <c r="C43" s="329" t="s">
        <v>269</v>
      </c>
      <c r="D43" s="266">
        <f t="shared" si="6"/>
        <v>0.23100000000000001</v>
      </c>
    </row>
    <row r="44" spans="1:4" ht="13" x14ac:dyDescent="0.3">
      <c r="A44" s="264" t="s">
        <v>271</v>
      </c>
      <c r="B44" s="329"/>
      <c r="C44" s="329"/>
      <c r="D44" s="265"/>
    </row>
    <row r="45" spans="1:4" ht="13" x14ac:dyDescent="0.3">
      <c r="A45" s="268" t="str">
        <f t="shared" ref="A45:A46" si="7">A42</f>
        <v>Electricity</v>
      </c>
      <c r="B45" s="329" t="s">
        <v>288</v>
      </c>
      <c r="C45" s="329" t="s">
        <v>273</v>
      </c>
      <c r="D45" s="267">
        <f t="shared" ref="D45" si="8">+D39*D42</f>
        <v>9.3598446967010052</v>
      </c>
    </row>
    <row r="46" spans="1:4" ht="13" x14ac:dyDescent="0.3">
      <c r="A46" s="268" t="str">
        <f t="shared" si="7"/>
        <v>Natural gas</v>
      </c>
      <c r="B46" s="329" t="s">
        <v>289</v>
      </c>
      <c r="C46" s="329" t="s">
        <v>273</v>
      </c>
      <c r="D46" s="270">
        <f>+D40*D43</f>
        <v>2.31</v>
      </c>
    </row>
    <row r="47" spans="1:4" ht="13" x14ac:dyDescent="0.3">
      <c r="A47" s="268" t="s">
        <v>275</v>
      </c>
      <c r="B47" s="329" t="s">
        <v>290</v>
      </c>
      <c r="C47" s="329" t="s">
        <v>273</v>
      </c>
      <c r="D47" s="270">
        <f>D27-'Input_LC Materials'!C24</f>
        <v>325.63699999999989</v>
      </c>
    </row>
    <row r="48" spans="1:4" ht="13" x14ac:dyDescent="0.3">
      <c r="A48" s="264" t="s">
        <v>277</v>
      </c>
      <c r="B48" s="329"/>
      <c r="C48" s="329"/>
      <c r="D48" s="265"/>
    </row>
    <row r="49" spans="1:5" ht="13" x14ac:dyDescent="0.3">
      <c r="A49" s="268" t="str">
        <f t="shared" ref="A49:A50" si="9">A45</f>
        <v>Electricity</v>
      </c>
      <c r="B49" s="329" t="s">
        <v>291</v>
      </c>
      <c r="C49" s="329" t="s">
        <v>279</v>
      </c>
      <c r="D49" s="267">
        <f>+D45*D14/1000</f>
        <v>105.29825283788631</v>
      </c>
    </row>
    <row r="50" spans="1:5" ht="13" x14ac:dyDescent="0.3">
      <c r="A50" s="268" t="str">
        <f t="shared" si="9"/>
        <v>Natural gas</v>
      </c>
      <c r="B50" s="329" t="s">
        <v>292</v>
      </c>
      <c r="C50" s="329" t="s">
        <v>279</v>
      </c>
      <c r="D50" s="267">
        <f>+D46*D14/1000</f>
        <v>25.987500000000001</v>
      </c>
    </row>
    <row r="51" spans="1:5" ht="13" x14ac:dyDescent="0.3">
      <c r="A51" s="268" t="str">
        <f>$A$45</f>
        <v>Electricity</v>
      </c>
      <c r="B51" s="329" t="s">
        <v>293</v>
      </c>
      <c r="C51" s="329" t="str">
        <f>$C$31</f>
        <v>tCO2 over lifetime</v>
      </c>
      <c r="D51" s="267">
        <f t="shared" ref="D51:D52" si="10">D49*$D$15</f>
        <v>1579.4737925682946</v>
      </c>
    </row>
    <row r="52" spans="1:5" ht="13" x14ac:dyDescent="0.3">
      <c r="A52" s="268" t="str">
        <f>$A$46</f>
        <v>Natural gas</v>
      </c>
      <c r="B52" s="329" t="s">
        <v>294</v>
      </c>
      <c r="C52" s="329" t="str">
        <f>$C$31</f>
        <v>tCO2 over lifetime</v>
      </c>
      <c r="D52" s="267">
        <f t="shared" si="10"/>
        <v>389.8125</v>
      </c>
    </row>
    <row r="53" spans="1:5" ht="13" x14ac:dyDescent="0.3">
      <c r="A53" s="268" t="s">
        <v>275</v>
      </c>
      <c r="B53" s="329" t="s">
        <v>295</v>
      </c>
      <c r="C53" s="329" t="str">
        <f>$C$31</f>
        <v>tCO2 over lifetime</v>
      </c>
      <c r="D53" s="267">
        <f>+D47*D14/1000</f>
        <v>3663.4162499999984</v>
      </c>
    </row>
    <row r="54" spans="1:5" ht="13.5" thickBot="1" x14ac:dyDescent="0.35">
      <c r="A54" s="325" t="s">
        <v>284</v>
      </c>
      <c r="B54" s="332"/>
      <c r="C54" s="332" t="str">
        <f>$C$31</f>
        <v>tCO2 over lifetime</v>
      </c>
      <c r="D54" s="274">
        <f>SUM(D51:D53)</f>
        <v>5632.7025425682932</v>
      </c>
      <c r="E54" s="255"/>
    </row>
    <row r="55" spans="1:5" ht="13" thickBot="1" x14ac:dyDescent="0.3">
      <c r="A55" s="255"/>
      <c r="B55" s="330"/>
      <c r="C55" s="330"/>
      <c r="D55" s="255"/>
      <c r="E55" s="255"/>
    </row>
    <row r="56" spans="1:5" ht="13" x14ac:dyDescent="0.3">
      <c r="A56" s="328" t="s">
        <v>250</v>
      </c>
      <c r="B56" s="326"/>
      <c r="C56" s="326"/>
      <c r="D56" s="263"/>
      <c r="E56" s="255"/>
    </row>
    <row r="57" spans="1:5" ht="13" x14ac:dyDescent="0.3">
      <c r="A57" s="264" t="s">
        <v>285</v>
      </c>
      <c r="B57" s="329"/>
      <c r="C57" s="329"/>
      <c r="D57" s="265"/>
      <c r="E57" s="255"/>
    </row>
    <row r="58" spans="1:5" ht="13" x14ac:dyDescent="0.3">
      <c r="A58" s="264" t="s">
        <v>261</v>
      </c>
      <c r="B58" s="329"/>
      <c r="C58" s="329" t="s">
        <v>264</v>
      </c>
      <c r="D58" s="265"/>
    </row>
    <row r="59" spans="1:5" ht="13" x14ac:dyDescent="0.3">
      <c r="A59" s="268" t="s">
        <v>262</v>
      </c>
      <c r="B59" s="329" t="s">
        <v>296</v>
      </c>
      <c r="C59" s="329" t="s">
        <v>264</v>
      </c>
      <c r="D59" s="266">
        <f>+'Energy use'!D533-D60</f>
        <v>14</v>
      </c>
    </row>
    <row r="60" spans="1:5" ht="13" x14ac:dyDescent="0.3">
      <c r="A60" s="268" t="s">
        <v>265</v>
      </c>
      <c r="B60" s="329" t="s">
        <v>297</v>
      </c>
      <c r="C60" s="329" t="s">
        <v>264</v>
      </c>
      <c r="D60" s="266">
        <f>+'Energy use'!D536+'Energy use'!D534</f>
        <v>6</v>
      </c>
    </row>
    <row r="61" spans="1:5" ht="13" x14ac:dyDescent="0.3">
      <c r="A61" s="264" t="s">
        <v>267</v>
      </c>
      <c r="B61" s="329"/>
      <c r="C61" s="329"/>
      <c r="D61" s="265"/>
    </row>
    <row r="62" spans="1:5" ht="13" x14ac:dyDescent="0.3">
      <c r="A62" s="268" t="str">
        <f t="shared" ref="A62:A63" si="11">A59</f>
        <v>Electricity</v>
      </c>
      <c r="B62" s="329" t="s">
        <v>268</v>
      </c>
      <c r="C62" s="329" t="s">
        <v>298</v>
      </c>
      <c r="D62" s="269">
        <f t="shared" ref="D62:D63" si="12">+D42</f>
        <v>0.55057909980594144</v>
      </c>
    </row>
    <row r="63" spans="1:5" ht="13" x14ac:dyDescent="0.3">
      <c r="A63" s="268" t="str">
        <f t="shared" si="11"/>
        <v>Natural gas</v>
      </c>
      <c r="B63" s="329" t="s">
        <v>270</v>
      </c>
      <c r="C63" s="329" t="s">
        <v>298</v>
      </c>
      <c r="D63" s="266">
        <f t="shared" si="12"/>
        <v>0.23100000000000001</v>
      </c>
    </row>
    <row r="64" spans="1:5" ht="13" x14ac:dyDescent="0.3">
      <c r="A64" s="264" t="s">
        <v>271</v>
      </c>
      <c r="B64" s="329"/>
      <c r="C64" s="329"/>
      <c r="D64" s="265"/>
    </row>
    <row r="65" spans="1:4" ht="13" x14ac:dyDescent="0.3">
      <c r="A65" s="268" t="str">
        <f t="shared" ref="A65:A66" si="13">A62</f>
        <v>Electricity</v>
      </c>
      <c r="B65" s="329" t="s">
        <v>299</v>
      </c>
      <c r="C65" s="329" t="s">
        <v>264</v>
      </c>
      <c r="D65" s="267">
        <f t="shared" ref="D65:D66" si="14">+D59*D62</f>
        <v>7.7081073972831806</v>
      </c>
    </row>
    <row r="66" spans="1:4" ht="13" x14ac:dyDescent="0.3">
      <c r="A66" s="268" t="str">
        <f t="shared" si="13"/>
        <v>Natural gas</v>
      </c>
      <c r="B66" s="329" t="s">
        <v>300</v>
      </c>
      <c r="C66" s="329" t="s">
        <v>264</v>
      </c>
      <c r="D66" s="270">
        <f t="shared" si="14"/>
        <v>1.3860000000000001</v>
      </c>
    </row>
    <row r="67" spans="1:4" ht="13" x14ac:dyDescent="0.3">
      <c r="A67" s="268" t="s">
        <v>275</v>
      </c>
      <c r="B67" s="329" t="s">
        <v>301</v>
      </c>
      <c r="C67" s="329" t="s">
        <v>302</v>
      </c>
      <c r="D67" s="270">
        <f>D47</f>
        <v>325.63699999999989</v>
      </c>
    </row>
    <row r="68" spans="1:4" ht="13" x14ac:dyDescent="0.3">
      <c r="A68" s="264" t="s">
        <v>277</v>
      </c>
      <c r="B68" s="329"/>
      <c r="C68" s="329"/>
      <c r="D68" s="265"/>
    </row>
    <row r="69" spans="1:4" ht="13" x14ac:dyDescent="0.3">
      <c r="A69" s="268" t="str">
        <f t="shared" ref="A69:A70" si="15">A65</f>
        <v>Electricity</v>
      </c>
      <c r="B69" s="329" t="s">
        <v>303</v>
      </c>
      <c r="C69" s="329" t="s">
        <v>279</v>
      </c>
      <c r="D69" s="267">
        <f t="shared" ref="D69:D70" si="16">+D65*$D$14/1000</f>
        <v>86.716208219435785</v>
      </c>
    </row>
    <row r="70" spans="1:4" ht="13" x14ac:dyDescent="0.3">
      <c r="A70" s="268" t="str">
        <f t="shared" si="15"/>
        <v>Natural gas</v>
      </c>
      <c r="B70" s="329" t="s">
        <v>304</v>
      </c>
      <c r="C70" s="329" t="s">
        <v>279</v>
      </c>
      <c r="D70" s="267">
        <f t="shared" si="16"/>
        <v>15.592500000000001</v>
      </c>
    </row>
    <row r="71" spans="1:4" ht="13" x14ac:dyDescent="0.3">
      <c r="A71" s="268" t="str">
        <f>$A$45</f>
        <v>Electricity</v>
      </c>
      <c r="B71" s="329" t="s">
        <v>305</v>
      </c>
      <c r="C71" s="329" t="str">
        <f>$C$31</f>
        <v>tCO2 over lifetime</v>
      </c>
      <c r="D71" s="267">
        <f t="shared" ref="D71:D72" si="17">D69*$D$15</f>
        <v>1300.7431232915367</v>
      </c>
    </row>
    <row r="72" spans="1:4" ht="13" x14ac:dyDescent="0.3">
      <c r="A72" s="268" t="str">
        <f>$A$46</f>
        <v>Natural gas</v>
      </c>
      <c r="B72" s="329" t="s">
        <v>306</v>
      </c>
      <c r="C72" s="329" t="str">
        <f>$C$31</f>
        <v>tCO2 over lifetime</v>
      </c>
      <c r="D72" s="267">
        <f t="shared" si="17"/>
        <v>233.88750000000002</v>
      </c>
    </row>
    <row r="73" spans="1:4" ht="13" x14ac:dyDescent="0.3">
      <c r="A73" s="268" t="s">
        <v>275</v>
      </c>
      <c r="B73" s="329" t="s">
        <v>307</v>
      </c>
      <c r="C73" s="329" t="str">
        <f>$C$31</f>
        <v>tCO2 over lifetime</v>
      </c>
      <c r="D73" s="267">
        <f>+D67*$D$14/1000</f>
        <v>3663.4162499999984</v>
      </c>
    </row>
    <row r="74" spans="1:4" ht="13.5" thickBot="1" x14ac:dyDescent="0.35">
      <c r="A74" s="325" t="s">
        <v>284</v>
      </c>
      <c r="B74" s="332"/>
      <c r="C74" s="332" t="str">
        <f>$C$31</f>
        <v>tCO2 over lifetime</v>
      </c>
      <c r="D74" s="274">
        <f>SUM(D71:D73)</f>
        <v>5198.0468732915351</v>
      </c>
    </row>
    <row r="75" spans="1:4" ht="13" thickBot="1" x14ac:dyDescent="0.3">
      <c r="B75" s="330"/>
      <c r="C75" s="330"/>
    </row>
    <row r="76" spans="1:4" ht="13" x14ac:dyDescent="0.3">
      <c r="A76" s="272" t="s">
        <v>308</v>
      </c>
      <c r="B76" s="331"/>
      <c r="C76" s="331"/>
      <c r="D76" s="273"/>
    </row>
    <row r="77" spans="1:4" x14ac:dyDescent="0.25">
      <c r="A77" s="258" t="s">
        <v>262</v>
      </c>
      <c r="B77" s="329" t="s">
        <v>309</v>
      </c>
      <c r="C77" s="334" t="s">
        <v>279</v>
      </c>
      <c r="D77" s="267">
        <f>+D29-D49</f>
        <v>55.746133855351559</v>
      </c>
    </row>
    <row r="78" spans="1:4" x14ac:dyDescent="0.25">
      <c r="A78" s="258" t="s">
        <v>265</v>
      </c>
      <c r="B78" s="329" t="s">
        <v>310</v>
      </c>
      <c r="C78" s="329" t="s">
        <v>279</v>
      </c>
      <c r="D78" s="267">
        <f>+D30-D50</f>
        <v>-2.5987499999999955</v>
      </c>
    </row>
    <row r="79" spans="1:4" x14ac:dyDescent="0.25">
      <c r="A79" s="258" t="s">
        <v>262</v>
      </c>
      <c r="B79" s="329" t="s">
        <v>311</v>
      </c>
      <c r="C79" s="329" t="str">
        <f>$C$31</f>
        <v>tCO2 over lifetime</v>
      </c>
      <c r="D79" s="267">
        <f t="shared" ref="D79:D80" si="18">D77*$D$15</f>
        <v>836.19200783027338</v>
      </c>
    </row>
    <row r="80" spans="1:4" x14ac:dyDescent="0.25">
      <c r="A80" s="258" t="s">
        <v>265</v>
      </c>
      <c r="B80" s="329" t="s">
        <v>312</v>
      </c>
      <c r="C80" s="329" t="str">
        <f>$C$31</f>
        <v>tCO2 over lifetime</v>
      </c>
      <c r="D80" s="267">
        <f t="shared" si="18"/>
        <v>-38.981249999999932</v>
      </c>
    </row>
    <row r="81" spans="1:4" x14ac:dyDescent="0.25">
      <c r="A81" s="258" t="s">
        <v>275</v>
      </c>
      <c r="B81" s="329" t="s">
        <v>313</v>
      </c>
      <c r="C81" s="329" t="str">
        <f>$C$31</f>
        <v>tCO2 over lifetime</v>
      </c>
      <c r="D81" s="267">
        <f>+D33-D53</f>
        <v>138.80250000000069</v>
      </c>
    </row>
    <row r="82" spans="1:4" ht="13.5" thickBot="1" x14ac:dyDescent="0.35">
      <c r="A82" s="275" t="s">
        <v>284</v>
      </c>
      <c r="B82" s="332" t="s">
        <v>314</v>
      </c>
      <c r="C82" s="332" t="str">
        <f>$C$31</f>
        <v>tCO2 over lifetime</v>
      </c>
      <c r="D82" s="274">
        <f>SUM(D79:D81)</f>
        <v>936.01325783027414</v>
      </c>
    </row>
    <row r="83" spans="1:4" ht="13" thickBot="1" x14ac:dyDescent="0.3">
      <c r="B83" s="330"/>
      <c r="C83" s="330"/>
    </row>
    <row r="84" spans="1:4" ht="13" x14ac:dyDescent="0.3">
      <c r="A84" s="272" t="s">
        <v>315</v>
      </c>
      <c r="B84" s="331"/>
      <c r="C84" s="331"/>
      <c r="D84" s="273"/>
    </row>
    <row r="85" spans="1:4" x14ac:dyDescent="0.25">
      <c r="A85" s="258" t="s">
        <v>262</v>
      </c>
      <c r="B85" s="329" t="s">
        <v>316</v>
      </c>
      <c r="C85" s="329" t="s">
        <v>279</v>
      </c>
      <c r="D85" s="267">
        <f t="shared" ref="D85:D86" si="19">+D29-D69</f>
        <v>74.328178473802083</v>
      </c>
    </row>
    <row r="86" spans="1:4" x14ac:dyDescent="0.25">
      <c r="A86" s="258" t="s">
        <v>265</v>
      </c>
      <c r="B86" s="329" t="s">
        <v>317</v>
      </c>
      <c r="C86" s="329" t="str">
        <f>$C$31</f>
        <v>tCO2 over lifetime</v>
      </c>
      <c r="D86" s="267">
        <f t="shared" si="19"/>
        <v>7.7962500000000041</v>
      </c>
    </row>
    <row r="87" spans="1:4" x14ac:dyDescent="0.25">
      <c r="A87" s="258" t="s">
        <v>262</v>
      </c>
      <c r="B87" s="329" t="s">
        <v>318</v>
      </c>
      <c r="C87" s="329" t="str">
        <f>$C$31</f>
        <v>tCO2 over lifetime</v>
      </c>
      <c r="D87" s="267">
        <f t="shared" ref="D87:D88" si="20">D85*$D$15</f>
        <v>1114.9226771070312</v>
      </c>
    </row>
    <row r="88" spans="1:4" x14ac:dyDescent="0.25">
      <c r="A88" s="258" t="s">
        <v>265</v>
      </c>
      <c r="B88" s="329" t="s">
        <v>319</v>
      </c>
      <c r="C88" s="329" t="str">
        <f>$C$31</f>
        <v>tCO2 over lifetime</v>
      </c>
      <c r="D88" s="267">
        <f t="shared" si="20"/>
        <v>116.94375000000007</v>
      </c>
    </row>
    <row r="89" spans="1:4" x14ac:dyDescent="0.25">
      <c r="A89" s="258" t="s">
        <v>275</v>
      </c>
      <c r="B89" s="329" t="s">
        <v>320</v>
      </c>
      <c r="C89" s="329" t="str">
        <f>$C$31</f>
        <v>tCO2 over lifetime</v>
      </c>
      <c r="D89" s="267">
        <f>+D33-D73</f>
        <v>138.80250000000069</v>
      </c>
    </row>
    <row r="90" spans="1:4" ht="13.5" thickBot="1" x14ac:dyDescent="0.35">
      <c r="A90" s="275" t="s">
        <v>284</v>
      </c>
      <c r="B90" s="332" t="s">
        <v>321</v>
      </c>
      <c r="C90" s="332" t="str">
        <f>$C$31</f>
        <v>tCO2 over lifetime</v>
      </c>
      <c r="D90" s="274">
        <f>SUM(D87:D89)</f>
        <v>1370.668927107032</v>
      </c>
    </row>
    <row r="91" spans="1:4" ht="13" thickBot="1" x14ac:dyDescent="0.3">
      <c r="B91" s="330"/>
      <c r="C91" s="330"/>
    </row>
    <row r="92" spans="1:4" ht="13" x14ac:dyDescent="0.3">
      <c r="A92" s="272" t="s">
        <v>322</v>
      </c>
      <c r="B92" s="331"/>
      <c r="C92" s="331"/>
      <c r="D92" s="273"/>
    </row>
    <row r="93" spans="1:4" x14ac:dyDescent="0.25">
      <c r="A93" s="258" t="s">
        <v>262</v>
      </c>
      <c r="B93" s="329" t="s">
        <v>323</v>
      </c>
      <c r="C93" s="329" t="s">
        <v>279</v>
      </c>
      <c r="D93" s="267">
        <f t="shared" ref="D93:D94" si="21">+AVERAGE(D85,D77)</f>
        <v>65.037156164576828</v>
      </c>
    </row>
    <row r="94" spans="1:4" x14ac:dyDescent="0.25">
      <c r="A94" s="258" t="s">
        <v>265</v>
      </c>
      <c r="B94" s="329" t="s">
        <v>323</v>
      </c>
      <c r="C94" s="329" t="str">
        <f>$C$31</f>
        <v>tCO2 over lifetime</v>
      </c>
      <c r="D94" s="267">
        <f t="shared" si="21"/>
        <v>2.5987500000000043</v>
      </c>
    </row>
    <row r="95" spans="1:4" x14ac:dyDescent="0.25">
      <c r="A95" s="258" t="s">
        <v>262</v>
      </c>
      <c r="B95" s="329" t="s">
        <v>323</v>
      </c>
      <c r="C95" s="329" t="str">
        <f>$C$31</f>
        <v>tCO2 over lifetime</v>
      </c>
      <c r="D95" s="267">
        <f t="shared" ref="D95:D96" si="22">D93*$D$15</f>
        <v>975.55734246865245</v>
      </c>
    </row>
    <row r="96" spans="1:4" x14ac:dyDescent="0.25">
      <c r="A96" s="258" t="s">
        <v>265</v>
      </c>
      <c r="B96" s="329" t="s">
        <v>323</v>
      </c>
      <c r="C96" s="329" t="str">
        <f>$C$31</f>
        <v>tCO2 over lifetime</v>
      </c>
      <c r="D96" s="267">
        <f t="shared" si="22"/>
        <v>38.981250000000067</v>
      </c>
    </row>
    <row r="97" spans="1:4" x14ac:dyDescent="0.25">
      <c r="A97" s="258" t="s">
        <v>275</v>
      </c>
      <c r="B97" s="329" t="s">
        <v>323</v>
      </c>
      <c r="C97" s="329" t="str">
        <f>$C$31</f>
        <v>tCO2 over lifetime</v>
      </c>
      <c r="D97" s="267">
        <f>+AVERAGE(D89,D81)</f>
        <v>138.80250000000069</v>
      </c>
    </row>
    <row r="98" spans="1:4" ht="13.5" thickBot="1" x14ac:dyDescent="0.35">
      <c r="A98" s="275" t="s">
        <v>284</v>
      </c>
      <c r="B98" s="332" t="s">
        <v>324</v>
      </c>
      <c r="C98" s="332" t="str">
        <f>$C$31</f>
        <v>tCO2 over lifetime</v>
      </c>
      <c r="D98" s="274">
        <f>SUM(D95:D97)</f>
        <v>1153.3410924686532</v>
      </c>
    </row>
    <row r="100" spans="1:4" x14ac:dyDescent="0.25">
      <c r="A100" s="254" t="s">
        <v>709</v>
      </c>
      <c r="D100" s="375">
        <f>D97/D98</f>
        <v>0.1203481787880312</v>
      </c>
    </row>
    <row r="102" spans="1:4" ht="13" x14ac:dyDescent="0.3">
      <c r="A102" s="398" t="s">
        <v>730</v>
      </c>
    </row>
    <row r="103" spans="1:4" ht="13" thickBot="1" x14ac:dyDescent="0.3"/>
    <row r="104" spans="1:4" ht="13" x14ac:dyDescent="0.3">
      <c r="A104" s="393" t="s">
        <v>728</v>
      </c>
      <c r="B104" s="394" t="str">
        <f>C19</f>
        <v>kWh/m2/yr</v>
      </c>
    </row>
    <row r="105" spans="1:4" ht="13" x14ac:dyDescent="0.3">
      <c r="A105" s="395" t="s">
        <v>172</v>
      </c>
      <c r="B105" s="265"/>
    </row>
    <row r="106" spans="1:4" x14ac:dyDescent="0.25">
      <c r="A106" s="260" t="s">
        <v>726</v>
      </c>
      <c r="B106" s="265">
        <f>D19</f>
        <v>26</v>
      </c>
    </row>
    <row r="107" spans="1:4" x14ac:dyDescent="0.25">
      <c r="A107" s="260" t="s">
        <v>727</v>
      </c>
      <c r="B107" s="265">
        <f>D20</f>
        <v>9</v>
      </c>
    </row>
    <row r="108" spans="1:4" ht="13" x14ac:dyDescent="0.3">
      <c r="A108" s="396" t="s">
        <v>249</v>
      </c>
      <c r="B108" s="265"/>
    </row>
    <row r="109" spans="1:4" x14ac:dyDescent="0.25">
      <c r="A109" s="260" t="s">
        <v>726</v>
      </c>
      <c r="B109" s="265">
        <f>D39</f>
        <v>17</v>
      </c>
    </row>
    <row r="110" spans="1:4" x14ac:dyDescent="0.25">
      <c r="A110" s="260" t="s">
        <v>727</v>
      </c>
      <c r="B110" s="265">
        <f>D40</f>
        <v>10</v>
      </c>
    </row>
    <row r="111" spans="1:4" ht="13" x14ac:dyDescent="0.3">
      <c r="A111" s="396" t="s">
        <v>250</v>
      </c>
      <c r="B111" s="265"/>
    </row>
    <row r="112" spans="1:4" x14ac:dyDescent="0.25">
      <c r="A112" s="260" t="s">
        <v>726</v>
      </c>
      <c r="B112" s="265">
        <f>D59</f>
        <v>14</v>
      </c>
    </row>
    <row r="113" spans="1:2" x14ac:dyDescent="0.25">
      <c r="A113" s="260" t="s">
        <v>727</v>
      </c>
      <c r="B113" s="265">
        <f>D60</f>
        <v>6</v>
      </c>
    </row>
    <row r="114" spans="1:2" ht="13" x14ac:dyDescent="0.3">
      <c r="A114" s="396" t="s">
        <v>731</v>
      </c>
      <c r="B114" s="265"/>
    </row>
    <row r="115" spans="1:2" x14ac:dyDescent="0.25">
      <c r="A115" s="260" t="s">
        <v>726</v>
      </c>
      <c r="B115" s="265">
        <f>AVERAGE(B109,B112)</f>
        <v>15.5</v>
      </c>
    </row>
    <row r="116" spans="1:2" ht="13" thickBot="1" x14ac:dyDescent="0.3">
      <c r="A116" s="261" t="s">
        <v>727</v>
      </c>
      <c r="B116" s="397">
        <f>AVERAGE(B110,B113)</f>
        <v>8</v>
      </c>
    </row>
    <row r="117" spans="1:2" ht="13" thickBot="1" x14ac:dyDescent="0.3"/>
    <row r="118" spans="1:2" ht="13" x14ac:dyDescent="0.3">
      <c r="A118" s="393" t="s">
        <v>729</v>
      </c>
      <c r="B118" s="394" t="s">
        <v>725</v>
      </c>
    </row>
    <row r="119" spans="1:2" ht="13" x14ac:dyDescent="0.3">
      <c r="A119" s="395" t="s">
        <v>172</v>
      </c>
      <c r="B119" s="265"/>
    </row>
    <row r="120" spans="1:2" x14ac:dyDescent="0.25">
      <c r="A120" s="260" t="s">
        <v>726</v>
      </c>
      <c r="B120" s="259">
        <f>B106*D14/1000</f>
        <v>292.5</v>
      </c>
    </row>
    <row r="121" spans="1:2" x14ac:dyDescent="0.25">
      <c r="A121" s="260" t="s">
        <v>727</v>
      </c>
      <c r="B121" s="259">
        <f>B107*D14/1000</f>
        <v>101.25</v>
      </c>
    </row>
    <row r="122" spans="1:2" ht="13" x14ac:dyDescent="0.3">
      <c r="A122" s="396" t="s">
        <v>731</v>
      </c>
      <c r="B122" s="265"/>
    </row>
    <row r="123" spans="1:2" x14ac:dyDescent="0.25">
      <c r="A123" s="260" t="s">
        <v>726</v>
      </c>
      <c r="B123" s="259">
        <f>B115*D14/1000</f>
        <v>174.375</v>
      </c>
    </row>
    <row r="124" spans="1:2" ht="13" thickBot="1" x14ac:dyDescent="0.3">
      <c r="A124" s="261" t="s">
        <v>727</v>
      </c>
      <c r="B124" s="262">
        <f>B116*D14/1000</f>
        <v>90</v>
      </c>
    </row>
    <row r="125" spans="1:2" ht="13" thickBot="1" x14ac:dyDescent="0.3">
      <c r="B125" s="392"/>
    </row>
    <row r="126" spans="1:2" ht="13" x14ac:dyDescent="0.3">
      <c r="A126" s="393" t="s">
        <v>732</v>
      </c>
      <c r="B126" s="394" t="s">
        <v>725</v>
      </c>
    </row>
    <row r="127" spans="1:2" ht="13" x14ac:dyDescent="0.3">
      <c r="A127" s="396" t="s">
        <v>731</v>
      </c>
      <c r="B127" s="399"/>
    </row>
    <row r="128" spans="1:2" x14ac:dyDescent="0.25">
      <c r="A128" s="260" t="s">
        <v>726</v>
      </c>
      <c r="B128" s="259">
        <f>B120-B123</f>
        <v>118.125</v>
      </c>
    </row>
    <row r="129" spans="1:2" ht="13" thickBot="1" x14ac:dyDescent="0.3">
      <c r="A129" s="261" t="s">
        <v>727</v>
      </c>
      <c r="B129" s="262">
        <f>B121-B124</f>
        <v>11.25</v>
      </c>
    </row>
  </sheetData>
  <pageMargins left="0.7" right="0.7" top="0.75" bottom="0.75"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9"/>
  <sheetViews>
    <sheetView topLeftCell="A97" workbookViewId="0">
      <selection activeCell="A102" sqref="A102:B129"/>
    </sheetView>
  </sheetViews>
  <sheetFormatPr baseColWidth="10" defaultColWidth="12.58203125" defaultRowHeight="12.5" x14ac:dyDescent="0.25"/>
  <cols>
    <col min="1" max="1" width="43.58203125" style="254" customWidth="1"/>
    <col min="2" max="2" width="22.58203125" style="254" customWidth="1"/>
    <col min="3" max="3" width="17" style="327" customWidth="1"/>
    <col min="4" max="4" width="16" style="254" customWidth="1"/>
    <col min="5" max="26" width="9.33203125" style="254" customWidth="1"/>
    <col min="27" max="16384" width="12.58203125" style="254"/>
  </cols>
  <sheetData>
    <row r="1" spans="1:4" ht="13" x14ac:dyDescent="0.3">
      <c r="A1" s="253" t="s">
        <v>609</v>
      </c>
    </row>
    <row r="3" spans="1:4" ht="13.5" thickBot="1" x14ac:dyDescent="0.35">
      <c r="A3" s="253" t="s">
        <v>601</v>
      </c>
      <c r="B3" s="255"/>
    </row>
    <row r="4" spans="1:4" x14ac:dyDescent="0.25">
      <c r="A4" s="256" t="s">
        <v>603</v>
      </c>
      <c r="B4" s="257">
        <f>D34</f>
        <v>72649.958405157144</v>
      </c>
    </row>
    <row r="5" spans="1:4" x14ac:dyDescent="0.25">
      <c r="A5" s="258" t="s">
        <v>604</v>
      </c>
      <c r="B5" s="259">
        <f>D54</f>
        <v>54020.898811328763</v>
      </c>
    </row>
    <row r="6" spans="1:4" x14ac:dyDescent="0.25">
      <c r="A6" s="260" t="s">
        <v>605</v>
      </c>
      <c r="B6" s="259">
        <f>D73</f>
        <v>22804.215000000007</v>
      </c>
    </row>
    <row r="7" spans="1:4" x14ac:dyDescent="0.25">
      <c r="A7" s="260" t="s">
        <v>308</v>
      </c>
      <c r="B7" s="259">
        <f>D82</f>
        <v>18629.05959382838</v>
      </c>
    </row>
    <row r="8" spans="1:4" x14ac:dyDescent="0.25">
      <c r="A8" s="260" t="s">
        <v>315</v>
      </c>
      <c r="B8" s="259">
        <f>D90</f>
        <v>22007.43459382838</v>
      </c>
    </row>
    <row r="9" spans="1:4" ht="13" thickBot="1" x14ac:dyDescent="0.3">
      <c r="A9" s="261" t="s">
        <v>322</v>
      </c>
      <c r="B9" s="262">
        <f>D98</f>
        <v>20318.24709382838</v>
      </c>
    </row>
    <row r="10" spans="1:4" ht="13" thickBot="1" x14ac:dyDescent="0.3"/>
    <row r="11" spans="1:4" ht="13" x14ac:dyDescent="0.3">
      <c r="A11" s="328" t="s">
        <v>610</v>
      </c>
      <c r="B11" s="326" t="s">
        <v>253</v>
      </c>
      <c r="C11" s="326" t="s">
        <v>254</v>
      </c>
      <c r="D11" s="263" t="s">
        <v>255</v>
      </c>
    </row>
    <row r="12" spans="1:4" ht="13" x14ac:dyDescent="0.3">
      <c r="A12" s="264" t="s">
        <v>49</v>
      </c>
      <c r="B12" s="329"/>
      <c r="C12" s="329"/>
      <c r="D12" s="265"/>
    </row>
    <row r="13" spans="1:4" x14ac:dyDescent="0.25">
      <c r="A13" s="258" t="s">
        <v>256</v>
      </c>
      <c r="B13" s="329"/>
      <c r="C13" s="329"/>
      <c r="D13" s="266" t="str">
        <f>+'Input_Area and Costs'!A4</f>
        <v>Residential</v>
      </c>
    </row>
    <row r="14" spans="1:4" x14ac:dyDescent="0.25">
      <c r="A14" s="258" t="s">
        <v>247</v>
      </c>
      <c r="B14" s="329" t="s">
        <v>257</v>
      </c>
      <c r="C14" s="329" t="s">
        <v>251</v>
      </c>
      <c r="D14" s="267">
        <f>+'Input_Area and Costs'!D4</f>
        <v>75000</v>
      </c>
    </row>
    <row r="15" spans="1:4" x14ac:dyDescent="0.25">
      <c r="A15" s="258" t="s">
        <v>258</v>
      </c>
      <c r="B15" s="329" t="s">
        <v>259</v>
      </c>
      <c r="C15" s="329" t="s">
        <v>260</v>
      </c>
      <c r="D15" s="267">
        <f>'General Inputs&amp;Outputs'!$C$12</f>
        <v>15</v>
      </c>
    </row>
    <row r="16" spans="1:4" x14ac:dyDescent="0.25">
      <c r="A16" s="254" t="s">
        <v>172</v>
      </c>
      <c r="B16" s="329"/>
      <c r="C16" s="329"/>
      <c r="D16" s="265"/>
    </row>
    <row r="17" spans="1:4" ht="13" x14ac:dyDescent="0.3">
      <c r="A17" s="264" t="s">
        <v>285</v>
      </c>
      <c r="B17" s="329"/>
      <c r="C17" s="329"/>
      <c r="D17" s="265"/>
    </row>
    <row r="18" spans="1:4" ht="13" x14ac:dyDescent="0.3">
      <c r="A18" s="264" t="s">
        <v>261</v>
      </c>
      <c r="B18" s="329"/>
      <c r="C18" s="333"/>
      <c r="D18" s="265"/>
    </row>
    <row r="19" spans="1:4" ht="13" x14ac:dyDescent="0.3">
      <c r="A19" s="268" t="s">
        <v>262</v>
      </c>
      <c r="B19" s="329" t="s">
        <v>263</v>
      </c>
      <c r="C19" s="329" t="s">
        <v>264</v>
      </c>
      <c r="D19" s="266">
        <f>+'Energy use'!B257-D20</f>
        <v>78</v>
      </c>
    </row>
    <row r="20" spans="1:4" ht="13" x14ac:dyDescent="0.3">
      <c r="A20" s="268" t="s">
        <v>265</v>
      </c>
      <c r="B20" s="329" t="s">
        <v>266</v>
      </c>
      <c r="C20" s="329" t="s">
        <v>264</v>
      </c>
      <c r="D20" s="266">
        <f>+'Energy use'!B263</f>
        <v>33</v>
      </c>
    </row>
    <row r="21" spans="1:4" ht="13" x14ac:dyDescent="0.3">
      <c r="A21" s="264" t="s">
        <v>267</v>
      </c>
      <c r="B21" s="329"/>
      <c r="C21" s="333"/>
      <c r="D21" s="265"/>
    </row>
    <row r="22" spans="1:4" ht="13" x14ac:dyDescent="0.3">
      <c r="A22" s="268" t="str">
        <f t="shared" ref="A22:A23" si="0">A19</f>
        <v>Electricity</v>
      </c>
      <c r="B22" s="329" t="s">
        <v>268</v>
      </c>
      <c r="C22" s="329" t="s">
        <v>269</v>
      </c>
      <c r="D22" s="269">
        <f>+'Input_Energy Context'!D12</f>
        <v>0.39531206159723237</v>
      </c>
    </row>
    <row r="23" spans="1:4" ht="13" x14ac:dyDescent="0.3">
      <c r="A23" s="268" t="str">
        <f t="shared" si="0"/>
        <v>Natural gas</v>
      </c>
      <c r="B23" s="329" t="s">
        <v>270</v>
      </c>
      <c r="C23" s="329" t="s">
        <v>269</v>
      </c>
      <c r="D23" s="266">
        <f>+'Input_Energy Context'!B13</f>
        <v>0.23100000000000001</v>
      </c>
    </row>
    <row r="24" spans="1:4" ht="13" x14ac:dyDescent="0.3">
      <c r="A24" s="264" t="s">
        <v>271</v>
      </c>
      <c r="B24" s="329"/>
      <c r="C24" s="333"/>
      <c r="D24" s="265"/>
    </row>
    <row r="25" spans="1:4" ht="13" x14ac:dyDescent="0.3">
      <c r="A25" s="268" t="str">
        <f t="shared" ref="A25:A26" si="1">A22</f>
        <v>Electricity</v>
      </c>
      <c r="B25" s="329" t="s">
        <v>272</v>
      </c>
      <c r="C25" s="329" t="s">
        <v>273</v>
      </c>
      <c r="D25" s="270">
        <f t="shared" ref="D25:D26" si="2">+D19*D22</f>
        <v>30.834340804584123</v>
      </c>
    </row>
    <row r="26" spans="1:4" ht="13" x14ac:dyDescent="0.3">
      <c r="A26" s="268" t="str">
        <f t="shared" si="1"/>
        <v>Natural gas</v>
      </c>
      <c r="B26" s="329" t="s">
        <v>274</v>
      </c>
      <c r="C26" s="329" t="s">
        <v>273</v>
      </c>
      <c r="D26" s="270">
        <f t="shared" si="2"/>
        <v>7.6230000000000002</v>
      </c>
    </row>
    <row r="27" spans="1:4" ht="13" x14ac:dyDescent="0.3">
      <c r="A27" s="268" t="s">
        <v>275</v>
      </c>
      <c r="B27" s="329" t="s">
        <v>276</v>
      </c>
      <c r="C27" s="329" t="s">
        <v>273</v>
      </c>
      <c r="D27" s="270">
        <f>'Input_LC Materials'!D21/'Input_LC Materials'!E5</f>
        <v>391.80600000000004</v>
      </c>
    </row>
    <row r="28" spans="1:4" ht="13" x14ac:dyDescent="0.3">
      <c r="A28" s="264" t="s">
        <v>277</v>
      </c>
      <c r="B28" s="329"/>
      <c r="C28" s="333"/>
      <c r="D28" s="265"/>
    </row>
    <row r="29" spans="1:4" ht="13" x14ac:dyDescent="0.3">
      <c r="A29" s="268" t="str">
        <f t="shared" ref="A29:A30" si="3">A25</f>
        <v>Electricity</v>
      </c>
      <c r="B29" s="329" t="s">
        <v>278</v>
      </c>
      <c r="C29" s="329" t="s">
        <v>279</v>
      </c>
      <c r="D29" s="267">
        <f>+D25*D14/1000</f>
        <v>2312.5755603438092</v>
      </c>
    </row>
    <row r="30" spans="1:4" ht="13" x14ac:dyDescent="0.3">
      <c r="A30" s="268" t="str">
        <f t="shared" si="3"/>
        <v>Natural gas</v>
      </c>
      <c r="B30" s="329" t="s">
        <v>280</v>
      </c>
      <c r="C30" s="329" t="s">
        <v>279</v>
      </c>
      <c r="D30" s="267">
        <f>+D26*D14/1000</f>
        <v>571.72500000000002</v>
      </c>
    </row>
    <row r="31" spans="1:4" ht="13" x14ac:dyDescent="0.3">
      <c r="A31" s="268" t="str">
        <f>$A$25</f>
        <v>Electricity</v>
      </c>
      <c r="B31" s="329" t="s">
        <v>281</v>
      </c>
      <c r="C31" s="329" t="s">
        <v>577</v>
      </c>
      <c r="D31" s="267">
        <f t="shared" ref="D31:D32" si="4">D29*$D$15</f>
        <v>34688.633405157139</v>
      </c>
    </row>
    <row r="32" spans="1:4" ht="13" x14ac:dyDescent="0.3">
      <c r="A32" s="268" t="str">
        <f>$A$26</f>
        <v>Natural gas</v>
      </c>
      <c r="B32" s="329" t="s">
        <v>282</v>
      </c>
      <c r="C32" s="329" t="s">
        <v>577</v>
      </c>
      <c r="D32" s="267">
        <f t="shared" si="4"/>
        <v>8575.875</v>
      </c>
    </row>
    <row r="33" spans="1:4" ht="13" x14ac:dyDescent="0.3">
      <c r="A33" s="268" t="s">
        <v>275</v>
      </c>
      <c r="B33" s="329" t="s">
        <v>283</v>
      </c>
      <c r="C33" s="329" t="s">
        <v>577</v>
      </c>
      <c r="D33" s="267">
        <f>+D27*D14/1000</f>
        <v>29385.450000000004</v>
      </c>
    </row>
    <row r="34" spans="1:4" ht="13.5" thickBot="1" x14ac:dyDescent="0.35">
      <c r="A34" s="325" t="s">
        <v>284</v>
      </c>
      <c r="B34" s="332"/>
      <c r="C34" s="332" t="s">
        <v>577</v>
      </c>
      <c r="D34" s="274">
        <f>SUM(D31:D33)</f>
        <v>72649.958405157144</v>
      </c>
    </row>
    <row r="35" spans="1:4" ht="13" thickBot="1" x14ac:dyDescent="0.3">
      <c r="B35" s="330"/>
      <c r="C35" s="330"/>
    </row>
    <row r="36" spans="1:4" ht="13" x14ac:dyDescent="0.3">
      <c r="A36" s="328" t="s">
        <v>604</v>
      </c>
      <c r="B36" s="326"/>
      <c r="C36" s="326"/>
      <c r="D36" s="263"/>
    </row>
    <row r="37" spans="1:4" ht="13" x14ac:dyDescent="0.3">
      <c r="A37" s="264" t="s">
        <v>285</v>
      </c>
      <c r="B37" s="329"/>
      <c r="C37" s="329"/>
      <c r="D37" s="265"/>
    </row>
    <row r="38" spans="1:4" ht="13" x14ac:dyDescent="0.3">
      <c r="A38" s="264" t="s">
        <v>261</v>
      </c>
      <c r="B38" s="329"/>
      <c r="C38" s="333"/>
      <c r="D38" s="265"/>
    </row>
    <row r="39" spans="1:4" ht="13" x14ac:dyDescent="0.3">
      <c r="A39" s="268" t="s">
        <v>262</v>
      </c>
      <c r="B39" s="329" t="s">
        <v>286</v>
      </c>
      <c r="C39" s="329" t="s">
        <v>264</v>
      </c>
      <c r="D39" s="266">
        <f>+'Energy use'!C257-D40</f>
        <v>55</v>
      </c>
    </row>
    <row r="40" spans="1:4" ht="13" x14ac:dyDescent="0.3">
      <c r="A40" s="268" t="s">
        <v>265</v>
      </c>
      <c r="B40" s="329" t="s">
        <v>287</v>
      </c>
      <c r="C40" s="329" t="s">
        <v>264</v>
      </c>
      <c r="D40" s="266">
        <f>+'Energy use'!C263</f>
        <v>26</v>
      </c>
    </row>
    <row r="41" spans="1:4" ht="13" x14ac:dyDescent="0.3">
      <c r="A41" s="264" t="s">
        <v>267</v>
      </c>
      <c r="B41" s="329"/>
      <c r="C41" s="329"/>
      <c r="D41" s="265"/>
    </row>
    <row r="42" spans="1:4" ht="13" x14ac:dyDescent="0.3">
      <c r="A42" s="268" t="str">
        <f t="shared" ref="A42:A43" si="5">A39</f>
        <v>Electricity</v>
      </c>
      <c r="B42" s="329" t="s">
        <v>268</v>
      </c>
      <c r="C42" s="329" t="s">
        <v>269</v>
      </c>
      <c r="D42" s="269">
        <f t="shared" ref="D42:D43" si="6">+D22</f>
        <v>0.39531206159723237</v>
      </c>
    </row>
    <row r="43" spans="1:4" ht="13" x14ac:dyDescent="0.3">
      <c r="A43" s="268" t="str">
        <f t="shared" si="5"/>
        <v>Natural gas</v>
      </c>
      <c r="B43" s="329" t="s">
        <v>270</v>
      </c>
      <c r="C43" s="329" t="s">
        <v>269</v>
      </c>
      <c r="D43" s="266">
        <f t="shared" si="6"/>
        <v>0.23100000000000001</v>
      </c>
    </row>
    <row r="44" spans="1:4" ht="13" x14ac:dyDescent="0.3">
      <c r="A44" s="264" t="s">
        <v>271</v>
      </c>
      <c r="B44" s="329"/>
      <c r="C44" s="329"/>
      <c r="D44" s="265"/>
    </row>
    <row r="45" spans="1:4" ht="13" x14ac:dyDescent="0.3">
      <c r="A45" s="268" t="str">
        <f t="shared" ref="A45:A46" si="7">A42</f>
        <v>Electricity</v>
      </c>
      <c r="B45" s="329" t="s">
        <v>288</v>
      </c>
      <c r="C45" s="329" t="s">
        <v>273</v>
      </c>
      <c r="D45" s="267">
        <f t="shared" ref="D45:D46" si="8">+D39*D42</f>
        <v>21.742163387847778</v>
      </c>
    </row>
    <row r="46" spans="1:4" ht="13" x14ac:dyDescent="0.3">
      <c r="A46" s="268" t="str">
        <f t="shared" si="7"/>
        <v>Natural gas</v>
      </c>
      <c r="B46" s="329" t="s">
        <v>289</v>
      </c>
      <c r="C46" s="329" t="s">
        <v>273</v>
      </c>
      <c r="D46" s="270">
        <f t="shared" si="8"/>
        <v>6.0060000000000002</v>
      </c>
    </row>
    <row r="47" spans="1:4" ht="13" x14ac:dyDescent="0.3">
      <c r="A47" s="268" t="s">
        <v>275</v>
      </c>
      <c r="B47" s="329" t="s">
        <v>290</v>
      </c>
      <c r="C47" s="329" t="s">
        <v>273</v>
      </c>
      <c r="D47" s="270">
        <f>D27-'Input_LC Materials'!D21</f>
        <v>304.0562000000001</v>
      </c>
    </row>
    <row r="48" spans="1:4" ht="13" x14ac:dyDescent="0.3">
      <c r="A48" s="264" t="s">
        <v>277</v>
      </c>
      <c r="B48" s="329"/>
      <c r="C48" s="329"/>
      <c r="D48" s="265"/>
    </row>
    <row r="49" spans="1:5" ht="13" x14ac:dyDescent="0.3">
      <c r="A49" s="268" t="str">
        <f t="shared" ref="A49:A50" si="9">A45</f>
        <v>Electricity</v>
      </c>
      <c r="B49" s="329" t="s">
        <v>291</v>
      </c>
      <c r="C49" s="329" t="s">
        <v>279</v>
      </c>
      <c r="D49" s="267">
        <f>+D45*D14/1000</f>
        <v>1630.6622540885835</v>
      </c>
    </row>
    <row r="50" spans="1:5" ht="13" x14ac:dyDescent="0.3">
      <c r="A50" s="268" t="str">
        <f t="shared" si="9"/>
        <v>Natural gas</v>
      </c>
      <c r="B50" s="329" t="s">
        <v>292</v>
      </c>
      <c r="C50" s="329" t="s">
        <v>279</v>
      </c>
      <c r="D50" s="267">
        <f>+D46*D14/1000</f>
        <v>450.45</v>
      </c>
    </row>
    <row r="51" spans="1:5" ht="13" x14ac:dyDescent="0.3">
      <c r="A51" s="268" t="str">
        <f>$A$45</f>
        <v>Electricity</v>
      </c>
      <c r="B51" s="329" t="s">
        <v>293</v>
      </c>
      <c r="C51" s="329" t="str">
        <f>$C$31</f>
        <v>tCO2 over lifetime</v>
      </c>
      <c r="D51" s="267">
        <f t="shared" ref="D51:D52" si="10">D49*$D$15</f>
        <v>24459.933811328752</v>
      </c>
    </row>
    <row r="52" spans="1:5" ht="13" x14ac:dyDescent="0.3">
      <c r="A52" s="268" t="str">
        <f>$A$46</f>
        <v>Natural gas</v>
      </c>
      <c r="B52" s="329" t="s">
        <v>294</v>
      </c>
      <c r="C52" s="329" t="str">
        <f>$C$31</f>
        <v>tCO2 over lifetime</v>
      </c>
      <c r="D52" s="267">
        <f t="shared" si="10"/>
        <v>6756.75</v>
      </c>
    </row>
    <row r="53" spans="1:5" ht="13" x14ac:dyDescent="0.3">
      <c r="A53" s="268" t="s">
        <v>275</v>
      </c>
      <c r="B53" s="329" t="s">
        <v>295</v>
      </c>
      <c r="C53" s="329" t="str">
        <f>$C$31</f>
        <v>tCO2 over lifetime</v>
      </c>
      <c r="D53" s="267">
        <f>+D47*D14/1000</f>
        <v>22804.215000000007</v>
      </c>
    </row>
    <row r="54" spans="1:5" ht="13.5" thickBot="1" x14ac:dyDescent="0.35">
      <c r="A54" s="325" t="s">
        <v>284</v>
      </c>
      <c r="B54" s="332"/>
      <c r="C54" s="332" t="str">
        <f>$C$31</f>
        <v>tCO2 over lifetime</v>
      </c>
      <c r="D54" s="274">
        <f>SUM(D51:D53)</f>
        <v>54020.898811328763</v>
      </c>
      <c r="E54" s="255"/>
    </row>
    <row r="55" spans="1:5" ht="13" thickBot="1" x14ac:dyDescent="0.3">
      <c r="A55" s="255"/>
      <c r="B55" s="330"/>
      <c r="C55" s="330"/>
      <c r="D55" s="255"/>
      <c r="E55" s="255"/>
    </row>
    <row r="56" spans="1:5" ht="13" x14ac:dyDescent="0.3">
      <c r="A56" s="328" t="s">
        <v>605</v>
      </c>
      <c r="B56" s="326"/>
      <c r="C56" s="326"/>
      <c r="D56" s="263"/>
      <c r="E56" s="255"/>
    </row>
    <row r="57" spans="1:5" ht="13" x14ac:dyDescent="0.3">
      <c r="A57" s="264" t="s">
        <v>285</v>
      </c>
      <c r="B57" s="329"/>
      <c r="C57" s="329"/>
      <c r="D57" s="265"/>
      <c r="E57" s="255"/>
    </row>
    <row r="58" spans="1:5" ht="13" x14ac:dyDescent="0.3">
      <c r="A58" s="264" t="s">
        <v>261</v>
      </c>
      <c r="B58" s="329"/>
      <c r="C58" s="329"/>
      <c r="D58" s="265"/>
    </row>
    <row r="59" spans="1:5" ht="13" x14ac:dyDescent="0.3">
      <c r="A59" s="268" t="s">
        <v>262</v>
      </c>
      <c r="B59" s="329" t="s">
        <v>296</v>
      </c>
      <c r="C59" s="329" t="s">
        <v>264</v>
      </c>
      <c r="D59" s="266">
        <f>+'Energy use'!D257-D60</f>
        <v>55</v>
      </c>
    </row>
    <row r="60" spans="1:5" ht="13" x14ac:dyDescent="0.3">
      <c r="A60" s="268" t="s">
        <v>265</v>
      </c>
      <c r="B60" s="329" t="s">
        <v>297</v>
      </c>
      <c r="C60" s="329" t="s">
        <v>264</v>
      </c>
      <c r="D60" s="266">
        <f>+'Energy use'!D263</f>
        <v>13</v>
      </c>
    </row>
    <row r="61" spans="1:5" ht="13" x14ac:dyDescent="0.3">
      <c r="A61" s="264" t="s">
        <v>267</v>
      </c>
      <c r="B61" s="329"/>
      <c r="C61" s="329"/>
      <c r="D61" s="265"/>
    </row>
    <row r="62" spans="1:5" ht="13" x14ac:dyDescent="0.3">
      <c r="A62" s="268" t="str">
        <f t="shared" ref="A62:A63" si="11">A59</f>
        <v>Electricity</v>
      </c>
      <c r="B62" s="329" t="s">
        <v>268</v>
      </c>
      <c r="C62" s="329" t="s">
        <v>298</v>
      </c>
      <c r="D62" s="269">
        <f t="shared" ref="D62:D63" si="12">+D42</f>
        <v>0.39531206159723237</v>
      </c>
    </row>
    <row r="63" spans="1:5" ht="13" x14ac:dyDescent="0.3">
      <c r="A63" s="268" t="str">
        <f t="shared" si="11"/>
        <v>Natural gas</v>
      </c>
      <c r="B63" s="329" t="s">
        <v>270</v>
      </c>
      <c r="C63" s="329" t="s">
        <v>298</v>
      </c>
      <c r="D63" s="266">
        <f t="shared" si="12"/>
        <v>0.23100000000000001</v>
      </c>
    </row>
    <row r="64" spans="1:5" ht="13" x14ac:dyDescent="0.3">
      <c r="A64" s="264" t="s">
        <v>271</v>
      </c>
      <c r="B64" s="329"/>
      <c r="C64" s="329"/>
      <c r="D64" s="265"/>
    </row>
    <row r="65" spans="1:4" ht="13" x14ac:dyDescent="0.3">
      <c r="A65" s="268" t="str">
        <f t="shared" ref="A65:A66" si="13">A62</f>
        <v>Electricity</v>
      </c>
      <c r="B65" s="329" t="s">
        <v>299</v>
      </c>
      <c r="C65" s="329" t="s">
        <v>264</v>
      </c>
      <c r="D65" s="267">
        <f t="shared" ref="D65:D66" si="14">+D59*D62</f>
        <v>21.742163387847778</v>
      </c>
    </row>
    <row r="66" spans="1:4" ht="13" x14ac:dyDescent="0.3">
      <c r="A66" s="268" t="str">
        <f t="shared" si="13"/>
        <v>Natural gas</v>
      </c>
      <c r="B66" s="329" t="s">
        <v>300</v>
      </c>
      <c r="C66" s="329" t="s">
        <v>264</v>
      </c>
      <c r="D66" s="270">
        <f t="shared" si="14"/>
        <v>3.0030000000000001</v>
      </c>
    </row>
    <row r="67" spans="1:4" ht="13" x14ac:dyDescent="0.3">
      <c r="A67" s="268" t="s">
        <v>275</v>
      </c>
      <c r="B67" s="329" t="s">
        <v>301</v>
      </c>
      <c r="C67" s="329" t="s">
        <v>302</v>
      </c>
      <c r="D67" s="270">
        <f>D47</f>
        <v>304.0562000000001</v>
      </c>
    </row>
    <row r="68" spans="1:4" ht="13" x14ac:dyDescent="0.3">
      <c r="A68" s="264" t="s">
        <v>277</v>
      </c>
      <c r="B68" s="329"/>
      <c r="C68" s="329"/>
      <c r="D68" s="265"/>
    </row>
    <row r="69" spans="1:4" ht="13" x14ac:dyDescent="0.3">
      <c r="A69" s="268" t="str">
        <f t="shared" ref="A69:A70" si="15">A65</f>
        <v>Electricity</v>
      </c>
      <c r="B69" s="329" t="s">
        <v>303</v>
      </c>
      <c r="C69" s="329" t="s">
        <v>279</v>
      </c>
      <c r="D69" s="267">
        <f t="shared" ref="D69:D70" si="16">+D65*$D$14/1000</f>
        <v>1630.6622540885835</v>
      </c>
    </row>
    <row r="70" spans="1:4" ht="13" x14ac:dyDescent="0.3">
      <c r="A70" s="268" t="str">
        <f t="shared" si="15"/>
        <v>Natural gas</v>
      </c>
      <c r="B70" s="329" t="s">
        <v>304</v>
      </c>
      <c r="C70" s="329" t="s">
        <v>279</v>
      </c>
      <c r="D70" s="267">
        <f t="shared" si="16"/>
        <v>225.22499999999999</v>
      </c>
    </row>
    <row r="71" spans="1:4" ht="13" x14ac:dyDescent="0.3">
      <c r="A71" s="268" t="str">
        <f>$A$45</f>
        <v>Electricity</v>
      </c>
      <c r="B71" s="329" t="s">
        <v>305</v>
      </c>
      <c r="C71" s="329" t="str">
        <f>$C$31</f>
        <v>tCO2 over lifetime</v>
      </c>
      <c r="D71" s="267">
        <f t="shared" ref="D71:D72" si="17">D69*$D$15</f>
        <v>24459.933811328752</v>
      </c>
    </row>
    <row r="72" spans="1:4" ht="13" x14ac:dyDescent="0.3">
      <c r="A72" s="268" t="str">
        <f>$A$46</f>
        <v>Natural gas</v>
      </c>
      <c r="B72" s="329" t="s">
        <v>306</v>
      </c>
      <c r="C72" s="329" t="str">
        <f>$C$31</f>
        <v>tCO2 over lifetime</v>
      </c>
      <c r="D72" s="267">
        <f t="shared" si="17"/>
        <v>3378.375</v>
      </c>
    </row>
    <row r="73" spans="1:4" ht="13" x14ac:dyDescent="0.3">
      <c r="A73" s="268" t="s">
        <v>275</v>
      </c>
      <c r="B73" s="329" t="s">
        <v>307</v>
      </c>
      <c r="C73" s="329" t="str">
        <f>$C$31</f>
        <v>tCO2 over lifetime</v>
      </c>
      <c r="D73" s="267">
        <f>+D67*$D$14/1000</f>
        <v>22804.215000000007</v>
      </c>
    </row>
    <row r="74" spans="1:4" ht="13.5" thickBot="1" x14ac:dyDescent="0.35">
      <c r="A74" s="325" t="s">
        <v>284</v>
      </c>
      <c r="B74" s="332"/>
      <c r="C74" s="332" t="str">
        <f>$C$31</f>
        <v>tCO2 over lifetime</v>
      </c>
      <c r="D74" s="274">
        <f>SUM(D71:D73)</f>
        <v>50642.523811328763</v>
      </c>
    </row>
    <row r="75" spans="1:4" ht="13" thickBot="1" x14ac:dyDescent="0.3">
      <c r="B75" s="330"/>
      <c r="C75" s="330"/>
    </row>
    <row r="76" spans="1:4" ht="13" x14ac:dyDescent="0.3">
      <c r="A76" s="272" t="s">
        <v>308</v>
      </c>
      <c r="B76" s="331"/>
      <c r="C76" s="331"/>
      <c r="D76" s="273"/>
    </row>
    <row r="77" spans="1:4" x14ac:dyDescent="0.25">
      <c r="A77" s="258" t="s">
        <v>262</v>
      </c>
      <c r="B77" s="329" t="s">
        <v>309</v>
      </c>
      <c r="C77" s="334" t="s">
        <v>279</v>
      </c>
      <c r="D77" s="267">
        <f t="shared" ref="D77:D78" si="18">+D29-D49</f>
        <v>681.91330625522573</v>
      </c>
    </row>
    <row r="78" spans="1:4" x14ac:dyDescent="0.25">
      <c r="A78" s="258" t="s">
        <v>265</v>
      </c>
      <c r="B78" s="329" t="s">
        <v>310</v>
      </c>
      <c r="C78" s="329" t="s">
        <v>279</v>
      </c>
      <c r="D78" s="267">
        <f t="shared" si="18"/>
        <v>121.27500000000003</v>
      </c>
    </row>
    <row r="79" spans="1:4" x14ac:dyDescent="0.25">
      <c r="A79" s="258" t="s">
        <v>262</v>
      </c>
      <c r="B79" s="329" t="s">
        <v>311</v>
      </c>
      <c r="C79" s="329" t="str">
        <f>$C$31</f>
        <v>tCO2 over lifetime</v>
      </c>
      <c r="D79" s="267">
        <f t="shared" ref="D79:D80" si="19">D77*$D$15</f>
        <v>10228.699593828385</v>
      </c>
    </row>
    <row r="80" spans="1:4" x14ac:dyDescent="0.25">
      <c r="A80" s="258" t="s">
        <v>265</v>
      </c>
      <c r="B80" s="329" t="s">
        <v>312</v>
      </c>
      <c r="C80" s="329" t="str">
        <f>$C$31</f>
        <v>tCO2 over lifetime</v>
      </c>
      <c r="D80" s="267">
        <f t="shared" si="19"/>
        <v>1819.1250000000005</v>
      </c>
    </row>
    <row r="81" spans="1:4" x14ac:dyDescent="0.25">
      <c r="A81" s="258" t="s">
        <v>275</v>
      </c>
      <c r="B81" s="329" t="s">
        <v>313</v>
      </c>
      <c r="C81" s="329" t="str">
        <f>$C$31</f>
        <v>tCO2 over lifetime</v>
      </c>
      <c r="D81" s="267">
        <f>+D33-D53</f>
        <v>6581.2349999999969</v>
      </c>
    </row>
    <row r="82" spans="1:4" ht="13.5" thickBot="1" x14ac:dyDescent="0.35">
      <c r="A82" s="275" t="s">
        <v>284</v>
      </c>
      <c r="B82" s="332" t="s">
        <v>314</v>
      </c>
      <c r="C82" s="332" t="str">
        <f>$C$31</f>
        <v>tCO2 over lifetime</v>
      </c>
      <c r="D82" s="274">
        <f>SUM(D79:D81)</f>
        <v>18629.05959382838</v>
      </c>
    </row>
    <row r="83" spans="1:4" ht="13" thickBot="1" x14ac:dyDescent="0.3">
      <c r="B83" s="330"/>
      <c r="C83" s="330"/>
    </row>
    <row r="84" spans="1:4" ht="13" x14ac:dyDescent="0.3">
      <c r="A84" s="272" t="s">
        <v>315</v>
      </c>
      <c r="B84" s="331"/>
      <c r="C84" s="331"/>
      <c r="D84" s="273"/>
    </row>
    <row r="85" spans="1:4" x14ac:dyDescent="0.25">
      <c r="A85" s="258" t="s">
        <v>262</v>
      </c>
      <c r="B85" s="329" t="s">
        <v>316</v>
      </c>
      <c r="C85" s="329" t="s">
        <v>279</v>
      </c>
      <c r="D85" s="267">
        <f t="shared" ref="D85:D86" si="20">+D29-D69</f>
        <v>681.91330625522573</v>
      </c>
    </row>
    <row r="86" spans="1:4" x14ac:dyDescent="0.25">
      <c r="A86" s="258" t="s">
        <v>265</v>
      </c>
      <c r="B86" s="329" t="s">
        <v>317</v>
      </c>
      <c r="C86" s="329" t="str">
        <f>$C$31</f>
        <v>tCO2 over lifetime</v>
      </c>
      <c r="D86" s="267">
        <f t="shared" si="20"/>
        <v>346.5</v>
      </c>
    </row>
    <row r="87" spans="1:4" x14ac:dyDescent="0.25">
      <c r="A87" s="258" t="s">
        <v>262</v>
      </c>
      <c r="B87" s="329" t="s">
        <v>318</v>
      </c>
      <c r="C87" s="329" t="str">
        <f>$C$31</f>
        <v>tCO2 over lifetime</v>
      </c>
      <c r="D87" s="267">
        <f t="shared" ref="D87:D88" si="21">D85*$D$15</f>
        <v>10228.699593828385</v>
      </c>
    </row>
    <row r="88" spans="1:4" x14ac:dyDescent="0.25">
      <c r="A88" s="258" t="s">
        <v>265</v>
      </c>
      <c r="B88" s="329" t="s">
        <v>319</v>
      </c>
      <c r="C88" s="329" t="str">
        <f>$C$31</f>
        <v>tCO2 over lifetime</v>
      </c>
      <c r="D88" s="267">
        <f t="shared" si="21"/>
        <v>5197.5</v>
      </c>
    </row>
    <row r="89" spans="1:4" x14ac:dyDescent="0.25">
      <c r="A89" s="258" t="s">
        <v>275</v>
      </c>
      <c r="B89" s="329" t="s">
        <v>320</v>
      </c>
      <c r="C89" s="329" t="str">
        <f>$C$31</f>
        <v>tCO2 over lifetime</v>
      </c>
      <c r="D89" s="267">
        <f>+D33-D73</f>
        <v>6581.2349999999969</v>
      </c>
    </row>
    <row r="90" spans="1:4" ht="13.5" thickBot="1" x14ac:dyDescent="0.35">
      <c r="A90" s="275" t="s">
        <v>284</v>
      </c>
      <c r="B90" s="332" t="s">
        <v>321</v>
      </c>
      <c r="C90" s="332" t="str">
        <f>$C$31</f>
        <v>tCO2 over lifetime</v>
      </c>
      <c r="D90" s="274">
        <f>SUM(D87:D89)</f>
        <v>22007.43459382838</v>
      </c>
    </row>
    <row r="91" spans="1:4" ht="13" thickBot="1" x14ac:dyDescent="0.3">
      <c r="B91" s="330"/>
      <c r="C91" s="330"/>
    </row>
    <row r="92" spans="1:4" ht="13" x14ac:dyDescent="0.3">
      <c r="A92" s="272" t="s">
        <v>322</v>
      </c>
      <c r="B92" s="331"/>
      <c r="C92" s="331"/>
      <c r="D92" s="273"/>
    </row>
    <row r="93" spans="1:4" x14ac:dyDescent="0.25">
      <c r="A93" s="258" t="s">
        <v>262</v>
      </c>
      <c r="B93" s="329" t="s">
        <v>323</v>
      </c>
      <c r="C93" s="329" t="s">
        <v>279</v>
      </c>
      <c r="D93" s="267">
        <f>+AVERAGE(D85,D77)</f>
        <v>681.91330625522573</v>
      </c>
    </row>
    <row r="94" spans="1:4" x14ac:dyDescent="0.25">
      <c r="A94" s="258" t="s">
        <v>265</v>
      </c>
      <c r="B94" s="329" t="s">
        <v>323</v>
      </c>
      <c r="C94" s="329" t="str">
        <f>$C$31</f>
        <v>tCO2 over lifetime</v>
      </c>
      <c r="D94" s="267">
        <f>+AVERAGE(D86,D78)</f>
        <v>233.88750000000002</v>
      </c>
    </row>
    <row r="95" spans="1:4" x14ac:dyDescent="0.25">
      <c r="A95" s="258" t="s">
        <v>262</v>
      </c>
      <c r="B95" s="329" t="s">
        <v>323</v>
      </c>
      <c r="C95" s="329" t="str">
        <f>$C$31</f>
        <v>tCO2 over lifetime</v>
      </c>
      <c r="D95" s="267">
        <f t="shared" ref="D95:D96" si="22">D93*$D$15</f>
        <v>10228.699593828385</v>
      </c>
    </row>
    <row r="96" spans="1:4" x14ac:dyDescent="0.25">
      <c r="A96" s="258" t="s">
        <v>265</v>
      </c>
      <c r="B96" s="329" t="s">
        <v>323</v>
      </c>
      <c r="C96" s="329" t="str">
        <f>$C$31</f>
        <v>tCO2 over lifetime</v>
      </c>
      <c r="D96" s="267">
        <f t="shared" si="22"/>
        <v>3508.3125000000005</v>
      </c>
    </row>
    <row r="97" spans="1:4" x14ac:dyDescent="0.25">
      <c r="A97" s="258" t="s">
        <v>275</v>
      </c>
      <c r="B97" s="329" t="s">
        <v>323</v>
      </c>
      <c r="C97" s="329" t="str">
        <f>$C$31</f>
        <v>tCO2 over lifetime</v>
      </c>
      <c r="D97" s="267">
        <f>+AVERAGE(D89,D81)</f>
        <v>6581.2349999999969</v>
      </c>
    </row>
    <row r="98" spans="1:4" ht="13.5" thickBot="1" x14ac:dyDescent="0.35">
      <c r="A98" s="275" t="s">
        <v>284</v>
      </c>
      <c r="B98" s="332" t="s">
        <v>324</v>
      </c>
      <c r="C98" s="332" t="str">
        <f>$C$31</f>
        <v>tCO2 over lifetime</v>
      </c>
      <c r="D98" s="274">
        <f>SUM(D95:D97)</f>
        <v>20318.24709382838</v>
      </c>
    </row>
    <row r="100" spans="1:4" x14ac:dyDescent="0.25">
      <c r="A100" s="254" t="s">
        <v>709</v>
      </c>
      <c r="D100" s="375">
        <f>D97/D98</f>
        <v>0.32390761710930427</v>
      </c>
    </row>
    <row r="102" spans="1:4" ht="13" x14ac:dyDescent="0.3">
      <c r="A102" s="398" t="s">
        <v>730</v>
      </c>
    </row>
    <row r="103" spans="1:4" ht="13" thickBot="1" x14ac:dyDescent="0.3"/>
    <row r="104" spans="1:4" ht="13" x14ac:dyDescent="0.3">
      <c r="A104" s="393" t="s">
        <v>728</v>
      </c>
      <c r="B104" s="394" t="str">
        <f>C19</f>
        <v>kWh/m2/yr</v>
      </c>
    </row>
    <row r="105" spans="1:4" ht="13" x14ac:dyDescent="0.3">
      <c r="A105" s="395" t="s">
        <v>172</v>
      </c>
      <c r="B105" s="265"/>
    </row>
    <row r="106" spans="1:4" x14ac:dyDescent="0.25">
      <c r="A106" s="260" t="s">
        <v>726</v>
      </c>
      <c r="B106" s="265">
        <f>D19</f>
        <v>78</v>
      </c>
    </row>
    <row r="107" spans="1:4" x14ac:dyDescent="0.25">
      <c r="A107" s="260" t="s">
        <v>727</v>
      </c>
      <c r="B107" s="265">
        <f>D20</f>
        <v>33</v>
      </c>
    </row>
    <row r="108" spans="1:4" ht="13" x14ac:dyDescent="0.3">
      <c r="A108" s="396" t="s">
        <v>249</v>
      </c>
      <c r="B108" s="265"/>
    </row>
    <row r="109" spans="1:4" x14ac:dyDescent="0.25">
      <c r="A109" s="260" t="s">
        <v>726</v>
      </c>
      <c r="B109" s="265">
        <f>D39</f>
        <v>55</v>
      </c>
    </row>
    <row r="110" spans="1:4" x14ac:dyDescent="0.25">
      <c r="A110" s="260" t="s">
        <v>727</v>
      </c>
      <c r="B110" s="265">
        <f>D40</f>
        <v>26</v>
      </c>
    </row>
    <row r="111" spans="1:4" ht="13" x14ac:dyDescent="0.3">
      <c r="A111" s="396" t="s">
        <v>250</v>
      </c>
      <c r="B111" s="265"/>
    </row>
    <row r="112" spans="1:4" x14ac:dyDescent="0.25">
      <c r="A112" s="260" t="s">
        <v>726</v>
      </c>
      <c r="B112" s="265">
        <f>D59</f>
        <v>55</v>
      </c>
    </row>
    <row r="113" spans="1:2" x14ac:dyDescent="0.25">
      <c r="A113" s="260" t="s">
        <v>727</v>
      </c>
      <c r="B113" s="265">
        <f>D60</f>
        <v>13</v>
      </c>
    </row>
    <row r="114" spans="1:2" ht="13" x14ac:dyDescent="0.3">
      <c r="A114" s="396" t="s">
        <v>731</v>
      </c>
      <c r="B114" s="265"/>
    </row>
    <row r="115" spans="1:2" x14ac:dyDescent="0.25">
      <c r="A115" s="260" t="s">
        <v>726</v>
      </c>
      <c r="B115" s="265">
        <f>AVERAGE(B109,B112)</f>
        <v>55</v>
      </c>
    </row>
    <row r="116" spans="1:2" ht="13" thickBot="1" x14ac:dyDescent="0.3">
      <c r="A116" s="261" t="s">
        <v>727</v>
      </c>
      <c r="B116" s="397">
        <f>AVERAGE(B110,B113)</f>
        <v>19.5</v>
      </c>
    </row>
    <row r="117" spans="1:2" ht="13" thickBot="1" x14ac:dyDescent="0.3"/>
    <row r="118" spans="1:2" ht="13" x14ac:dyDescent="0.3">
      <c r="A118" s="393" t="s">
        <v>729</v>
      </c>
      <c r="B118" s="394" t="s">
        <v>725</v>
      </c>
    </row>
    <row r="119" spans="1:2" ht="13" x14ac:dyDescent="0.3">
      <c r="A119" s="395" t="s">
        <v>172</v>
      </c>
      <c r="B119" s="265"/>
    </row>
    <row r="120" spans="1:2" x14ac:dyDescent="0.25">
      <c r="A120" s="260" t="s">
        <v>726</v>
      </c>
      <c r="B120" s="259">
        <f>B106*D14/1000</f>
        <v>5850</v>
      </c>
    </row>
    <row r="121" spans="1:2" x14ac:dyDescent="0.25">
      <c r="A121" s="260" t="s">
        <v>727</v>
      </c>
      <c r="B121" s="259">
        <f>B107*D14/1000</f>
        <v>2475</v>
      </c>
    </row>
    <row r="122" spans="1:2" ht="13" x14ac:dyDescent="0.3">
      <c r="A122" s="396" t="s">
        <v>731</v>
      </c>
      <c r="B122" s="265"/>
    </row>
    <row r="123" spans="1:2" x14ac:dyDescent="0.25">
      <c r="A123" s="260" t="s">
        <v>726</v>
      </c>
      <c r="B123" s="259">
        <f>B115*D14/1000</f>
        <v>4125</v>
      </c>
    </row>
    <row r="124" spans="1:2" ht="13" thickBot="1" x14ac:dyDescent="0.3">
      <c r="A124" s="261" t="s">
        <v>727</v>
      </c>
      <c r="B124" s="262">
        <f>B116*D14/1000</f>
        <v>1462.5</v>
      </c>
    </row>
    <row r="125" spans="1:2" ht="13" thickBot="1" x14ac:dyDescent="0.3">
      <c r="B125" s="392"/>
    </row>
    <row r="126" spans="1:2" ht="13" x14ac:dyDescent="0.3">
      <c r="A126" s="393" t="s">
        <v>732</v>
      </c>
      <c r="B126" s="394" t="s">
        <v>725</v>
      </c>
    </row>
    <row r="127" spans="1:2" ht="13" x14ac:dyDescent="0.3">
      <c r="A127" s="396" t="s">
        <v>731</v>
      </c>
      <c r="B127" s="399"/>
    </row>
    <row r="128" spans="1:2" x14ac:dyDescent="0.25">
      <c r="A128" s="260" t="s">
        <v>726</v>
      </c>
      <c r="B128" s="259">
        <f>B120-B123</f>
        <v>1725</v>
      </c>
    </row>
    <row r="129" spans="1:2" ht="13" thickBot="1" x14ac:dyDescent="0.3">
      <c r="A129" s="261" t="s">
        <v>727</v>
      </c>
      <c r="B129" s="262">
        <f>B121-B124</f>
        <v>1012.5</v>
      </c>
    </row>
  </sheetData>
  <pageMargins left="0.7" right="0.7" top="0.75" bottom="0.75" header="0" footer="0"/>
  <pageSetup orientation="landscape"/>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10"/>
  <sheetViews>
    <sheetView topLeftCell="A99" workbookViewId="0">
      <selection activeCell="A102" sqref="A102:B129"/>
    </sheetView>
  </sheetViews>
  <sheetFormatPr baseColWidth="10" defaultColWidth="12.58203125" defaultRowHeight="12.5" x14ac:dyDescent="0.25"/>
  <cols>
    <col min="1" max="1" width="43.58203125" style="254" customWidth="1"/>
    <col min="2" max="2" width="22.58203125" style="254" customWidth="1"/>
    <col min="3" max="3" width="17" style="327" customWidth="1"/>
    <col min="4" max="4" width="16" style="254" customWidth="1"/>
    <col min="5" max="26" width="9.33203125" style="254" customWidth="1"/>
    <col min="27" max="16384" width="12.58203125" style="254"/>
  </cols>
  <sheetData>
    <row r="1" spans="1:4" ht="13" x14ac:dyDescent="0.3">
      <c r="A1" s="253" t="s">
        <v>609</v>
      </c>
    </row>
    <row r="3" spans="1:4" ht="13.5" thickBot="1" x14ac:dyDescent="0.35">
      <c r="A3" s="253" t="s">
        <v>601</v>
      </c>
      <c r="B3" s="255"/>
    </row>
    <row r="4" spans="1:4" x14ac:dyDescent="0.25">
      <c r="A4" s="256" t="s">
        <v>603</v>
      </c>
      <c r="B4" s="257">
        <f>D34</f>
        <v>23691.972646985883</v>
      </c>
    </row>
    <row r="5" spans="1:4" x14ac:dyDescent="0.25">
      <c r="A5" s="258" t="s">
        <v>604</v>
      </c>
      <c r="B5" s="259">
        <f>D54</f>
        <v>19509.747533150359</v>
      </c>
    </row>
    <row r="6" spans="1:4" x14ac:dyDescent="0.25">
      <c r="A6" s="260" t="s">
        <v>605</v>
      </c>
      <c r="B6" s="259">
        <f>D73</f>
        <v>5563.1380000000017</v>
      </c>
    </row>
    <row r="7" spans="1:4" x14ac:dyDescent="0.25">
      <c r="A7" s="260" t="s">
        <v>308</v>
      </c>
      <c r="B7" s="259">
        <f>D82</f>
        <v>4182.2251138355241</v>
      </c>
    </row>
    <row r="8" spans="1:4" x14ac:dyDescent="0.25">
      <c r="A8" s="260" t="s">
        <v>315</v>
      </c>
      <c r="B8" s="259">
        <f>D90</f>
        <v>7419.8308983168554</v>
      </c>
    </row>
    <row r="9" spans="1:4" ht="13" thickBot="1" x14ac:dyDescent="0.3">
      <c r="A9" s="261" t="s">
        <v>322</v>
      </c>
      <c r="B9" s="262">
        <f>D98</f>
        <v>5801.0280060761897</v>
      </c>
    </row>
    <row r="10" spans="1:4" ht="13" thickBot="1" x14ac:dyDescent="0.3"/>
    <row r="11" spans="1:4" ht="13" x14ac:dyDescent="0.3">
      <c r="A11" s="328" t="s">
        <v>610</v>
      </c>
      <c r="B11" s="326" t="s">
        <v>253</v>
      </c>
      <c r="C11" s="326" t="s">
        <v>254</v>
      </c>
      <c r="D11" s="263" t="s">
        <v>255</v>
      </c>
    </row>
    <row r="12" spans="1:4" ht="13" x14ac:dyDescent="0.3">
      <c r="A12" s="264" t="s">
        <v>49</v>
      </c>
      <c r="B12" s="329"/>
      <c r="C12" s="329"/>
      <c r="D12" s="265"/>
    </row>
    <row r="13" spans="1:4" x14ac:dyDescent="0.25">
      <c r="A13" s="258" t="s">
        <v>256</v>
      </c>
      <c r="B13" s="329"/>
      <c r="C13" s="329"/>
      <c r="D13" s="266" t="str">
        <f>'Input_Area and Costs'!A10</f>
        <v>Retail</v>
      </c>
    </row>
    <row r="14" spans="1:4" x14ac:dyDescent="0.25">
      <c r="A14" s="258" t="s">
        <v>247</v>
      </c>
      <c r="B14" s="329" t="s">
        <v>257</v>
      </c>
      <c r="C14" s="329" t="s">
        <v>251</v>
      </c>
      <c r="D14" s="267">
        <f>'Input_Area and Costs'!D10</f>
        <v>14000</v>
      </c>
    </row>
    <row r="15" spans="1:4" x14ac:dyDescent="0.25">
      <c r="A15" s="258" t="s">
        <v>258</v>
      </c>
      <c r="B15" s="329" t="s">
        <v>259</v>
      </c>
      <c r="C15" s="329" t="s">
        <v>260</v>
      </c>
      <c r="D15" s="267">
        <f>'General Inputs&amp;Outputs'!$C$12</f>
        <v>15</v>
      </c>
    </row>
    <row r="16" spans="1:4" x14ac:dyDescent="0.25">
      <c r="A16" s="254" t="s">
        <v>172</v>
      </c>
      <c r="B16" s="329"/>
      <c r="C16" s="329"/>
      <c r="D16" s="265"/>
    </row>
    <row r="17" spans="1:4" ht="13" x14ac:dyDescent="0.3">
      <c r="A17" s="264" t="s">
        <v>285</v>
      </c>
      <c r="B17" s="329"/>
      <c r="C17" s="329"/>
      <c r="D17" s="265"/>
    </row>
    <row r="18" spans="1:4" ht="13" x14ac:dyDescent="0.3">
      <c r="A18" s="264" t="s">
        <v>261</v>
      </c>
      <c r="B18" s="329"/>
      <c r="C18" s="333"/>
      <c r="D18" s="265"/>
    </row>
    <row r="19" spans="1:4" ht="13" x14ac:dyDescent="0.3">
      <c r="A19" s="268" t="s">
        <v>262</v>
      </c>
      <c r="B19" s="329" t="s">
        <v>263</v>
      </c>
      <c r="C19" s="329" t="s">
        <v>264</v>
      </c>
      <c r="D19" s="266">
        <f>'Energy use'!B722</f>
        <v>217</v>
      </c>
    </row>
    <row r="20" spans="1:4" ht="13" x14ac:dyDescent="0.3">
      <c r="A20" s="268" t="s">
        <v>265</v>
      </c>
      <c r="B20" s="329" t="s">
        <v>266</v>
      </c>
      <c r="C20" s="329" t="s">
        <v>264</v>
      </c>
      <c r="D20" s="266">
        <v>0</v>
      </c>
    </row>
    <row r="21" spans="1:4" ht="13" x14ac:dyDescent="0.3">
      <c r="A21" s="264" t="s">
        <v>267</v>
      </c>
      <c r="B21" s="329"/>
      <c r="C21" s="333"/>
      <c r="D21" s="265"/>
    </row>
    <row r="22" spans="1:4" ht="13" x14ac:dyDescent="0.3">
      <c r="A22" s="268" t="str">
        <f t="shared" ref="A22:A23" si="0">A19</f>
        <v>Electricity</v>
      </c>
      <c r="B22" s="329" t="s">
        <v>268</v>
      </c>
      <c r="C22" s="329" t="s">
        <v>269</v>
      </c>
      <c r="D22" s="269">
        <f>'Input_Energy Context'!D12</f>
        <v>0.39531206159723237</v>
      </c>
    </row>
    <row r="23" spans="1:4" ht="13" x14ac:dyDescent="0.3">
      <c r="A23" s="268" t="str">
        <f t="shared" si="0"/>
        <v>Natural gas</v>
      </c>
      <c r="B23" s="329" t="s">
        <v>270</v>
      </c>
      <c r="C23" s="329" t="s">
        <v>269</v>
      </c>
      <c r="D23" s="266">
        <f>+'Input_Energy Context'!B13</f>
        <v>0.23100000000000001</v>
      </c>
    </row>
    <row r="24" spans="1:4" ht="13" x14ac:dyDescent="0.3">
      <c r="A24" s="264" t="s">
        <v>271</v>
      </c>
      <c r="B24" s="329"/>
      <c r="C24" s="333"/>
      <c r="D24" s="265"/>
    </row>
    <row r="25" spans="1:4" ht="13" x14ac:dyDescent="0.3">
      <c r="A25" s="268" t="str">
        <f t="shared" ref="A25:A26" si="1">A22</f>
        <v>Electricity</v>
      </c>
      <c r="B25" s="329" t="s">
        <v>272</v>
      </c>
      <c r="C25" s="329" t="s">
        <v>273</v>
      </c>
      <c r="D25" s="270">
        <f>+D19*D22</f>
        <v>85.782717366599428</v>
      </c>
    </row>
    <row r="26" spans="1:4" ht="13" x14ac:dyDescent="0.3">
      <c r="A26" s="268" t="str">
        <f t="shared" si="1"/>
        <v>Natural gas</v>
      </c>
      <c r="B26" s="329" t="s">
        <v>274</v>
      </c>
      <c r="C26" s="329" t="s">
        <v>273</v>
      </c>
      <c r="D26" s="270">
        <f t="shared" ref="D26" si="2">+D20*D23</f>
        <v>0</v>
      </c>
    </row>
    <row r="27" spans="1:4" ht="13" x14ac:dyDescent="0.3">
      <c r="A27" s="268" t="s">
        <v>275</v>
      </c>
      <c r="B27" s="329" t="s">
        <v>276</v>
      </c>
      <c r="C27" s="329" t="s">
        <v>273</v>
      </c>
      <c r="D27" s="270">
        <f>'Input_LC Materials'!D27/'Input_LC Materials'!E11</f>
        <v>405.54300000000012</v>
      </c>
    </row>
    <row r="28" spans="1:4" ht="13" x14ac:dyDescent="0.3">
      <c r="A28" s="264" t="s">
        <v>277</v>
      </c>
      <c r="B28" s="329"/>
      <c r="C28" s="333"/>
      <c r="D28" s="265"/>
    </row>
    <row r="29" spans="1:4" ht="13" x14ac:dyDescent="0.3">
      <c r="A29" s="268" t="str">
        <f t="shared" ref="A29:A30" si="3">A25</f>
        <v>Electricity</v>
      </c>
      <c r="B29" s="329" t="s">
        <v>278</v>
      </c>
      <c r="C29" s="329" t="s">
        <v>279</v>
      </c>
      <c r="D29" s="267">
        <f>+D25*D14/1000</f>
        <v>1200.958043132392</v>
      </c>
    </row>
    <row r="30" spans="1:4" ht="13" x14ac:dyDescent="0.3">
      <c r="A30" s="268" t="str">
        <f t="shared" si="3"/>
        <v>Natural gas</v>
      </c>
      <c r="B30" s="329" t="s">
        <v>280</v>
      </c>
      <c r="C30" s="329" t="s">
        <v>279</v>
      </c>
      <c r="D30" s="267">
        <f>+D26*D14/1000</f>
        <v>0</v>
      </c>
    </row>
    <row r="31" spans="1:4" ht="13" x14ac:dyDescent="0.3">
      <c r="A31" s="268" t="str">
        <f>$A$25</f>
        <v>Electricity</v>
      </c>
      <c r="B31" s="329" t="s">
        <v>281</v>
      </c>
      <c r="C31" s="329" t="s">
        <v>577</v>
      </c>
      <c r="D31" s="267">
        <f t="shared" ref="D31:D32" si="4">D29*$D$15</f>
        <v>18014.370646985881</v>
      </c>
    </row>
    <row r="32" spans="1:4" ht="13" x14ac:dyDescent="0.3">
      <c r="A32" s="268" t="str">
        <f>$A$26</f>
        <v>Natural gas</v>
      </c>
      <c r="B32" s="329" t="s">
        <v>282</v>
      </c>
      <c r="C32" s="329" t="s">
        <v>577</v>
      </c>
      <c r="D32" s="267">
        <f t="shared" si="4"/>
        <v>0</v>
      </c>
    </row>
    <row r="33" spans="1:4" ht="13" x14ac:dyDescent="0.3">
      <c r="A33" s="268" t="s">
        <v>275</v>
      </c>
      <c r="B33" s="329" t="s">
        <v>283</v>
      </c>
      <c r="C33" s="329" t="s">
        <v>577</v>
      </c>
      <c r="D33" s="267">
        <f>+D27*D14/1000</f>
        <v>5677.6020000000017</v>
      </c>
    </row>
    <row r="34" spans="1:4" ht="13.5" thickBot="1" x14ac:dyDescent="0.35">
      <c r="A34" s="325" t="s">
        <v>284</v>
      </c>
      <c r="B34" s="332"/>
      <c r="C34" s="332" t="s">
        <v>577</v>
      </c>
      <c r="D34" s="274">
        <f>SUM(D31:D33)</f>
        <v>23691.972646985883</v>
      </c>
    </row>
    <row r="35" spans="1:4" ht="13" thickBot="1" x14ac:dyDescent="0.3">
      <c r="B35" s="330"/>
      <c r="C35" s="330"/>
    </row>
    <row r="36" spans="1:4" ht="13" x14ac:dyDescent="0.3">
      <c r="A36" s="328" t="s">
        <v>604</v>
      </c>
      <c r="B36" s="326"/>
      <c r="C36" s="326"/>
      <c r="D36" s="263"/>
    </row>
    <row r="37" spans="1:4" ht="13" x14ac:dyDescent="0.3">
      <c r="A37" s="264" t="s">
        <v>285</v>
      </c>
      <c r="B37" s="329"/>
      <c r="C37" s="329"/>
      <c r="D37" s="265"/>
    </row>
    <row r="38" spans="1:4" ht="13" x14ac:dyDescent="0.3">
      <c r="A38" s="264" t="s">
        <v>261</v>
      </c>
      <c r="B38" s="329"/>
      <c r="C38" s="333"/>
      <c r="D38" s="265"/>
    </row>
    <row r="39" spans="1:4" ht="13" x14ac:dyDescent="0.3">
      <c r="A39" s="268" t="s">
        <v>262</v>
      </c>
      <c r="B39" s="329" t="s">
        <v>286</v>
      </c>
      <c r="C39" s="329" t="s">
        <v>264</v>
      </c>
      <c r="D39" s="266">
        <f>'Energy use'!C722-D40</f>
        <v>168</v>
      </c>
    </row>
    <row r="40" spans="1:4" ht="13" x14ac:dyDescent="0.3">
      <c r="A40" s="268" t="s">
        <v>265</v>
      </c>
      <c r="B40" s="329" t="s">
        <v>287</v>
      </c>
      <c r="C40" s="329" t="s">
        <v>264</v>
      </c>
      <c r="D40" s="266">
        <v>0</v>
      </c>
    </row>
    <row r="41" spans="1:4" ht="13" x14ac:dyDescent="0.3">
      <c r="A41" s="264" t="s">
        <v>267</v>
      </c>
      <c r="B41" s="329"/>
      <c r="C41" s="329"/>
      <c r="D41" s="265"/>
    </row>
    <row r="42" spans="1:4" ht="13" x14ac:dyDescent="0.3">
      <c r="A42" s="268" t="str">
        <f t="shared" ref="A42:A43" si="5">A39</f>
        <v>Electricity</v>
      </c>
      <c r="B42" s="329" t="s">
        <v>268</v>
      </c>
      <c r="C42" s="329" t="s">
        <v>269</v>
      </c>
      <c r="D42" s="269">
        <f t="shared" ref="D42:D43" si="6">+D22</f>
        <v>0.39531206159723237</v>
      </c>
    </row>
    <row r="43" spans="1:4" ht="13" x14ac:dyDescent="0.3">
      <c r="A43" s="268" t="str">
        <f t="shared" si="5"/>
        <v>Natural gas</v>
      </c>
      <c r="B43" s="329" t="s">
        <v>270</v>
      </c>
      <c r="C43" s="329" t="s">
        <v>269</v>
      </c>
      <c r="D43" s="266">
        <f t="shared" si="6"/>
        <v>0.23100000000000001</v>
      </c>
    </row>
    <row r="44" spans="1:4" ht="13" x14ac:dyDescent="0.3">
      <c r="A44" s="264" t="s">
        <v>271</v>
      </c>
      <c r="B44" s="329"/>
      <c r="C44" s="329"/>
      <c r="D44" s="265"/>
    </row>
    <row r="45" spans="1:4" ht="13" x14ac:dyDescent="0.3">
      <c r="A45" s="268" t="str">
        <f t="shared" ref="A45:A46" si="7">A42</f>
        <v>Electricity</v>
      </c>
      <c r="B45" s="329" t="s">
        <v>288</v>
      </c>
      <c r="C45" s="329" t="s">
        <v>273</v>
      </c>
      <c r="D45" s="267">
        <f t="shared" ref="D45:D46" si="8">+D39*D42</f>
        <v>66.412426348335032</v>
      </c>
    </row>
    <row r="46" spans="1:4" ht="13" x14ac:dyDescent="0.3">
      <c r="A46" s="268" t="str">
        <f t="shared" si="7"/>
        <v>Natural gas</v>
      </c>
      <c r="B46" s="329" t="s">
        <v>289</v>
      </c>
      <c r="C46" s="329" t="s">
        <v>273</v>
      </c>
      <c r="D46" s="270">
        <f t="shared" si="8"/>
        <v>0</v>
      </c>
    </row>
    <row r="47" spans="1:4" ht="13" x14ac:dyDescent="0.3">
      <c r="A47" s="268" t="s">
        <v>275</v>
      </c>
      <c r="B47" s="329" t="s">
        <v>290</v>
      </c>
      <c r="C47" s="329" t="s">
        <v>273</v>
      </c>
      <c r="D47" s="270">
        <f>D27-'Input_LC Materials'!B11</f>
        <v>397.36700000000013</v>
      </c>
    </row>
    <row r="48" spans="1:4" ht="13" x14ac:dyDescent="0.3">
      <c r="A48" s="264" t="s">
        <v>277</v>
      </c>
      <c r="B48" s="329"/>
      <c r="C48" s="329"/>
      <c r="D48" s="265"/>
    </row>
    <row r="49" spans="1:5" ht="13" x14ac:dyDescent="0.3">
      <c r="A49" s="268" t="str">
        <f t="shared" ref="A49:A50" si="9">A45</f>
        <v>Electricity</v>
      </c>
      <c r="B49" s="329" t="s">
        <v>291</v>
      </c>
      <c r="C49" s="329" t="s">
        <v>279</v>
      </c>
      <c r="D49" s="267">
        <f>+D45*D14/1000</f>
        <v>929.77396887669045</v>
      </c>
    </row>
    <row r="50" spans="1:5" ht="13" x14ac:dyDescent="0.3">
      <c r="A50" s="268" t="str">
        <f t="shared" si="9"/>
        <v>Natural gas</v>
      </c>
      <c r="B50" s="329" t="s">
        <v>292</v>
      </c>
      <c r="C50" s="329" t="s">
        <v>279</v>
      </c>
      <c r="D50" s="267">
        <f>+D46*D14/1000</f>
        <v>0</v>
      </c>
    </row>
    <row r="51" spans="1:5" ht="13" x14ac:dyDescent="0.3">
      <c r="A51" s="268" t="str">
        <f>$A$45</f>
        <v>Electricity</v>
      </c>
      <c r="B51" s="329" t="s">
        <v>293</v>
      </c>
      <c r="C51" s="329" t="str">
        <f>$C$31</f>
        <v>tCO2 over lifetime</v>
      </c>
      <c r="D51" s="267">
        <f t="shared" ref="D51:D52" si="10">D49*$D$15</f>
        <v>13946.609533150357</v>
      </c>
    </row>
    <row r="52" spans="1:5" ht="13" x14ac:dyDescent="0.3">
      <c r="A52" s="268" t="str">
        <f>$A$46</f>
        <v>Natural gas</v>
      </c>
      <c r="B52" s="329" t="s">
        <v>294</v>
      </c>
      <c r="C52" s="329" t="str">
        <f>$C$31</f>
        <v>tCO2 over lifetime</v>
      </c>
      <c r="D52" s="267">
        <f t="shared" si="10"/>
        <v>0</v>
      </c>
    </row>
    <row r="53" spans="1:5" ht="13" x14ac:dyDescent="0.3">
      <c r="A53" s="268" t="s">
        <v>275</v>
      </c>
      <c r="B53" s="329" t="s">
        <v>295</v>
      </c>
      <c r="C53" s="329" t="str">
        <f>$C$31</f>
        <v>tCO2 over lifetime</v>
      </c>
      <c r="D53" s="267">
        <f>+D47*D14/1000</f>
        <v>5563.1380000000017</v>
      </c>
    </row>
    <row r="54" spans="1:5" ht="13.5" thickBot="1" x14ac:dyDescent="0.35">
      <c r="A54" s="325" t="s">
        <v>284</v>
      </c>
      <c r="B54" s="332"/>
      <c r="C54" s="332" t="str">
        <f>$C$31</f>
        <v>tCO2 over lifetime</v>
      </c>
      <c r="D54" s="274">
        <f>SUM(D51:D53)</f>
        <v>19509.747533150359</v>
      </c>
      <c r="E54" s="255"/>
    </row>
    <row r="55" spans="1:5" ht="13" thickBot="1" x14ac:dyDescent="0.3">
      <c r="A55" s="255"/>
      <c r="B55" s="330"/>
      <c r="C55" s="330"/>
      <c r="D55" s="255"/>
      <c r="E55" s="255"/>
    </row>
    <row r="56" spans="1:5" ht="13" x14ac:dyDescent="0.3">
      <c r="A56" s="328" t="s">
        <v>605</v>
      </c>
      <c r="B56" s="326"/>
      <c r="C56" s="326"/>
      <c r="D56" s="263"/>
      <c r="E56" s="255"/>
    </row>
    <row r="57" spans="1:5" ht="13" x14ac:dyDescent="0.3">
      <c r="A57" s="264" t="s">
        <v>285</v>
      </c>
      <c r="B57" s="329"/>
      <c r="C57" s="329"/>
      <c r="D57" s="265"/>
      <c r="E57" s="255"/>
    </row>
    <row r="58" spans="1:5" ht="13" x14ac:dyDescent="0.3">
      <c r="A58" s="264" t="s">
        <v>261</v>
      </c>
      <c r="B58" s="329"/>
      <c r="C58" s="329"/>
      <c r="D58" s="265"/>
    </row>
    <row r="59" spans="1:5" ht="13" x14ac:dyDescent="0.3">
      <c r="A59" s="268" t="s">
        <v>262</v>
      </c>
      <c r="B59" s="329" t="s">
        <v>296</v>
      </c>
      <c r="C59" s="329" t="s">
        <v>264</v>
      </c>
      <c r="D59" s="266">
        <f>'Energy use'!D722</f>
        <v>129</v>
      </c>
    </row>
    <row r="60" spans="1:5" ht="13" x14ac:dyDescent="0.3">
      <c r="A60" s="268" t="s">
        <v>265</v>
      </c>
      <c r="B60" s="329" t="s">
        <v>297</v>
      </c>
      <c r="C60" s="329" t="s">
        <v>264</v>
      </c>
      <c r="D60" s="266">
        <v>0</v>
      </c>
    </row>
    <row r="61" spans="1:5" ht="13" x14ac:dyDescent="0.3">
      <c r="A61" s="264" t="s">
        <v>267</v>
      </c>
      <c r="B61" s="329"/>
      <c r="C61" s="329"/>
      <c r="D61" s="265"/>
    </row>
    <row r="62" spans="1:5" ht="13" x14ac:dyDescent="0.3">
      <c r="A62" s="268" t="str">
        <f t="shared" ref="A62:A63" si="11">A59</f>
        <v>Electricity</v>
      </c>
      <c r="B62" s="329" t="s">
        <v>268</v>
      </c>
      <c r="C62" s="329" t="s">
        <v>298</v>
      </c>
      <c r="D62" s="269">
        <f t="shared" ref="D62:D63" si="12">+D42</f>
        <v>0.39531206159723237</v>
      </c>
    </row>
    <row r="63" spans="1:5" ht="13" x14ac:dyDescent="0.3">
      <c r="A63" s="268" t="str">
        <f t="shared" si="11"/>
        <v>Natural gas</v>
      </c>
      <c r="B63" s="329" t="s">
        <v>270</v>
      </c>
      <c r="C63" s="329" t="s">
        <v>298</v>
      </c>
      <c r="D63" s="266">
        <f t="shared" si="12"/>
        <v>0.23100000000000001</v>
      </c>
    </row>
    <row r="64" spans="1:5" ht="13" x14ac:dyDescent="0.3">
      <c r="A64" s="264" t="s">
        <v>271</v>
      </c>
      <c r="B64" s="329"/>
      <c r="C64" s="329"/>
      <c r="D64" s="265"/>
    </row>
    <row r="65" spans="1:4" ht="13" x14ac:dyDescent="0.3">
      <c r="A65" s="268" t="str">
        <f t="shared" ref="A65:A66" si="13">A62</f>
        <v>Electricity</v>
      </c>
      <c r="B65" s="329" t="s">
        <v>299</v>
      </c>
      <c r="C65" s="329" t="s">
        <v>264</v>
      </c>
      <c r="D65" s="267">
        <f t="shared" ref="D65:D66" si="14">+D59*D62</f>
        <v>50.995255946042974</v>
      </c>
    </row>
    <row r="66" spans="1:4" ht="13" x14ac:dyDescent="0.3">
      <c r="A66" s="268" t="str">
        <f t="shared" si="13"/>
        <v>Natural gas</v>
      </c>
      <c r="B66" s="329" t="s">
        <v>300</v>
      </c>
      <c r="C66" s="329" t="s">
        <v>264</v>
      </c>
      <c r="D66" s="270">
        <f t="shared" si="14"/>
        <v>0</v>
      </c>
    </row>
    <row r="67" spans="1:4" ht="13" x14ac:dyDescent="0.3">
      <c r="A67" s="268" t="s">
        <v>275</v>
      </c>
      <c r="B67" s="329" t="s">
        <v>301</v>
      </c>
      <c r="C67" s="329" t="s">
        <v>302</v>
      </c>
      <c r="D67" s="270">
        <f>D47</f>
        <v>397.36700000000013</v>
      </c>
    </row>
    <row r="68" spans="1:4" ht="13" x14ac:dyDescent="0.3">
      <c r="A68" s="264" t="s">
        <v>277</v>
      </c>
      <c r="B68" s="329"/>
      <c r="C68" s="329"/>
      <c r="D68" s="265"/>
    </row>
    <row r="69" spans="1:4" ht="13" x14ac:dyDescent="0.3">
      <c r="A69" s="268" t="str">
        <f t="shared" ref="A69:A70" si="15">A65</f>
        <v>Electricity</v>
      </c>
      <c r="B69" s="329" t="s">
        <v>303</v>
      </c>
      <c r="C69" s="329" t="s">
        <v>279</v>
      </c>
      <c r="D69" s="267">
        <f t="shared" ref="D69:D70" si="16">+D65*$D$14/1000</f>
        <v>713.93358324460166</v>
      </c>
    </row>
    <row r="70" spans="1:4" ht="13" x14ac:dyDescent="0.3">
      <c r="A70" s="268" t="str">
        <f t="shared" si="15"/>
        <v>Natural gas</v>
      </c>
      <c r="B70" s="329" t="s">
        <v>304</v>
      </c>
      <c r="C70" s="329" t="s">
        <v>279</v>
      </c>
      <c r="D70" s="267">
        <f t="shared" si="16"/>
        <v>0</v>
      </c>
    </row>
    <row r="71" spans="1:4" ht="13" x14ac:dyDescent="0.3">
      <c r="A71" s="268" t="str">
        <f>$A$45</f>
        <v>Electricity</v>
      </c>
      <c r="B71" s="329" t="s">
        <v>305</v>
      </c>
      <c r="C71" s="329" t="str">
        <f>$C$31</f>
        <v>tCO2 over lifetime</v>
      </c>
      <c r="D71" s="267">
        <f t="shared" ref="D71:D72" si="17">D69*$D$15</f>
        <v>10709.003748669025</v>
      </c>
    </row>
    <row r="72" spans="1:4" ht="13" x14ac:dyDescent="0.3">
      <c r="A72" s="268" t="str">
        <f>$A$46</f>
        <v>Natural gas</v>
      </c>
      <c r="B72" s="329" t="s">
        <v>306</v>
      </c>
      <c r="C72" s="329" t="str">
        <f>$C$31</f>
        <v>tCO2 over lifetime</v>
      </c>
      <c r="D72" s="267">
        <f t="shared" si="17"/>
        <v>0</v>
      </c>
    </row>
    <row r="73" spans="1:4" ht="13" x14ac:dyDescent="0.3">
      <c r="A73" s="268" t="s">
        <v>275</v>
      </c>
      <c r="B73" s="329" t="s">
        <v>307</v>
      </c>
      <c r="C73" s="329" t="str">
        <f>$C$31</f>
        <v>tCO2 over lifetime</v>
      </c>
      <c r="D73" s="267">
        <f>+D67*$D$14/1000</f>
        <v>5563.1380000000017</v>
      </c>
    </row>
    <row r="74" spans="1:4" ht="13.5" thickBot="1" x14ac:dyDescent="0.35">
      <c r="A74" s="325" t="s">
        <v>284</v>
      </c>
      <c r="B74" s="332"/>
      <c r="C74" s="332" t="str">
        <f>$C$31</f>
        <v>tCO2 over lifetime</v>
      </c>
      <c r="D74" s="274">
        <f>SUM(D71:D73)</f>
        <v>16272.141748669026</v>
      </c>
    </row>
    <row r="75" spans="1:4" ht="13" thickBot="1" x14ac:dyDescent="0.3">
      <c r="B75" s="330"/>
      <c r="C75" s="330"/>
    </row>
    <row r="76" spans="1:4" ht="13" x14ac:dyDescent="0.3">
      <c r="A76" s="272" t="s">
        <v>308</v>
      </c>
      <c r="B76" s="331"/>
      <c r="C76" s="331"/>
      <c r="D76" s="273"/>
    </row>
    <row r="77" spans="1:4" x14ac:dyDescent="0.25">
      <c r="A77" s="258" t="s">
        <v>262</v>
      </c>
      <c r="B77" s="329" t="s">
        <v>309</v>
      </c>
      <c r="C77" s="334" t="s">
        <v>279</v>
      </c>
      <c r="D77" s="267">
        <f t="shared" ref="D77:D78" si="18">+D29-D49</f>
        <v>271.1840742557016</v>
      </c>
    </row>
    <row r="78" spans="1:4" x14ac:dyDescent="0.25">
      <c r="A78" s="258" t="s">
        <v>265</v>
      </c>
      <c r="B78" s="329" t="s">
        <v>310</v>
      </c>
      <c r="C78" s="329" t="s">
        <v>279</v>
      </c>
      <c r="D78" s="267">
        <f t="shared" si="18"/>
        <v>0</v>
      </c>
    </row>
    <row r="79" spans="1:4" x14ac:dyDescent="0.25">
      <c r="A79" s="258" t="s">
        <v>262</v>
      </c>
      <c r="B79" s="329" t="s">
        <v>311</v>
      </c>
      <c r="C79" s="329" t="str">
        <f>$C$31</f>
        <v>tCO2 over lifetime</v>
      </c>
      <c r="D79" s="267">
        <f t="shared" ref="D79:D80" si="19">D77*$D$15</f>
        <v>4067.7611138355242</v>
      </c>
    </row>
    <row r="80" spans="1:4" x14ac:dyDescent="0.25">
      <c r="A80" s="258" t="s">
        <v>265</v>
      </c>
      <c r="B80" s="329" t="s">
        <v>312</v>
      </c>
      <c r="C80" s="329" t="str">
        <f>$C$31</f>
        <v>tCO2 over lifetime</v>
      </c>
      <c r="D80" s="267">
        <f t="shared" si="19"/>
        <v>0</v>
      </c>
    </row>
    <row r="81" spans="1:4" x14ac:dyDescent="0.25">
      <c r="A81" s="258" t="s">
        <v>275</v>
      </c>
      <c r="B81" s="329" t="s">
        <v>313</v>
      </c>
      <c r="C81" s="329" t="str">
        <f>$C$31</f>
        <v>tCO2 over lifetime</v>
      </c>
      <c r="D81" s="267">
        <f>+D33-D53</f>
        <v>114.46399999999994</v>
      </c>
    </row>
    <row r="82" spans="1:4" ht="13.5" thickBot="1" x14ac:dyDescent="0.35">
      <c r="A82" s="275" t="s">
        <v>284</v>
      </c>
      <c r="B82" s="332" t="s">
        <v>314</v>
      </c>
      <c r="C82" s="332" t="str">
        <f>$C$31</f>
        <v>tCO2 over lifetime</v>
      </c>
      <c r="D82" s="274">
        <f>SUM(D79:D81)</f>
        <v>4182.2251138355241</v>
      </c>
    </row>
    <row r="83" spans="1:4" ht="13" thickBot="1" x14ac:dyDescent="0.3">
      <c r="B83" s="330"/>
      <c r="C83" s="330"/>
    </row>
    <row r="84" spans="1:4" ht="13" x14ac:dyDescent="0.3">
      <c r="A84" s="272" t="s">
        <v>315</v>
      </c>
      <c r="B84" s="331"/>
      <c r="C84" s="331"/>
      <c r="D84" s="273"/>
    </row>
    <row r="85" spans="1:4" x14ac:dyDescent="0.25">
      <c r="A85" s="258" t="s">
        <v>262</v>
      </c>
      <c r="B85" s="329" t="s">
        <v>316</v>
      </c>
      <c r="C85" s="329" t="s">
        <v>279</v>
      </c>
      <c r="D85" s="267">
        <f t="shared" ref="D85:D86" si="20">+D29-D69</f>
        <v>487.02445988779039</v>
      </c>
    </row>
    <row r="86" spans="1:4" x14ac:dyDescent="0.25">
      <c r="A86" s="258" t="s">
        <v>265</v>
      </c>
      <c r="B86" s="329" t="s">
        <v>317</v>
      </c>
      <c r="C86" s="329" t="str">
        <f>$C$31</f>
        <v>tCO2 over lifetime</v>
      </c>
      <c r="D86" s="267">
        <f t="shared" si="20"/>
        <v>0</v>
      </c>
    </row>
    <row r="87" spans="1:4" x14ac:dyDescent="0.25">
      <c r="A87" s="258" t="s">
        <v>262</v>
      </c>
      <c r="B87" s="329" t="s">
        <v>318</v>
      </c>
      <c r="C87" s="329" t="str">
        <f>$C$31</f>
        <v>tCO2 over lifetime</v>
      </c>
      <c r="D87" s="267">
        <f t="shared" ref="D87:D88" si="21">D85*$D$15</f>
        <v>7305.3668983168554</v>
      </c>
    </row>
    <row r="88" spans="1:4" x14ac:dyDescent="0.25">
      <c r="A88" s="258" t="s">
        <v>265</v>
      </c>
      <c r="B88" s="329" t="s">
        <v>319</v>
      </c>
      <c r="C88" s="329" t="str">
        <f>$C$31</f>
        <v>tCO2 over lifetime</v>
      </c>
      <c r="D88" s="267">
        <f t="shared" si="21"/>
        <v>0</v>
      </c>
    </row>
    <row r="89" spans="1:4" x14ac:dyDescent="0.25">
      <c r="A89" s="258" t="s">
        <v>275</v>
      </c>
      <c r="B89" s="329" t="s">
        <v>320</v>
      </c>
      <c r="C89" s="329" t="str">
        <f>$C$31</f>
        <v>tCO2 over lifetime</v>
      </c>
      <c r="D89" s="267">
        <f>+D33-D73</f>
        <v>114.46399999999994</v>
      </c>
    </row>
    <row r="90" spans="1:4" ht="13.5" thickBot="1" x14ac:dyDescent="0.35">
      <c r="A90" s="275" t="s">
        <v>284</v>
      </c>
      <c r="B90" s="332" t="s">
        <v>321</v>
      </c>
      <c r="C90" s="332" t="str">
        <f>$C$31</f>
        <v>tCO2 over lifetime</v>
      </c>
      <c r="D90" s="274">
        <f>SUM(D87:D89)</f>
        <v>7419.8308983168554</v>
      </c>
    </row>
    <row r="91" spans="1:4" ht="13" thickBot="1" x14ac:dyDescent="0.3">
      <c r="B91" s="330"/>
      <c r="C91" s="330"/>
    </row>
    <row r="92" spans="1:4" ht="13" x14ac:dyDescent="0.3">
      <c r="A92" s="272" t="s">
        <v>322</v>
      </c>
      <c r="B92" s="331"/>
      <c r="C92" s="331"/>
      <c r="D92" s="273"/>
    </row>
    <row r="93" spans="1:4" x14ac:dyDescent="0.25">
      <c r="A93" s="258" t="s">
        <v>262</v>
      </c>
      <c r="B93" s="329" t="s">
        <v>323</v>
      </c>
      <c r="C93" s="329" t="s">
        <v>279</v>
      </c>
      <c r="D93" s="267">
        <f>+AVERAGE(D85,D77)</f>
        <v>379.10426707174599</v>
      </c>
    </row>
    <row r="94" spans="1:4" x14ac:dyDescent="0.25">
      <c r="A94" s="258" t="s">
        <v>265</v>
      </c>
      <c r="B94" s="329" t="s">
        <v>323</v>
      </c>
      <c r="C94" s="329" t="str">
        <f>$C$31</f>
        <v>tCO2 over lifetime</v>
      </c>
      <c r="D94" s="267">
        <f>+AVERAGE(D86,D78)</f>
        <v>0</v>
      </c>
    </row>
    <row r="95" spans="1:4" x14ac:dyDescent="0.25">
      <c r="A95" s="258" t="s">
        <v>262</v>
      </c>
      <c r="B95" s="329" t="s">
        <v>323</v>
      </c>
      <c r="C95" s="329" t="str">
        <f>$C$31</f>
        <v>tCO2 over lifetime</v>
      </c>
      <c r="D95" s="267">
        <f t="shared" ref="D95:D96" si="22">D93*$D$15</f>
        <v>5686.5640060761898</v>
      </c>
    </row>
    <row r="96" spans="1:4" x14ac:dyDescent="0.25">
      <c r="A96" s="258" t="s">
        <v>265</v>
      </c>
      <c r="B96" s="329" t="s">
        <v>323</v>
      </c>
      <c r="C96" s="329" t="str">
        <f>$C$31</f>
        <v>tCO2 over lifetime</v>
      </c>
      <c r="D96" s="267">
        <f t="shared" si="22"/>
        <v>0</v>
      </c>
    </row>
    <row r="97" spans="1:4" x14ac:dyDescent="0.25">
      <c r="A97" s="258" t="s">
        <v>275</v>
      </c>
      <c r="B97" s="329" t="s">
        <v>323</v>
      </c>
      <c r="C97" s="329" t="str">
        <f>$C$31</f>
        <v>tCO2 over lifetime</v>
      </c>
      <c r="D97" s="267">
        <f>+AVERAGE(D89,D81)</f>
        <v>114.46399999999994</v>
      </c>
    </row>
    <row r="98" spans="1:4" ht="13.5" thickBot="1" x14ac:dyDescent="0.35">
      <c r="A98" s="275" t="s">
        <v>284</v>
      </c>
      <c r="B98" s="332" t="s">
        <v>324</v>
      </c>
      <c r="C98" s="332" t="str">
        <f>$C$31</f>
        <v>tCO2 over lifetime</v>
      </c>
      <c r="D98" s="274">
        <f>SUM(D95:D97)</f>
        <v>5801.0280060761897</v>
      </c>
    </row>
    <row r="99" spans="1:4" ht="15.75" customHeight="1" x14ac:dyDescent="0.25"/>
    <row r="100" spans="1:4" ht="15.75" customHeight="1" x14ac:dyDescent="0.25">
      <c r="A100" s="254" t="s">
        <v>709</v>
      </c>
      <c r="D100" s="375">
        <f>D97/D98</f>
        <v>1.9731675123806771E-2</v>
      </c>
    </row>
    <row r="101" spans="1:4" ht="15.75" customHeight="1" x14ac:dyDescent="0.25"/>
    <row r="102" spans="1:4" ht="15.75" customHeight="1" x14ac:dyDescent="0.3">
      <c r="A102" s="398" t="s">
        <v>730</v>
      </c>
    </row>
    <row r="103" spans="1:4" ht="15.75" customHeight="1" thickBot="1" x14ac:dyDescent="0.3"/>
    <row r="104" spans="1:4" ht="15.75" customHeight="1" x14ac:dyDescent="0.3">
      <c r="A104" s="393" t="s">
        <v>728</v>
      </c>
      <c r="B104" s="394" t="str">
        <f>C19</f>
        <v>kWh/m2/yr</v>
      </c>
    </row>
    <row r="105" spans="1:4" ht="15.75" customHeight="1" x14ac:dyDescent="0.3">
      <c r="A105" s="395" t="s">
        <v>172</v>
      </c>
      <c r="B105" s="265"/>
    </row>
    <row r="106" spans="1:4" ht="15.75" customHeight="1" x14ac:dyDescent="0.25">
      <c r="A106" s="260" t="s">
        <v>726</v>
      </c>
      <c r="B106" s="265">
        <f>D19</f>
        <v>217</v>
      </c>
    </row>
    <row r="107" spans="1:4" ht="15.75" customHeight="1" x14ac:dyDescent="0.25">
      <c r="A107" s="260" t="s">
        <v>727</v>
      </c>
      <c r="B107" s="265">
        <f>D20</f>
        <v>0</v>
      </c>
    </row>
    <row r="108" spans="1:4" ht="15.75" customHeight="1" x14ac:dyDescent="0.3">
      <c r="A108" s="396" t="s">
        <v>249</v>
      </c>
      <c r="B108" s="265"/>
    </row>
    <row r="109" spans="1:4" ht="15.75" customHeight="1" x14ac:dyDescent="0.25">
      <c r="A109" s="260" t="s">
        <v>726</v>
      </c>
      <c r="B109" s="265">
        <f>D39</f>
        <v>168</v>
      </c>
    </row>
    <row r="110" spans="1:4" ht="15.75" customHeight="1" x14ac:dyDescent="0.25">
      <c r="A110" s="260" t="s">
        <v>727</v>
      </c>
      <c r="B110" s="265">
        <f>D40</f>
        <v>0</v>
      </c>
    </row>
    <row r="111" spans="1:4" ht="15.75" customHeight="1" x14ac:dyDescent="0.3">
      <c r="A111" s="396" t="s">
        <v>250</v>
      </c>
      <c r="B111" s="265"/>
    </row>
    <row r="112" spans="1:4" ht="15.75" customHeight="1" x14ac:dyDescent="0.25">
      <c r="A112" s="260" t="s">
        <v>726</v>
      </c>
      <c r="B112" s="265">
        <f>D59</f>
        <v>129</v>
      </c>
    </row>
    <row r="113" spans="1:2" ht="15.75" customHeight="1" x14ac:dyDescent="0.25">
      <c r="A113" s="260" t="s">
        <v>727</v>
      </c>
      <c r="B113" s="265">
        <f>D60</f>
        <v>0</v>
      </c>
    </row>
    <row r="114" spans="1:2" ht="15.75" customHeight="1" x14ac:dyDescent="0.3">
      <c r="A114" s="396" t="s">
        <v>731</v>
      </c>
      <c r="B114" s="265"/>
    </row>
    <row r="115" spans="1:2" ht="15.75" customHeight="1" x14ac:dyDescent="0.25">
      <c r="A115" s="260" t="s">
        <v>726</v>
      </c>
      <c r="B115" s="265">
        <f>AVERAGE(B109,B112)</f>
        <v>148.5</v>
      </c>
    </row>
    <row r="116" spans="1:2" ht="15.75" customHeight="1" thickBot="1" x14ac:dyDescent="0.3">
      <c r="A116" s="261" t="s">
        <v>727</v>
      </c>
      <c r="B116" s="397">
        <f>AVERAGE(B110,B113)</f>
        <v>0</v>
      </c>
    </row>
    <row r="117" spans="1:2" ht="15.75" customHeight="1" thickBot="1" x14ac:dyDescent="0.3"/>
    <row r="118" spans="1:2" ht="15.75" customHeight="1" x14ac:dyDescent="0.3">
      <c r="A118" s="393" t="s">
        <v>729</v>
      </c>
      <c r="B118" s="394" t="s">
        <v>725</v>
      </c>
    </row>
    <row r="119" spans="1:2" ht="15.75" customHeight="1" x14ac:dyDescent="0.3">
      <c r="A119" s="395" t="s">
        <v>172</v>
      </c>
      <c r="B119" s="265"/>
    </row>
    <row r="120" spans="1:2" ht="15.75" customHeight="1" x14ac:dyDescent="0.25">
      <c r="A120" s="260" t="s">
        <v>726</v>
      </c>
      <c r="B120" s="259">
        <f>B106*D14/1000</f>
        <v>3038</v>
      </c>
    </row>
    <row r="121" spans="1:2" ht="15.75" customHeight="1" x14ac:dyDescent="0.25">
      <c r="A121" s="260" t="s">
        <v>727</v>
      </c>
      <c r="B121" s="259">
        <f>B107*D14/1000</f>
        <v>0</v>
      </c>
    </row>
    <row r="122" spans="1:2" ht="15.75" customHeight="1" x14ac:dyDescent="0.3">
      <c r="A122" s="396" t="s">
        <v>731</v>
      </c>
      <c r="B122" s="265"/>
    </row>
    <row r="123" spans="1:2" ht="15.75" customHeight="1" x14ac:dyDescent="0.25">
      <c r="A123" s="260" t="s">
        <v>726</v>
      </c>
      <c r="B123" s="259">
        <f>B115*D14/1000</f>
        <v>2079</v>
      </c>
    </row>
    <row r="124" spans="1:2" ht="15.75" customHeight="1" thickBot="1" x14ac:dyDescent="0.3">
      <c r="A124" s="261" t="s">
        <v>727</v>
      </c>
      <c r="B124" s="262">
        <f>B116*D14/1000</f>
        <v>0</v>
      </c>
    </row>
    <row r="125" spans="1:2" ht="15.75" customHeight="1" thickBot="1" x14ac:dyDescent="0.3">
      <c r="B125" s="392"/>
    </row>
    <row r="126" spans="1:2" ht="15.75" customHeight="1" x14ac:dyDescent="0.3">
      <c r="A126" s="393" t="s">
        <v>732</v>
      </c>
      <c r="B126" s="394" t="s">
        <v>725</v>
      </c>
    </row>
    <row r="127" spans="1:2" ht="15.75" customHeight="1" x14ac:dyDescent="0.3">
      <c r="A127" s="396" t="s">
        <v>731</v>
      </c>
      <c r="B127" s="399"/>
    </row>
    <row r="128" spans="1:2" ht="15.75" customHeight="1" x14ac:dyDescent="0.25">
      <c r="A128" s="260" t="s">
        <v>726</v>
      </c>
      <c r="B128" s="259">
        <f>B120-B123</f>
        <v>959</v>
      </c>
    </row>
    <row r="129" spans="1:2" ht="15.75" customHeight="1" thickBot="1" x14ac:dyDescent="0.3">
      <c r="A129" s="261" t="s">
        <v>727</v>
      </c>
      <c r="B129" s="262">
        <f>B121-B124</f>
        <v>0</v>
      </c>
    </row>
    <row r="130" spans="1:2" ht="15.75" customHeight="1" x14ac:dyDescent="0.25"/>
    <row r="131" spans="1:2" ht="15.75" customHeight="1" x14ac:dyDescent="0.25"/>
    <row r="132" spans="1:2" ht="15.75" customHeight="1" x14ac:dyDescent="0.25"/>
    <row r="133" spans="1:2" ht="15.75" customHeight="1" x14ac:dyDescent="0.25"/>
    <row r="134" spans="1:2" ht="15.75" customHeight="1" x14ac:dyDescent="0.25"/>
    <row r="135" spans="1:2" ht="15.75" customHeight="1" x14ac:dyDescent="0.25"/>
    <row r="136" spans="1:2" ht="15.75" customHeight="1" x14ac:dyDescent="0.25"/>
    <row r="137" spans="1:2" ht="15.75" customHeight="1" x14ac:dyDescent="0.25"/>
    <row r="138" spans="1:2" ht="15.75" customHeight="1" x14ac:dyDescent="0.25"/>
    <row r="139" spans="1:2" ht="15.75" customHeight="1" x14ac:dyDescent="0.25"/>
    <row r="140" spans="1:2" ht="15.75" customHeight="1" x14ac:dyDescent="0.25"/>
    <row r="141" spans="1:2" ht="15.75" customHeight="1" x14ac:dyDescent="0.25"/>
    <row r="142" spans="1:2" ht="15.75" customHeight="1" x14ac:dyDescent="0.25"/>
    <row r="143" spans="1:2" ht="15.75" customHeight="1" x14ac:dyDescent="0.25"/>
    <row r="144" spans="1:2"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row r="1010" ht="15.75" customHeight="1" x14ac:dyDescent="0.25"/>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10"/>
  <sheetViews>
    <sheetView topLeftCell="A115" workbookViewId="0">
      <selection activeCell="C119" sqref="C119"/>
    </sheetView>
  </sheetViews>
  <sheetFormatPr baseColWidth="10" defaultColWidth="12.58203125" defaultRowHeight="12.5" x14ac:dyDescent="0.25"/>
  <cols>
    <col min="1" max="1" width="43.58203125" style="254" customWidth="1"/>
    <col min="2" max="2" width="22.58203125" style="254" customWidth="1"/>
    <col min="3" max="3" width="17" style="327" customWidth="1"/>
    <col min="4" max="4" width="16" style="254" customWidth="1"/>
    <col min="5" max="26" width="9.33203125" style="254" customWidth="1"/>
    <col min="27" max="16384" width="12.58203125" style="254"/>
  </cols>
  <sheetData>
    <row r="1" spans="1:4" ht="13" x14ac:dyDescent="0.3">
      <c r="A1" s="253" t="s">
        <v>612</v>
      </c>
    </row>
    <row r="3" spans="1:4" ht="13.5" thickBot="1" x14ac:dyDescent="0.35">
      <c r="A3" s="253" t="s">
        <v>601</v>
      </c>
      <c r="B3" s="255"/>
    </row>
    <row r="4" spans="1:4" x14ac:dyDescent="0.25">
      <c r="A4" s="256" t="s">
        <v>603</v>
      </c>
      <c r="B4" s="257">
        <f>D34</f>
        <v>346089.33411447139</v>
      </c>
    </row>
    <row r="5" spans="1:4" x14ac:dyDescent="0.25">
      <c r="A5" s="258" t="s">
        <v>604</v>
      </c>
      <c r="B5" s="259">
        <f>D54</f>
        <v>261838.14355789317</v>
      </c>
    </row>
    <row r="6" spans="1:4" x14ac:dyDescent="0.25">
      <c r="A6" s="260" t="s">
        <v>605</v>
      </c>
      <c r="B6" s="259">
        <f>D74</f>
        <v>237098.04355789314</v>
      </c>
    </row>
    <row r="7" spans="1:4" x14ac:dyDescent="0.25">
      <c r="A7" s="260" t="s">
        <v>308</v>
      </c>
      <c r="B7" s="259">
        <f>D82</f>
        <v>84251.190556578222</v>
      </c>
    </row>
    <row r="8" spans="1:4" x14ac:dyDescent="0.25">
      <c r="A8" s="260" t="s">
        <v>315</v>
      </c>
      <c r="B8" s="259">
        <f>D90</f>
        <v>108991.29055657823</v>
      </c>
    </row>
    <row r="9" spans="1:4" ht="13" thickBot="1" x14ac:dyDescent="0.3">
      <c r="A9" s="261" t="s">
        <v>322</v>
      </c>
      <c r="B9" s="262">
        <f>D98</f>
        <v>96621.240556578225</v>
      </c>
    </row>
    <row r="10" spans="1:4" ht="13" thickBot="1" x14ac:dyDescent="0.3"/>
    <row r="11" spans="1:4" ht="13" x14ac:dyDescent="0.3">
      <c r="A11" s="328" t="s">
        <v>610</v>
      </c>
      <c r="B11" s="326" t="s">
        <v>253</v>
      </c>
      <c r="C11" s="326" t="s">
        <v>254</v>
      </c>
      <c r="D11" s="263" t="s">
        <v>255</v>
      </c>
    </row>
    <row r="12" spans="1:4" ht="13" x14ac:dyDescent="0.3">
      <c r="A12" s="264" t="str">
        <f>+'Input_Area and Costs'!E3</f>
        <v>Tunisia</v>
      </c>
      <c r="B12" s="329"/>
      <c r="C12" s="329"/>
      <c r="D12" s="265"/>
    </row>
    <row r="13" spans="1:4" x14ac:dyDescent="0.25">
      <c r="A13" s="258" t="s">
        <v>256</v>
      </c>
      <c r="B13" s="329"/>
      <c r="C13" s="329"/>
      <c r="D13" s="266" t="str">
        <f>+'Input_Area and Costs'!A4</f>
        <v>Residential</v>
      </c>
    </row>
    <row r="14" spans="1:4" x14ac:dyDescent="0.25">
      <c r="A14" s="258" t="s">
        <v>247</v>
      </c>
      <c r="B14" s="329" t="s">
        <v>257</v>
      </c>
      <c r="C14" s="329" t="s">
        <v>251</v>
      </c>
      <c r="D14" s="267">
        <f>+'Input_Area and Costs'!E4</f>
        <v>340000</v>
      </c>
    </row>
    <row r="15" spans="1:4" x14ac:dyDescent="0.25">
      <c r="A15" s="258" t="s">
        <v>258</v>
      </c>
      <c r="B15" s="329" t="s">
        <v>259</v>
      </c>
      <c r="C15" s="329" t="s">
        <v>260</v>
      </c>
      <c r="D15" s="267">
        <f>'General Inputs&amp;Outputs'!$C$12</f>
        <v>15</v>
      </c>
    </row>
    <row r="16" spans="1:4" x14ac:dyDescent="0.25">
      <c r="A16" s="254" t="s">
        <v>172</v>
      </c>
      <c r="B16" s="329"/>
      <c r="C16" s="329"/>
      <c r="D16" s="265"/>
    </row>
    <row r="17" spans="1:4" ht="13" x14ac:dyDescent="0.3">
      <c r="A17" s="264" t="s">
        <v>285</v>
      </c>
      <c r="B17" s="329"/>
      <c r="C17" s="329"/>
      <c r="D17" s="265"/>
    </row>
    <row r="18" spans="1:4" ht="13" x14ac:dyDescent="0.3">
      <c r="A18" s="264" t="s">
        <v>261</v>
      </c>
      <c r="B18" s="329"/>
      <c r="C18" s="333"/>
      <c r="D18" s="265"/>
    </row>
    <row r="19" spans="1:4" ht="13" x14ac:dyDescent="0.3">
      <c r="A19" s="268" t="s">
        <v>262</v>
      </c>
      <c r="B19" s="329" t="s">
        <v>263</v>
      </c>
      <c r="C19" s="329" t="s">
        <v>264</v>
      </c>
      <c r="D19" s="266">
        <f>+'Energy use'!B299-D20</f>
        <v>69</v>
      </c>
    </row>
    <row r="20" spans="1:4" ht="13" x14ac:dyDescent="0.3">
      <c r="A20" s="268" t="s">
        <v>265</v>
      </c>
      <c r="B20" s="329" t="s">
        <v>266</v>
      </c>
      <c r="C20" s="329" t="s">
        <v>264</v>
      </c>
      <c r="D20" s="266">
        <f>+'Energy use'!B305+'Energy use'!B300</f>
        <v>60</v>
      </c>
    </row>
    <row r="21" spans="1:4" ht="13" x14ac:dyDescent="0.3">
      <c r="A21" s="264" t="s">
        <v>267</v>
      </c>
      <c r="B21" s="329"/>
      <c r="C21" s="333"/>
      <c r="D21" s="265"/>
    </row>
    <row r="22" spans="1:4" ht="13" x14ac:dyDescent="0.3">
      <c r="A22" s="268" t="str">
        <f t="shared" ref="A22:A23" si="0">A19</f>
        <v>Electricity</v>
      </c>
      <c r="B22" s="329" t="s">
        <v>268</v>
      </c>
      <c r="C22" s="329" t="s">
        <v>269</v>
      </c>
      <c r="D22" s="269">
        <f>+'Input_Energy Context'!E12</f>
        <v>0.40406164852080534</v>
      </c>
    </row>
    <row r="23" spans="1:4" ht="13" x14ac:dyDescent="0.3">
      <c r="A23" s="268" t="str">
        <f t="shared" si="0"/>
        <v>Natural gas</v>
      </c>
      <c r="B23" s="329" t="s">
        <v>270</v>
      </c>
      <c r="C23" s="329" t="s">
        <v>269</v>
      </c>
      <c r="D23" s="266">
        <f>+'Input_Energy Context'!B13</f>
        <v>0.23100000000000001</v>
      </c>
    </row>
    <row r="24" spans="1:4" ht="13" x14ac:dyDescent="0.3">
      <c r="A24" s="264" t="s">
        <v>271</v>
      </c>
      <c r="B24" s="329"/>
      <c r="C24" s="333"/>
      <c r="D24" s="265"/>
    </row>
    <row r="25" spans="1:4" ht="13" x14ac:dyDescent="0.3">
      <c r="A25" s="268" t="str">
        <f t="shared" ref="A25:A26" si="1">A22</f>
        <v>Electricity</v>
      </c>
      <c r="B25" s="329" t="s">
        <v>272</v>
      </c>
      <c r="C25" s="329" t="s">
        <v>273</v>
      </c>
      <c r="D25" s="270">
        <f t="shared" ref="D25:D26" si="2">+D19*D22</f>
        <v>27.880253747935569</v>
      </c>
    </row>
    <row r="26" spans="1:4" ht="13" x14ac:dyDescent="0.3">
      <c r="A26" s="268" t="str">
        <f t="shared" si="1"/>
        <v>Natural gas</v>
      </c>
      <c r="B26" s="329" t="s">
        <v>274</v>
      </c>
      <c r="C26" s="329" t="s">
        <v>273</v>
      </c>
      <c r="D26" s="270">
        <f t="shared" si="2"/>
        <v>13.860000000000001</v>
      </c>
    </row>
    <row r="27" spans="1:4" ht="13" x14ac:dyDescent="0.3">
      <c r="A27" s="268" t="s">
        <v>275</v>
      </c>
      <c r="B27" s="329" t="s">
        <v>276</v>
      </c>
      <c r="C27" s="329" t="s">
        <v>273</v>
      </c>
      <c r="D27" s="270">
        <f>'Input_LC Materials'!E21/'Input_LC Materials'!C5</f>
        <v>391.80599999999993</v>
      </c>
    </row>
    <row r="28" spans="1:4" ht="13" x14ac:dyDescent="0.3">
      <c r="A28" s="264" t="s">
        <v>277</v>
      </c>
      <c r="B28" s="329"/>
      <c r="C28" s="333"/>
      <c r="D28" s="265"/>
    </row>
    <row r="29" spans="1:4" ht="13" x14ac:dyDescent="0.3">
      <c r="A29" s="268" t="str">
        <f t="shared" ref="A29:A30" si="3">A25</f>
        <v>Electricity</v>
      </c>
      <c r="B29" s="329" t="s">
        <v>278</v>
      </c>
      <c r="C29" s="329" t="s">
        <v>279</v>
      </c>
      <c r="D29" s="267">
        <f>+D25*D14/1000</f>
        <v>9479.2862742980942</v>
      </c>
    </row>
    <row r="30" spans="1:4" ht="13" x14ac:dyDescent="0.3">
      <c r="A30" s="268" t="str">
        <f t="shared" si="3"/>
        <v>Natural gas</v>
      </c>
      <c r="B30" s="329" t="s">
        <v>280</v>
      </c>
      <c r="C30" s="329" t="s">
        <v>279</v>
      </c>
      <c r="D30" s="267">
        <f>+D26*D14/1000</f>
        <v>4712.3999999999996</v>
      </c>
    </row>
    <row r="31" spans="1:4" ht="13" x14ac:dyDescent="0.3">
      <c r="A31" s="268" t="str">
        <f>$A$25</f>
        <v>Electricity</v>
      </c>
      <c r="B31" s="329" t="s">
        <v>281</v>
      </c>
      <c r="C31" s="329" t="s">
        <v>577</v>
      </c>
      <c r="D31" s="267">
        <f t="shared" ref="D31:D32" si="4">D29*$D$15</f>
        <v>142189.29411447141</v>
      </c>
    </row>
    <row r="32" spans="1:4" ht="13" x14ac:dyDescent="0.3">
      <c r="A32" s="268" t="str">
        <f>$A$26</f>
        <v>Natural gas</v>
      </c>
      <c r="B32" s="329" t="s">
        <v>282</v>
      </c>
      <c r="C32" s="329" t="s">
        <v>577</v>
      </c>
      <c r="D32" s="267">
        <f t="shared" si="4"/>
        <v>70686</v>
      </c>
    </row>
    <row r="33" spans="1:4" ht="13" x14ac:dyDescent="0.3">
      <c r="A33" s="268" t="s">
        <v>275</v>
      </c>
      <c r="B33" s="329" t="s">
        <v>283</v>
      </c>
      <c r="C33" s="329" t="s">
        <v>577</v>
      </c>
      <c r="D33" s="267">
        <f>+D27*D14/1000</f>
        <v>133214.03999999998</v>
      </c>
    </row>
    <row r="34" spans="1:4" ht="13.5" thickBot="1" x14ac:dyDescent="0.35">
      <c r="A34" s="325" t="s">
        <v>284</v>
      </c>
      <c r="B34" s="332"/>
      <c r="C34" s="332" t="s">
        <v>577</v>
      </c>
      <c r="D34" s="274">
        <f>SUM(D31:D33)</f>
        <v>346089.33411447139</v>
      </c>
    </row>
    <row r="35" spans="1:4" ht="13" thickBot="1" x14ac:dyDescent="0.3">
      <c r="B35" s="330"/>
      <c r="C35" s="330"/>
    </row>
    <row r="36" spans="1:4" ht="13" x14ac:dyDescent="0.3">
      <c r="A36" s="328" t="s">
        <v>249</v>
      </c>
      <c r="B36" s="326"/>
      <c r="C36" s="326"/>
      <c r="D36" s="263"/>
    </row>
    <row r="37" spans="1:4" ht="13" x14ac:dyDescent="0.3">
      <c r="A37" s="264" t="s">
        <v>285</v>
      </c>
      <c r="B37" s="329"/>
      <c r="C37" s="329"/>
      <c r="D37" s="265"/>
    </row>
    <row r="38" spans="1:4" ht="13" x14ac:dyDescent="0.3">
      <c r="A38" s="264" t="s">
        <v>261</v>
      </c>
      <c r="B38" s="329"/>
      <c r="C38" s="333"/>
      <c r="D38" s="265"/>
    </row>
    <row r="39" spans="1:4" ht="13" x14ac:dyDescent="0.3">
      <c r="A39" s="268" t="s">
        <v>262</v>
      </c>
      <c r="B39" s="329" t="s">
        <v>286</v>
      </c>
      <c r="C39" s="329" t="s">
        <v>264</v>
      </c>
      <c r="D39" s="266">
        <f>+'Energy use'!C299-D40</f>
        <v>48</v>
      </c>
    </row>
    <row r="40" spans="1:4" ht="13" x14ac:dyDescent="0.3">
      <c r="A40" s="268" t="s">
        <v>265</v>
      </c>
      <c r="B40" s="329" t="s">
        <v>287</v>
      </c>
      <c r="C40" s="329" t="s">
        <v>264</v>
      </c>
      <c r="D40" s="266">
        <f>+'Energy use'!C305+'Energy use'!C300</f>
        <v>50</v>
      </c>
    </row>
    <row r="41" spans="1:4" ht="13" x14ac:dyDescent="0.3">
      <c r="A41" s="264" t="s">
        <v>267</v>
      </c>
      <c r="B41" s="329"/>
      <c r="C41" s="329"/>
      <c r="D41" s="265"/>
    </row>
    <row r="42" spans="1:4" ht="13" x14ac:dyDescent="0.3">
      <c r="A42" s="268" t="str">
        <f t="shared" ref="A42:A43" si="5">A39</f>
        <v>Electricity</v>
      </c>
      <c r="B42" s="329" t="s">
        <v>268</v>
      </c>
      <c r="C42" s="329" t="s">
        <v>269</v>
      </c>
      <c r="D42" s="269">
        <f t="shared" ref="D42:D43" si="6">+D22</f>
        <v>0.40406164852080534</v>
      </c>
    </row>
    <row r="43" spans="1:4" ht="13" x14ac:dyDescent="0.3">
      <c r="A43" s="268" t="str">
        <f t="shared" si="5"/>
        <v>Natural gas</v>
      </c>
      <c r="B43" s="329" t="s">
        <v>270</v>
      </c>
      <c r="C43" s="329" t="s">
        <v>269</v>
      </c>
      <c r="D43" s="266">
        <f t="shared" si="6"/>
        <v>0.23100000000000001</v>
      </c>
    </row>
    <row r="44" spans="1:4" ht="13" x14ac:dyDescent="0.3">
      <c r="A44" s="264" t="s">
        <v>271</v>
      </c>
      <c r="B44" s="329"/>
      <c r="C44" s="329"/>
      <c r="D44" s="265"/>
    </row>
    <row r="45" spans="1:4" ht="13" x14ac:dyDescent="0.3">
      <c r="A45" s="268" t="str">
        <f t="shared" ref="A45:A46" si="7">A42</f>
        <v>Electricity</v>
      </c>
      <c r="B45" s="329" t="s">
        <v>288</v>
      </c>
      <c r="C45" s="329" t="s">
        <v>273</v>
      </c>
      <c r="D45" s="267">
        <f t="shared" ref="D45:D46" si="8">+D39*D42</f>
        <v>19.394959128998657</v>
      </c>
    </row>
    <row r="46" spans="1:4" ht="13" x14ac:dyDescent="0.3">
      <c r="A46" s="268" t="str">
        <f t="shared" si="7"/>
        <v>Natural gas</v>
      </c>
      <c r="B46" s="329" t="s">
        <v>289</v>
      </c>
      <c r="C46" s="329" t="s">
        <v>273</v>
      </c>
      <c r="D46" s="270">
        <f t="shared" si="8"/>
        <v>11.55</v>
      </c>
    </row>
    <row r="47" spans="1:4" ht="13" x14ac:dyDescent="0.3">
      <c r="A47" s="268" t="s">
        <v>275</v>
      </c>
      <c r="B47" s="329" t="s">
        <v>290</v>
      </c>
      <c r="C47" s="329" t="s">
        <v>273</v>
      </c>
      <c r="D47" s="270">
        <f>D27-'Input_LC Materials'!E21</f>
        <v>305.93779999999998</v>
      </c>
    </row>
    <row r="48" spans="1:4" ht="13" x14ac:dyDescent="0.3">
      <c r="A48" s="264" t="s">
        <v>277</v>
      </c>
      <c r="B48" s="329"/>
      <c r="C48" s="329"/>
      <c r="D48" s="265"/>
    </row>
    <row r="49" spans="1:5" ht="13" x14ac:dyDescent="0.3">
      <c r="A49" s="268" t="str">
        <f t="shared" ref="A49:A50" si="9">A45</f>
        <v>Electricity</v>
      </c>
      <c r="B49" s="329" t="s">
        <v>291</v>
      </c>
      <c r="C49" s="329" t="s">
        <v>279</v>
      </c>
      <c r="D49" s="267">
        <f>+D45*D14/1000</f>
        <v>6594.2861038595438</v>
      </c>
    </row>
    <row r="50" spans="1:5" ht="13" x14ac:dyDescent="0.3">
      <c r="A50" s="268" t="str">
        <f t="shared" si="9"/>
        <v>Natural gas</v>
      </c>
      <c r="B50" s="329" t="s">
        <v>292</v>
      </c>
      <c r="C50" s="329" t="s">
        <v>279</v>
      </c>
      <c r="D50" s="267">
        <f>+D46*D14/1000</f>
        <v>3927.0000000000005</v>
      </c>
    </row>
    <row r="51" spans="1:5" ht="13" x14ac:dyDescent="0.3">
      <c r="A51" s="268" t="str">
        <f>$A$45</f>
        <v>Electricity</v>
      </c>
      <c r="B51" s="329" t="s">
        <v>293</v>
      </c>
      <c r="C51" s="329" t="str">
        <f>$C$31</f>
        <v>tCO2 over lifetime</v>
      </c>
      <c r="D51" s="267">
        <f t="shared" ref="D51:D52" si="10">D49*$D$15</f>
        <v>98914.291557893157</v>
      </c>
    </row>
    <row r="52" spans="1:5" ht="13" x14ac:dyDescent="0.3">
      <c r="A52" s="268" t="str">
        <f>$A$46</f>
        <v>Natural gas</v>
      </c>
      <c r="B52" s="329" t="s">
        <v>294</v>
      </c>
      <c r="C52" s="329" t="str">
        <f>$C$31</f>
        <v>tCO2 over lifetime</v>
      </c>
      <c r="D52" s="267">
        <f t="shared" si="10"/>
        <v>58905.000000000007</v>
      </c>
    </row>
    <row r="53" spans="1:5" ht="13" x14ac:dyDescent="0.3">
      <c r="A53" s="268" t="s">
        <v>275</v>
      </c>
      <c r="B53" s="329" t="s">
        <v>295</v>
      </c>
      <c r="C53" s="329" t="str">
        <f>C$33</f>
        <v>tCO2 over lifetime</v>
      </c>
      <c r="D53" s="267">
        <f>+D47*D14/1000</f>
        <v>104018.852</v>
      </c>
    </row>
    <row r="54" spans="1:5" ht="13.5" thickBot="1" x14ac:dyDescent="0.35">
      <c r="A54" s="325" t="s">
        <v>284</v>
      </c>
      <c r="B54" s="332"/>
      <c r="C54" s="332" t="str">
        <f>C$34</f>
        <v>tCO2 over lifetime</v>
      </c>
      <c r="D54" s="274">
        <f>SUM(D51:D53)</f>
        <v>261838.14355789317</v>
      </c>
      <c r="E54" s="255"/>
    </row>
    <row r="55" spans="1:5" ht="13" thickBot="1" x14ac:dyDescent="0.3">
      <c r="A55" s="255"/>
      <c r="B55" s="330"/>
      <c r="C55" s="330"/>
      <c r="D55" s="255"/>
      <c r="E55" s="255"/>
    </row>
    <row r="56" spans="1:5" ht="13" x14ac:dyDescent="0.3">
      <c r="A56" s="328" t="s">
        <v>250</v>
      </c>
      <c r="B56" s="326"/>
      <c r="C56" s="326"/>
      <c r="D56" s="263"/>
      <c r="E56" s="255"/>
    </row>
    <row r="57" spans="1:5" ht="13" x14ac:dyDescent="0.3">
      <c r="A57" s="264" t="s">
        <v>285</v>
      </c>
      <c r="B57" s="329"/>
      <c r="C57" s="329"/>
      <c r="D57" s="265"/>
      <c r="E57" s="255"/>
    </row>
    <row r="58" spans="1:5" ht="13" x14ac:dyDescent="0.3">
      <c r="A58" s="264" t="s">
        <v>261</v>
      </c>
      <c r="B58" s="329"/>
      <c r="C58" s="329"/>
      <c r="D58" s="265"/>
    </row>
    <row r="59" spans="1:5" ht="13" x14ac:dyDescent="0.3">
      <c r="A59" s="268" t="s">
        <v>262</v>
      </c>
      <c r="B59" s="329" t="s">
        <v>296</v>
      </c>
      <c r="C59" s="329" t="s">
        <v>264</v>
      </c>
      <c r="D59" s="266">
        <f>+'Energy use'!D299-D60</f>
        <v>48</v>
      </c>
    </row>
    <row r="60" spans="1:5" ht="13" x14ac:dyDescent="0.3">
      <c r="A60" s="268" t="s">
        <v>265</v>
      </c>
      <c r="B60" s="329" t="s">
        <v>297</v>
      </c>
      <c r="C60" s="329" t="s">
        <v>264</v>
      </c>
      <c r="D60" s="266">
        <f>+'Energy use'!D305+'Energy use'!D300</f>
        <v>29</v>
      </c>
    </row>
    <row r="61" spans="1:5" ht="13" x14ac:dyDescent="0.3">
      <c r="A61" s="264" t="s">
        <v>267</v>
      </c>
      <c r="B61" s="329"/>
      <c r="C61" s="329"/>
      <c r="D61" s="265"/>
    </row>
    <row r="62" spans="1:5" ht="13" x14ac:dyDescent="0.3">
      <c r="A62" s="268" t="str">
        <f t="shared" ref="A62:A63" si="11">A59</f>
        <v>Electricity</v>
      </c>
      <c r="B62" s="329" t="s">
        <v>268</v>
      </c>
      <c r="C62" s="329" t="s">
        <v>269</v>
      </c>
      <c r="D62" s="269">
        <f t="shared" ref="D62:D63" si="12">+D42</f>
        <v>0.40406164852080534</v>
      </c>
    </row>
    <row r="63" spans="1:5" ht="13" x14ac:dyDescent="0.3">
      <c r="A63" s="268" t="str">
        <f t="shared" si="11"/>
        <v>Natural gas</v>
      </c>
      <c r="B63" s="329" t="s">
        <v>270</v>
      </c>
      <c r="C63" s="329" t="s">
        <v>269</v>
      </c>
      <c r="D63" s="266">
        <f t="shared" si="12"/>
        <v>0.23100000000000001</v>
      </c>
    </row>
    <row r="64" spans="1:5" ht="13" x14ac:dyDescent="0.3">
      <c r="A64" s="264" t="s">
        <v>271</v>
      </c>
      <c r="B64" s="329"/>
      <c r="C64" s="329"/>
      <c r="D64" s="265"/>
    </row>
    <row r="65" spans="1:4" ht="13" x14ac:dyDescent="0.3">
      <c r="A65" s="268" t="str">
        <f t="shared" ref="A65:A66" si="13">A62</f>
        <v>Electricity</v>
      </c>
      <c r="B65" s="329" t="s">
        <v>299</v>
      </c>
      <c r="C65" s="329" t="s">
        <v>273</v>
      </c>
      <c r="D65" s="267">
        <f t="shared" ref="D65:D66" si="14">+D59*D62</f>
        <v>19.394959128998657</v>
      </c>
    </row>
    <row r="66" spans="1:4" ht="13" x14ac:dyDescent="0.3">
      <c r="A66" s="268" t="str">
        <f t="shared" si="13"/>
        <v>Natural gas</v>
      </c>
      <c r="B66" s="329" t="s">
        <v>300</v>
      </c>
      <c r="C66" s="329" t="s">
        <v>273</v>
      </c>
      <c r="D66" s="270">
        <f t="shared" si="14"/>
        <v>6.6990000000000007</v>
      </c>
    </row>
    <row r="67" spans="1:4" ht="13" x14ac:dyDescent="0.3">
      <c r="A67" s="268" t="s">
        <v>275</v>
      </c>
      <c r="B67" s="329" t="s">
        <v>301</v>
      </c>
      <c r="C67" s="329" t="s">
        <v>273</v>
      </c>
      <c r="D67" s="270">
        <f>D47</f>
        <v>305.93779999999998</v>
      </c>
    </row>
    <row r="68" spans="1:4" ht="13" x14ac:dyDescent="0.3">
      <c r="A68" s="264" t="s">
        <v>277</v>
      </c>
      <c r="B68" s="329"/>
      <c r="C68" s="329"/>
      <c r="D68" s="265"/>
    </row>
    <row r="69" spans="1:4" ht="13" x14ac:dyDescent="0.3">
      <c r="A69" s="268" t="str">
        <f t="shared" ref="A69:A70" si="15">A65</f>
        <v>Electricity</v>
      </c>
      <c r="B69" s="329" t="s">
        <v>303</v>
      </c>
      <c r="C69" s="329" t="s">
        <v>279</v>
      </c>
      <c r="D69" s="267">
        <f t="shared" ref="D69:D70" si="16">+D65*$D$14/1000</f>
        <v>6594.2861038595438</v>
      </c>
    </row>
    <row r="70" spans="1:4" ht="13" x14ac:dyDescent="0.3">
      <c r="A70" s="268" t="str">
        <f t="shared" si="15"/>
        <v>Natural gas</v>
      </c>
      <c r="B70" s="329" t="s">
        <v>304</v>
      </c>
      <c r="C70" s="329" t="s">
        <v>279</v>
      </c>
      <c r="D70" s="267">
        <f t="shared" si="16"/>
        <v>2277.6600000000003</v>
      </c>
    </row>
    <row r="71" spans="1:4" ht="13" x14ac:dyDescent="0.3">
      <c r="A71" s="268" t="str">
        <f>$A$45</f>
        <v>Electricity</v>
      </c>
      <c r="B71" s="329" t="s">
        <v>305</v>
      </c>
      <c r="C71" s="329" t="str">
        <f>$C$31</f>
        <v>tCO2 over lifetime</v>
      </c>
      <c r="D71" s="267">
        <f t="shared" ref="D71:D72" si="17">D69*$D$15</f>
        <v>98914.291557893157</v>
      </c>
    </row>
    <row r="72" spans="1:4" ht="13" x14ac:dyDescent="0.3">
      <c r="A72" s="268" t="str">
        <f>$A$46</f>
        <v>Natural gas</v>
      </c>
      <c r="B72" s="329" t="s">
        <v>306</v>
      </c>
      <c r="C72" s="329" t="str">
        <f>$C$31</f>
        <v>tCO2 over lifetime</v>
      </c>
      <c r="D72" s="267">
        <f t="shared" si="17"/>
        <v>34164.9</v>
      </c>
    </row>
    <row r="73" spans="1:4" ht="13" x14ac:dyDescent="0.3">
      <c r="A73" s="268" t="s">
        <v>275</v>
      </c>
      <c r="B73" s="329" t="s">
        <v>307</v>
      </c>
      <c r="C73" s="329" t="str">
        <f>C$33</f>
        <v>tCO2 over lifetime</v>
      </c>
      <c r="D73" s="267">
        <f>+D67*$D$14/1000</f>
        <v>104018.852</v>
      </c>
    </row>
    <row r="74" spans="1:4" ht="13.5" thickBot="1" x14ac:dyDescent="0.35">
      <c r="A74" s="325" t="s">
        <v>284</v>
      </c>
      <c r="B74" s="332"/>
      <c r="C74" s="332" t="str">
        <f>C$34</f>
        <v>tCO2 over lifetime</v>
      </c>
      <c r="D74" s="274">
        <f>SUM(D71:D73)</f>
        <v>237098.04355789314</v>
      </c>
    </row>
    <row r="75" spans="1:4" ht="13" thickBot="1" x14ac:dyDescent="0.3">
      <c r="B75" s="330"/>
      <c r="C75" s="330"/>
    </row>
    <row r="76" spans="1:4" ht="13" x14ac:dyDescent="0.3">
      <c r="A76" s="272" t="s">
        <v>326</v>
      </c>
      <c r="B76" s="331"/>
      <c r="C76" s="331"/>
      <c r="D76" s="273"/>
    </row>
    <row r="77" spans="1:4" x14ac:dyDescent="0.25">
      <c r="A77" s="258" t="s">
        <v>262</v>
      </c>
      <c r="B77" s="329" t="s">
        <v>309</v>
      </c>
      <c r="C77" s="334" t="s">
        <v>279</v>
      </c>
      <c r="D77" s="267">
        <f t="shared" ref="D77:D78" si="18">+D29-D49</f>
        <v>2885.0001704385504</v>
      </c>
    </row>
    <row r="78" spans="1:4" x14ac:dyDescent="0.25">
      <c r="A78" s="258" t="s">
        <v>265</v>
      </c>
      <c r="B78" s="329" t="s">
        <v>310</v>
      </c>
      <c r="C78" s="329" t="s">
        <v>279</v>
      </c>
      <c r="D78" s="267">
        <f t="shared" si="18"/>
        <v>785.39999999999918</v>
      </c>
    </row>
    <row r="79" spans="1:4" x14ac:dyDescent="0.25">
      <c r="A79" s="258" t="s">
        <v>262</v>
      </c>
      <c r="B79" s="329" t="s">
        <v>311</v>
      </c>
      <c r="C79" s="329" t="str">
        <f>$C$31</f>
        <v>tCO2 over lifetime</v>
      </c>
      <c r="D79" s="267">
        <f t="shared" ref="D79:D80" si="19">D77*$D$15</f>
        <v>43275.002556578256</v>
      </c>
    </row>
    <row r="80" spans="1:4" x14ac:dyDescent="0.25">
      <c r="A80" s="258" t="s">
        <v>265</v>
      </c>
      <c r="B80" s="329" t="s">
        <v>312</v>
      </c>
      <c r="C80" s="329" t="str">
        <f>$C$31</f>
        <v>tCO2 over lifetime</v>
      </c>
      <c r="D80" s="267">
        <f t="shared" si="19"/>
        <v>11780.999999999987</v>
      </c>
    </row>
    <row r="81" spans="1:4" x14ac:dyDescent="0.25">
      <c r="A81" s="258" t="s">
        <v>275</v>
      </c>
      <c r="B81" s="329" t="s">
        <v>313</v>
      </c>
      <c r="C81" s="329" t="str">
        <f>$C$31</f>
        <v>tCO2 over lifetime</v>
      </c>
      <c r="D81" s="267">
        <f>+D33-D53</f>
        <v>29195.18799999998</v>
      </c>
    </row>
    <row r="82" spans="1:4" ht="13.5" thickBot="1" x14ac:dyDescent="0.35">
      <c r="A82" s="275" t="s">
        <v>284</v>
      </c>
      <c r="B82" s="332" t="s">
        <v>314</v>
      </c>
      <c r="C82" s="332" t="str">
        <f>$C$31</f>
        <v>tCO2 over lifetime</v>
      </c>
      <c r="D82" s="274">
        <f>SUM(D79:D81)</f>
        <v>84251.190556578222</v>
      </c>
    </row>
    <row r="83" spans="1:4" ht="13" thickBot="1" x14ac:dyDescent="0.3">
      <c r="B83" s="330"/>
      <c r="C83" s="330"/>
    </row>
    <row r="84" spans="1:4" ht="13" x14ac:dyDescent="0.3">
      <c r="A84" s="272" t="s">
        <v>315</v>
      </c>
      <c r="B84" s="331"/>
      <c r="C84" s="331"/>
      <c r="D84" s="273"/>
    </row>
    <row r="85" spans="1:4" x14ac:dyDescent="0.25">
      <c r="A85" s="258" t="s">
        <v>262</v>
      </c>
      <c r="B85" s="329" t="s">
        <v>316</v>
      </c>
      <c r="C85" s="329" t="s">
        <v>279</v>
      </c>
      <c r="D85" s="267">
        <f t="shared" ref="D85:D86" si="20">+D29-D69</f>
        <v>2885.0001704385504</v>
      </c>
    </row>
    <row r="86" spans="1:4" x14ac:dyDescent="0.25">
      <c r="A86" s="258" t="s">
        <v>265</v>
      </c>
      <c r="B86" s="329" t="s">
        <v>317</v>
      </c>
      <c r="C86" s="329" t="s">
        <v>279</v>
      </c>
      <c r="D86" s="267">
        <f t="shared" si="20"/>
        <v>2434.7399999999993</v>
      </c>
    </row>
    <row r="87" spans="1:4" x14ac:dyDescent="0.25">
      <c r="A87" s="258" t="s">
        <v>262</v>
      </c>
      <c r="B87" s="329" t="s">
        <v>318</v>
      </c>
      <c r="C87" s="329" t="str">
        <f>$C$31</f>
        <v>tCO2 over lifetime</v>
      </c>
      <c r="D87" s="267">
        <f t="shared" ref="D87:D88" si="21">D85*$D$15</f>
        <v>43275.002556578256</v>
      </c>
    </row>
    <row r="88" spans="1:4" x14ac:dyDescent="0.25">
      <c r="A88" s="258" t="s">
        <v>265</v>
      </c>
      <c r="B88" s="329" t="s">
        <v>319</v>
      </c>
      <c r="C88" s="329" t="str">
        <f>$C$31</f>
        <v>tCO2 over lifetime</v>
      </c>
      <c r="D88" s="267">
        <f t="shared" si="21"/>
        <v>36521.099999999991</v>
      </c>
    </row>
    <row r="89" spans="1:4" x14ac:dyDescent="0.25">
      <c r="A89" s="258" t="s">
        <v>275</v>
      </c>
      <c r="B89" s="329" t="s">
        <v>320</v>
      </c>
      <c r="C89" s="329" t="str">
        <f>$C$31</f>
        <v>tCO2 over lifetime</v>
      </c>
      <c r="D89" s="267">
        <f>+D33-D73</f>
        <v>29195.18799999998</v>
      </c>
    </row>
    <row r="90" spans="1:4" ht="13.5" thickBot="1" x14ac:dyDescent="0.35">
      <c r="A90" s="275" t="s">
        <v>284</v>
      </c>
      <c r="B90" s="332" t="s">
        <v>321</v>
      </c>
      <c r="C90" s="332" t="str">
        <f>$C$31</f>
        <v>tCO2 over lifetime</v>
      </c>
      <c r="D90" s="274">
        <f>SUM(D87:D89)</f>
        <v>108991.29055657823</v>
      </c>
    </row>
    <row r="91" spans="1:4" ht="13" thickBot="1" x14ac:dyDescent="0.3">
      <c r="B91" s="330"/>
      <c r="C91" s="330"/>
    </row>
    <row r="92" spans="1:4" ht="13" x14ac:dyDescent="0.3">
      <c r="A92" s="272" t="s">
        <v>322</v>
      </c>
      <c r="B92" s="331"/>
      <c r="C92" s="331"/>
      <c r="D92" s="273"/>
    </row>
    <row r="93" spans="1:4" x14ac:dyDescent="0.25">
      <c r="A93" s="258" t="s">
        <v>262</v>
      </c>
      <c r="B93" s="329" t="s">
        <v>323</v>
      </c>
      <c r="C93" s="329" t="s">
        <v>279</v>
      </c>
      <c r="D93" s="267">
        <f t="shared" ref="D93:D94" si="22">+AVERAGE(D85,D77)</f>
        <v>2885.0001704385504</v>
      </c>
    </row>
    <row r="94" spans="1:4" x14ac:dyDescent="0.25">
      <c r="A94" s="258" t="s">
        <v>265</v>
      </c>
      <c r="B94" s="329" t="s">
        <v>323</v>
      </c>
      <c r="C94" s="329" t="s">
        <v>279</v>
      </c>
      <c r="D94" s="267">
        <f t="shared" si="22"/>
        <v>1610.0699999999993</v>
      </c>
    </row>
    <row r="95" spans="1:4" x14ac:dyDescent="0.25">
      <c r="A95" s="258" t="s">
        <v>262</v>
      </c>
      <c r="B95" s="329" t="s">
        <v>323</v>
      </c>
      <c r="C95" s="329" t="str">
        <f>$C$31</f>
        <v>tCO2 over lifetime</v>
      </c>
      <c r="D95" s="267">
        <f t="shared" ref="D95:D96" si="23">D93*$D$15</f>
        <v>43275.002556578256</v>
      </c>
    </row>
    <row r="96" spans="1:4" x14ac:dyDescent="0.25">
      <c r="A96" s="258" t="s">
        <v>265</v>
      </c>
      <c r="B96" s="329" t="s">
        <v>323</v>
      </c>
      <c r="C96" s="329" t="str">
        <f>$C$31</f>
        <v>tCO2 over lifetime</v>
      </c>
      <c r="D96" s="267">
        <f t="shared" si="23"/>
        <v>24151.049999999988</v>
      </c>
    </row>
    <row r="97" spans="1:4" x14ac:dyDescent="0.25">
      <c r="A97" s="258" t="s">
        <v>275</v>
      </c>
      <c r="B97" s="329" t="s">
        <v>323</v>
      </c>
      <c r="C97" s="329" t="str">
        <f>$C$31</f>
        <v>tCO2 over lifetime</v>
      </c>
      <c r="D97" s="267">
        <f>+AVERAGE(D89,D81)</f>
        <v>29195.18799999998</v>
      </c>
    </row>
    <row r="98" spans="1:4" ht="13.5" thickBot="1" x14ac:dyDescent="0.35">
      <c r="A98" s="275" t="s">
        <v>284</v>
      </c>
      <c r="B98" s="332" t="s">
        <v>324</v>
      </c>
      <c r="C98" s="332" t="str">
        <f>$C$31</f>
        <v>tCO2 over lifetime</v>
      </c>
      <c r="D98" s="274">
        <f>SUM(D95:D97)</f>
        <v>96621.240556578225</v>
      </c>
    </row>
    <row r="99" spans="1:4" ht="15.75" customHeight="1" x14ac:dyDescent="0.25"/>
    <row r="100" spans="1:4" ht="15.75" customHeight="1" x14ac:dyDescent="0.25">
      <c r="A100" s="254" t="s">
        <v>709</v>
      </c>
      <c r="D100" s="375">
        <f>D97/D98</f>
        <v>0.30216117938274906</v>
      </c>
    </row>
    <row r="101" spans="1:4" ht="15.75" customHeight="1" x14ac:dyDescent="0.25"/>
    <row r="102" spans="1:4" ht="15.75" customHeight="1" x14ac:dyDescent="0.3">
      <c r="A102" s="398" t="s">
        <v>730</v>
      </c>
    </row>
    <row r="103" spans="1:4" ht="15.75" customHeight="1" thickBot="1" x14ac:dyDescent="0.3"/>
    <row r="104" spans="1:4" ht="15.75" customHeight="1" x14ac:dyDescent="0.3">
      <c r="A104" s="393" t="s">
        <v>728</v>
      </c>
      <c r="B104" s="394" t="str">
        <f>C19</f>
        <v>kWh/m2/yr</v>
      </c>
    </row>
    <row r="105" spans="1:4" ht="15.75" customHeight="1" x14ac:dyDescent="0.3">
      <c r="A105" s="395" t="s">
        <v>172</v>
      </c>
      <c r="B105" s="265"/>
    </row>
    <row r="106" spans="1:4" ht="15.75" customHeight="1" x14ac:dyDescent="0.25">
      <c r="A106" s="260" t="s">
        <v>726</v>
      </c>
      <c r="B106" s="265">
        <f>D19</f>
        <v>69</v>
      </c>
    </row>
    <row r="107" spans="1:4" ht="15.75" customHeight="1" x14ac:dyDescent="0.25">
      <c r="A107" s="260" t="s">
        <v>727</v>
      </c>
      <c r="B107" s="265">
        <f>D20</f>
        <v>60</v>
      </c>
    </row>
    <row r="108" spans="1:4" ht="15.75" customHeight="1" x14ac:dyDescent="0.3">
      <c r="A108" s="396" t="s">
        <v>249</v>
      </c>
      <c r="B108" s="265"/>
    </row>
    <row r="109" spans="1:4" ht="15.75" customHeight="1" x14ac:dyDescent="0.25">
      <c r="A109" s="260" t="s">
        <v>726</v>
      </c>
      <c r="B109" s="265">
        <f>D39</f>
        <v>48</v>
      </c>
    </row>
    <row r="110" spans="1:4" ht="15.75" customHeight="1" x14ac:dyDescent="0.25">
      <c r="A110" s="260" t="s">
        <v>727</v>
      </c>
      <c r="B110" s="265">
        <f>D40</f>
        <v>50</v>
      </c>
    </row>
    <row r="111" spans="1:4" ht="15.75" customHeight="1" x14ac:dyDescent="0.3">
      <c r="A111" s="396" t="s">
        <v>250</v>
      </c>
      <c r="B111" s="265"/>
    </row>
    <row r="112" spans="1:4" ht="15.75" customHeight="1" x14ac:dyDescent="0.25">
      <c r="A112" s="260" t="s">
        <v>726</v>
      </c>
      <c r="B112" s="265">
        <f>D59</f>
        <v>48</v>
      </c>
    </row>
    <row r="113" spans="1:2" ht="15.75" customHeight="1" x14ac:dyDescent="0.25">
      <c r="A113" s="260" t="s">
        <v>727</v>
      </c>
      <c r="B113" s="265">
        <f>D60</f>
        <v>29</v>
      </c>
    </row>
    <row r="114" spans="1:2" ht="15.75" customHeight="1" x14ac:dyDescent="0.3">
      <c r="A114" s="396" t="s">
        <v>731</v>
      </c>
      <c r="B114" s="265"/>
    </row>
    <row r="115" spans="1:2" ht="15.75" customHeight="1" x14ac:dyDescent="0.25">
      <c r="A115" s="260" t="s">
        <v>726</v>
      </c>
      <c r="B115" s="265">
        <f>AVERAGE(B109,B112)</f>
        <v>48</v>
      </c>
    </row>
    <row r="116" spans="1:2" ht="15.75" customHeight="1" thickBot="1" x14ac:dyDescent="0.3">
      <c r="A116" s="261" t="s">
        <v>727</v>
      </c>
      <c r="B116" s="397">
        <f>AVERAGE(B110,B113)</f>
        <v>39.5</v>
      </c>
    </row>
    <row r="117" spans="1:2" ht="15.75" customHeight="1" thickBot="1" x14ac:dyDescent="0.3"/>
    <row r="118" spans="1:2" ht="15.75" customHeight="1" x14ac:dyDescent="0.3">
      <c r="A118" s="393" t="s">
        <v>729</v>
      </c>
      <c r="B118" s="394" t="s">
        <v>725</v>
      </c>
    </row>
    <row r="119" spans="1:2" ht="15.75" customHeight="1" x14ac:dyDescent="0.3">
      <c r="A119" s="395" t="s">
        <v>172</v>
      </c>
      <c r="B119" s="265"/>
    </row>
    <row r="120" spans="1:2" ht="15.75" customHeight="1" x14ac:dyDescent="0.25">
      <c r="A120" s="260" t="s">
        <v>726</v>
      </c>
      <c r="B120" s="259">
        <f>B106*D14/1000</f>
        <v>23460</v>
      </c>
    </row>
    <row r="121" spans="1:2" ht="15.75" customHeight="1" x14ac:dyDescent="0.25">
      <c r="A121" s="260" t="s">
        <v>727</v>
      </c>
      <c r="B121" s="259">
        <f>B107*D14/1000</f>
        <v>20400</v>
      </c>
    </row>
    <row r="122" spans="1:2" ht="15.75" customHeight="1" x14ac:dyDescent="0.3">
      <c r="A122" s="396" t="s">
        <v>731</v>
      </c>
      <c r="B122" s="265"/>
    </row>
    <row r="123" spans="1:2" ht="15.75" customHeight="1" x14ac:dyDescent="0.25">
      <c r="A123" s="260" t="s">
        <v>726</v>
      </c>
      <c r="B123" s="259">
        <f>B115*D14/1000</f>
        <v>16320</v>
      </c>
    </row>
    <row r="124" spans="1:2" ht="15.75" customHeight="1" thickBot="1" x14ac:dyDescent="0.3">
      <c r="A124" s="261" t="s">
        <v>727</v>
      </c>
      <c r="B124" s="262">
        <f>B116*D14/1000</f>
        <v>13430</v>
      </c>
    </row>
    <row r="125" spans="1:2" ht="15.75" customHeight="1" thickBot="1" x14ac:dyDescent="0.3">
      <c r="B125" s="392"/>
    </row>
    <row r="126" spans="1:2" ht="15.75" customHeight="1" x14ac:dyDescent="0.3">
      <c r="A126" s="393" t="s">
        <v>732</v>
      </c>
      <c r="B126" s="394" t="s">
        <v>725</v>
      </c>
    </row>
    <row r="127" spans="1:2" ht="15.75" customHeight="1" x14ac:dyDescent="0.3">
      <c r="A127" s="396" t="s">
        <v>731</v>
      </c>
      <c r="B127" s="399"/>
    </row>
    <row r="128" spans="1:2" ht="15.75" customHeight="1" x14ac:dyDescent="0.25">
      <c r="A128" s="260" t="s">
        <v>726</v>
      </c>
      <c r="B128" s="259">
        <f>B120-B123</f>
        <v>7140</v>
      </c>
    </row>
    <row r="129" spans="1:2" ht="15.75" customHeight="1" thickBot="1" x14ac:dyDescent="0.3">
      <c r="A129" s="261" t="s">
        <v>727</v>
      </c>
      <c r="B129" s="262">
        <f>B121-B124</f>
        <v>6970</v>
      </c>
    </row>
    <row r="130" spans="1:2" ht="15.75" customHeight="1" x14ac:dyDescent="0.25"/>
    <row r="131" spans="1:2" ht="15.75" customHeight="1" x14ac:dyDescent="0.25"/>
    <row r="132" spans="1:2" ht="15.75" customHeight="1" x14ac:dyDescent="0.25"/>
    <row r="133" spans="1:2" ht="15.75" customHeight="1" x14ac:dyDescent="0.25"/>
    <row r="134" spans="1:2" ht="15.75" customHeight="1" x14ac:dyDescent="0.25"/>
    <row r="135" spans="1:2" ht="15.75" customHeight="1" x14ac:dyDescent="0.25"/>
    <row r="136" spans="1:2" ht="15.75" customHeight="1" x14ac:dyDescent="0.25"/>
    <row r="137" spans="1:2" ht="15.75" customHeight="1" x14ac:dyDescent="0.25"/>
    <row r="138" spans="1:2" ht="15.75" customHeight="1" x14ac:dyDescent="0.25"/>
    <row r="139" spans="1:2" ht="15.75" customHeight="1" x14ac:dyDescent="0.25"/>
    <row r="140" spans="1:2" ht="15.75" customHeight="1" x14ac:dyDescent="0.25"/>
    <row r="141" spans="1:2" ht="15.75" customHeight="1" x14ac:dyDescent="0.25"/>
    <row r="142" spans="1:2" ht="15.75" customHeight="1" x14ac:dyDescent="0.25"/>
    <row r="143" spans="1:2" ht="15.75" customHeight="1" x14ac:dyDescent="0.25"/>
    <row r="144" spans="1:2"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row r="1010" ht="15.75" customHeight="1" x14ac:dyDescent="0.25"/>
  </sheetData>
  <pageMargins left="0.7" right="0.7" top="0.75" bottom="0.75" header="0" footer="0"/>
  <pageSetup orientation="landscape"/>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10"/>
  <sheetViews>
    <sheetView topLeftCell="A106" workbookViewId="0">
      <selection activeCell="A102" sqref="A102:B129"/>
    </sheetView>
  </sheetViews>
  <sheetFormatPr baseColWidth="10" defaultColWidth="12.58203125" defaultRowHeight="12.5" x14ac:dyDescent="0.25"/>
  <cols>
    <col min="1" max="1" width="43.58203125" style="254" customWidth="1"/>
    <col min="2" max="2" width="22.58203125" style="254" customWidth="1"/>
    <col min="3" max="3" width="17" style="327" customWidth="1"/>
    <col min="4" max="4" width="16" style="254" customWidth="1"/>
    <col min="5" max="26" width="9.33203125" style="254" customWidth="1"/>
    <col min="27" max="16384" width="12.58203125" style="254"/>
  </cols>
  <sheetData>
    <row r="1" spans="1:4" ht="13" x14ac:dyDescent="0.3">
      <c r="A1" s="253" t="s">
        <v>613</v>
      </c>
    </row>
    <row r="3" spans="1:4" ht="13.5" thickBot="1" x14ac:dyDescent="0.35">
      <c r="A3" s="253" t="s">
        <v>601</v>
      </c>
      <c r="B3" s="255"/>
    </row>
    <row r="4" spans="1:4" x14ac:dyDescent="0.25">
      <c r="A4" s="256" t="s">
        <v>603</v>
      </c>
      <c r="B4" s="257">
        <f>D34</f>
        <v>169495.44132267189</v>
      </c>
    </row>
    <row r="5" spans="1:4" x14ac:dyDescent="0.25">
      <c r="A5" s="258" t="s">
        <v>604</v>
      </c>
      <c r="B5" s="259">
        <f>D54</f>
        <v>144180.79049496353</v>
      </c>
    </row>
    <row r="6" spans="1:4" x14ac:dyDescent="0.25">
      <c r="A6" s="260" t="s">
        <v>605</v>
      </c>
      <c r="B6" s="259">
        <f>D74</f>
        <v>128398.94235506697</v>
      </c>
    </row>
    <row r="7" spans="1:4" x14ac:dyDescent="0.25">
      <c r="A7" s="260" t="s">
        <v>308</v>
      </c>
      <c r="B7" s="259">
        <f>D82</f>
        <v>25314.650827708374</v>
      </c>
    </row>
    <row r="8" spans="1:4" x14ac:dyDescent="0.25">
      <c r="A8" s="260" t="s">
        <v>315</v>
      </c>
      <c r="B8" s="259">
        <f>D90</f>
        <v>41096.498967604915</v>
      </c>
    </row>
    <row r="9" spans="1:4" ht="13" thickBot="1" x14ac:dyDescent="0.3">
      <c r="A9" s="261" t="s">
        <v>322</v>
      </c>
      <c r="B9" s="262">
        <f>D98</f>
        <v>33205.574897656654</v>
      </c>
    </row>
    <row r="10" spans="1:4" ht="13" thickBot="1" x14ac:dyDescent="0.3"/>
    <row r="11" spans="1:4" ht="13" x14ac:dyDescent="0.3">
      <c r="A11" s="328" t="s">
        <v>600</v>
      </c>
      <c r="B11" s="326" t="s">
        <v>253</v>
      </c>
      <c r="C11" s="326" t="s">
        <v>254</v>
      </c>
      <c r="D11" s="263" t="s">
        <v>255</v>
      </c>
    </row>
    <row r="12" spans="1:4" ht="13" x14ac:dyDescent="0.3">
      <c r="A12" s="264" t="str">
        <f>+'Input_Area and Costs'!E3</f>
        <v>Tunisia</v>
      </c>
      <c r="B12" s="329"/>
      <c r="C12" s="329"/>
      <c r="D12" s="265"/>
    </row>
    <row r="13" spans="1:4" x14ac:dyDescent="0.25">
      <c r="A13" s="258" t="s">
        <v>256</v>
      </c>
      <c r="B13" s="329"/>
      <c r="C13" s="329"/>
      <c r="D13" s="266" t="str">
        <f>+'Input_Area and Costs'!A6</f>
        <v>Hospital</v>
      </c>
    </row>
    <row r="14" spans="1:4" x14ac:dyDescent="0.25">
      <c r="A14" s="258" t="s">
        <v>247</v>
      </c>
      <c r="B14" s="329" t="s">
        <v>257</v>
      </c>
      <c r="C14" s="329" t="s">
        <v>251</v>
      </c>
      <c r="D14" s="267">
        <f>+'Input_Area and Costs'!E6</f>
        <v>68779</v>
      </c>
    </row>
    <row r="15" spans="1:4" x14ac:dyDescent="0.25">
      <c r="A15" s="258" t="s">
        <v>258</v>
      </c>
      <c r="B15" s="329" t="s">
        <v>259</v>
      </c>
      <c r="C15" s="329" t="s">
        <v>260</v>
      </c>
      <c r="D15" s="267">
        <f>'General Inputs&amp;Outputs'!$C$12</f>
        <v>15</v>
      </c>
    </row>
    <row r="16" spans="1:4" x14ac:dyDescent="0.25">
      <c r="A16" s="254" t="s">
        <v>172</v>
      </c>
      <c r="B16" s="329"/>
      <c r="C16" s="329"/>
      <c r="D16" s="265"/>
    </row>
    <row r="17" spans="1:4" ht="13" x14ac:dyDescent="0.3">
      <c r="A17" s="264" t="s">
        <v>285</v>
      </c>
      <c r="B17" s="329"/>
      <c r="C17" s="329"/>
      <c r="D17" s="265"/>
    </row>
    <row r="18" spans="1:4" ht="13" x14ac:dyDescent="0.3">
      <c r="A18" s="264" t="s">
        <v>261</v>
      </c>
      <c r="B18" s="329"/>
      <c r="C18" s="333"/>
      <c r="D18" s="265"/>
    </row>
    <row r="19" spans="1:4" ht="13" x14ac:dyDescent="0.3">
      <c r="A19" s="268" t="s">
        <v>262</v>
      </c>
      <c r="B19" s="329" t="s">
        <v>263</v>
      </c>
      <c r="C19" s="329" t="s">
        <v>264</v>
      </c>
      <c r="D19" s="266">
        <f>+'Energy use'!B418-D20</f>
        <v>256</v>
      </c>
    </row>
    <row r="20" spans="1:4" ht="13" x14ac:dyDescent="0.3">
      <c r="A20" s="268" t="s">
        <v>265</v>
      </c>
      <c r="B20" s="329" t="s">
        <v>266</v>
      </c>
      <c r="C20" s="329" t="s">
        <v>264</v>
      </c>
      <c r="D20" s="266">
        <f>+'Energy use'!B419+'Energy use'!B422</f>
        <v>137</v>
      </c>
    </row>
    <row r="21" spans="1:4" ht="13" x14ac:dyDescent="0.3">
      <c r="A21" s="264" t="s">
        <v>267</v>
      </c>
      <c r="B21" s="329"/>
      <c r="C21" s="333"/>
      <c r="D21" s="265"/>
    </row>
    <row r="22" spans="1:4" ht="13" x14ac:dyDescent="0.3">
      <c r="A22" s="268" t="str">
        <f t="shared" ref="A22:A23" si="0">A19</f>
        <v>Electricity</v>
      </c>
      <c r="B22" s="329" t="s">
        <v>268</v>
      </c>
      <c r="C22" s="329" t="s">
        <v>269</v>
      </c>
      <c r="D22" s="269">
        <f>+'Input_Energy Context'!E12</f>
        <v>0.40406164852080534</v>
      </c>
    </row>
    <row r="23" spans="1:4" ht="13" x14ac:dyDescent="0.3">
      <c r="A23" s="268" t="str">
        <f t="shared" si="0"/>
        <v>Natural gas</v>
      </c>
      <c r="B23" s="329" t="s">
        <v>270</v>
      </c>
      <c r="C23" s="329" t="s">
        <v>269</v>
      </c>
      <c r="D23" s="266">
        <f>+'Input_Energy Context'!B13</f>
        <v>0.23100000000000001</v>
      </c>
    </row>
    <row r="24" spans="1:4" ht="13" x14ac:dyDescent="0.3">
      <c r="A24" s="264" t="s">
        <v>271</v>
      </c>
      <c r="B24" s="329"/>
      <c r="C24" s="333"/>
      <c r="D24" s="265"/>
    </row>
    <row r="25" spans="1:4" ht="13" x14ac:dyDescent="0.3">
      <c r="A25" s="268" t="str">
        <f t="shared" ref="A25:A26" si="1">A22</f>
        <v>Electricity</v>
      </c>
      <c r="B25" s="329" t="s">
        <v>272</v>
      </c>
      <c r="C25" s="329" t="s">
        <v>273</v>
      </c>
      <c r="D25" s="270">
        <f t="shared" ref="D25:D26" si="2">+D19*D22</f>
        <v>103.43978202132617</v>
      </c>
    </row>
    <row r="26" spans="1:4" ht="13" x14ac:dyDescent="0.3">
      <c r="A26" s="268" t="str">
        <f t="shared" si="1"/>
        <v>Natural gas</v>
      </c>
      <c r="B26" s="329" t="s">
        <v>274</v>
      </c>
      <c r="C26" s="329" t="s">
        <v>273</v>
      </c>
      <c r="D26" s="270">
        <f t="shared" si="2"/>
        <v>31.647000000000002</v>
      </c>
    </row>
    <row r="27" spans="1:4" ht="13" x14ac:dyDescent="0.3">
      <c r="A27" s="268" t="s">
        <v>275</v>
      </c>
      <c r="B27" s="329" t="s">
        <v>276</v>
      </c>
      <c r="C27" s="329" t="s">
        <v>273</v>
      </c>
      <c r="D27" s="270">
        <f>'Input_LC Materials'!E23/'Input_LC Materials'!C7</f>
        <v>438.04700000000025</v>
      </c>
    </row>
    <row r="28" spans="1:4" ht="13" x14ac:dyDescent="0.3">
      <c r="A28" s="264" t="s">
        <v>277</v>
      </c>
      <c r="B28" s="329"/>
      <c r="C28" s="333"/>
      <c r="D28" s="265"/>
    </row>
    <row r="29" spans="1:4" ht="13" x14ac:dyDescent="0.3">
      <c r="A29" s="268" t="str">
        <f t="shared" ref="A29:A30" si="3">A25</f>
        <v>Electricity</v>
      </c>
      <c r="B29" s="329" t="s">
        <v>278</v>
      </c>
      <c r="C29" s="329" t="s">
        <v>279</v>
      </c>
      <c r="D29" s="267">
        <f>+D25*D14/1000</f>
        <v>7114.4847676447926</v>
      </c>
    </row>
    <row r="30" spans="1:4" ht="13" x14ac:dyDescent="0.3">
      <c r="A30" s="268" t="str">
        <f t="shared" si="3"/>
        <v>Natural gas</v>
      </c>
      <c r="B30" s="329" t="s">
        <v>280</v>
      </c>
      <c r="C30" s="329" t="s">
        <v>279</v>
      </c>
      <c r="D30" s="267">
        <f>+D26*D14/1000</f>
        <v>2176.6490130000002</v>
      </c>
    </row>
    <row r="31" spans="1:4" ht="13" x14ac:dyDescent="0.3">
      <c r="A31" s="268" t="str">
        <f>$A$25</f>
        <v>Electricity</v>
      </c>
      <c r="B31" s="329" t="s">
        <v>281</v>
      </c>
      <c r="C31" s="329" t="s">
        <v>577</v>
      </c>
      <c r="D31" s="267">
        <f t="shared" ref="D31:D32" si="4">D29*$D$15</f>
        <v>106717.27151467188</v>
      </c>
    </row>
    <row r="32" spans="1:4" ht="13" x14ac:dyDescent="0.3">
      <c r="A32" s="268" t="str">
        <f>$A$26</f>
        <v>Natural gas</v>
      </c>
      <c r="B32" s="329" t="s">
        <v>282</v>
      </c>
      <c r="C32" s="329" t="s">
        <v>577</v>
      </c>
      <c r="D32" s="267">
        <f t="shared" si="4"/>
        <v>32649.735195000001</v>
      </c>
    </row>
    <row r="33" spans="1:4" ht="13" x14ac:dyDescent="0.3">
      <c r="A33" s="268" t="s">
        <v>275</v>
      </c>
      <c r="B33" s="329" t="s">
        <v>283</v>
      </c>
      <c r="C33" s="329" t="s">
        <v>577</v>
      </c>
      <c r="D33" s="267">
        <f>+D27*D14/1000</f>
        <v>30128.434613000016</v>
      </c>
    </row>
    <row r="34" spans="1:4" ht="13.5" thickBot="1" x14ac:dyDescent="0.35">
      <c r="A34" s="325" t="s">
        <v>284</v>
      </c>
      <c r="B34" s="332"/>
      <c r="C34" s="332" t="s">
        <v>577</v>
      </c>
      <c r="D34" s="274">
        <f>SUM(D31:D33)</f>
        <v>169495.44132267189</v>
      </c>
    </row>
    <row r="35" spans="1:4" ht="13" thickBot="1" x14ac:dyDescent="0.3">
      <c r="B35" s="330"/>
      <c r="C35" s="330"/>
    </row>
    <row r="36" spans="1:4" ht="13" x14ac:dyDescent="0.3">
      <c r="A36" s="328" t="s">
        <v>249</v>
      </c>
      <c r="B36" s="326"/>
      <c r="C36" s="326"/>
      <c r="D36" s="263"/>
    </row>
    <row r="37" spans="1:4" ht="13" x14ac:dyDescent="0.3">
      <c r="A37" s="264" t="s">
        <v>285</v>
      </c>
      <c r="B37" s="329"/>
      <c r="C37" s="329"/>
      <c r="D37" s="265"/>
    </row>
    <row r="38" spans="1:4" ht="13" x14ac:dyDescent="0.3">
      <c r="A38" s="264" t="s">
        <v>261</v>
      </c>
      <c r="B38" s="329"/>
      <c r="C38" s="333"/>
      <c r="D38" s="265"/>
    </row>
    <row r="39" spans="1:4" ht="13" x14ac:dyDescent="0.3">
      <c r="A39" s="268" t="s">
        <v>262</v>
      </c>
      <c r="B39" s="329" t="s">
        <v>286</v>
      </c>
      <c r="C39" s="329" t="s">
        <v>264</v>
      </c>
      <c r="D39" s="266">
        <f>+'Energy use'!C418-D40</f>
        <v>254</v>
      </c>
    </row>
    <row r="40" spans="1:4" ht="13" x14ac:dyDescent="0.3">
      <c r="A40" s="268" t="s">
        <v>265</v>
      </c>
      <c r="B40" s="329" t="s">
        <v>287</v>
      </c>
      <c r="C40" s="329" t="s">
        <v>264</v>
      </c>
      <c r="D40" s="266">
        <f>+'Energy use'!C419+'Energy use'!C422</f>
        <v>39</v>
      </c>
    </row>
    <row r="41" spans="1:4" ht="13" x14ac:dyDescent="0.3">
      <c r="A41" s="264" t="s">
        <v>267</v>
      </c>
      <c r="B41" s="329"/>
      <c r="C41" s="329"/>
      <c r="D41" s="265"/>
    </row>
    <row r="42" spans="1:4" ht="13" x14ac:dyDescent="0.3">
      <c r="A42" s="268" t="str">
        <f t="shared" ref="A42:A43" si="5">A39</f>
        <v>Electricity</v>
      </c>
      <c r="B42" s="329" t="s">
        <v>268</v>
      </c>
      <c r="C42" s="329" t="s">
        <v>269</v>
      </c>
      <c r="D42" s="269">
        <f t="shared" ref="D42:D43" si="6">+D22</f>
        <v>0.40406164852080534</v>
      </c>
    </row>
    <row r="43" spans="1:4" ht="13" x14ac:dyDescent="0.3">
      <c r="A43" s="268" t="str">
        <f t="shared" si="5"/>
        <v>Natural gas</v>
      </c>
      <c r="B43" s="329" t="s">
        <v>270</v>
      </c>
      <c r="C43" s="329" t="s">
        <v>269</v>
      </c>
      <c r="D43" s="266">
        <f t="shared" si="6"/>
        <v>0.23100000000000001</v>
      </c>
    </row>
    <row r="44" spans="1:4" ht="13" x14ac:dyDescent="0.3">
      <c r="A44" s="264" t="s">
        <v>271</v>
      </c>
      <c r="B44" s="329"/>
      <c r="C44" s="329"/>
      <c r="D44" s="265"/>
    </row>
    <row r="45" spans="1:4" ht="13" x14ac:dyDescent="0.3">
      <c r="A45" s="268" t="str">
        <f t="shared" ref="A45:A46" si="7">A42</f>
        <v>Electricity</v>
      </c>
      <c r="B45" s="329" t="s">
        <v>288</v>
      </c>
      <c r="C45" s="329" t="s">
        <v>273</v>
      </c>
      <c r="D45" s="267">
        <f t="shared" ref="D45:D46" si="8">+D39*D42</f>
        <v>102.63165872428456</v>
      </c>
    </row>
    <row r="46" spans="1:4" ht="13" x14ac:dyDescent="0.3">
      <c r="A46" s="268" t="str">
        <f t="shared" si="7"/>
        <v>Natural gas</v>
      </c>
      <c r="B46" s="329" t="s">
        <v>289</v>
      </c>
      <c r="C46" s="329" t="s">
        <v>273</v>
      </c>
      <c r="D46" s="270">
        <f t="shared" si="8"/>
        <v>9.0090000000000003</v>
      </c>
    </row>
    <row r="47" spans="1:4" ht="13" x14ac:dyDescent="0.3">
      <c r="A47" s="268" t="s">
        <v>275</v>
      </c>
      <c r="B47" s="329" t="s">
        <v>290</v>
      </c>
      <c r="C47" s="329" t="s">
        <v>273</v>
      </c>
      <c r="D47" s="270">
        <f>D27-'Input_LC Materials'!E23</f>
        <v>421.68100000000027</v>
      </c>
    </row>
    <row r="48" spans="1:4" ht="13" x14ac:dyDescent="0.3">
      <c r="A48" s="264" t="s">
        <v>277</v>
      </c>
      <c r="B48" s="329"/>
      <c r="C48" s="329"/>
      <c r="D48" s="265"/>
    </row>
    <row r="49" spans="1:5" ht="13" x14ac:dyDescent="0.3">
      <c r="A49" s="268" t="str">
        <f t="shared" ref="A49:A50" si="9">A45</f>
        <v>Electricity</v>
      </c>
      <c r="B49" s="329" t="s">
        <v>291</v>
      </c>
      <c r="C49" s="329" t="s">
        <v>279</v>
      </c>
      <c r="D49" s="267">
        <f>+D45*D14/1000</f>
        <v>7058.9028553975677</v>
      </c>
    </row>
    <row r="50" spans="1:5" ht="13" x14ac:dyDescent="0.3">
      <c r="A50" s="268" t="str">
        <f t="shared" si="9"/>
        <v>Natural gas</v>
      </c>
      <c r="B50" s="329" t="s">
        <v>292</v>
      </c>
      <c r="C50" s="329" t="s">
        <v>279</v>
      </c>
      <c r="D50" s="267">
        <f>+D46*D14/1000</f>
        <v>619.63001100000008</v>
      </c>
    </row>
    <row r="51" spans="1:5" ht="13" x14ac:dyDescent="0.3">
      <c r="A51" s="268" t="str">
        <f>$A$45</f>
        <v>Electricity</v>
      </c>
      <c r="B51" s="329" t="s">
        <v>293</v>
      </c>
      <c r="C51" s="329" t="str">
        <f>$C$31</f>
        <v>tCO2 over lifetime</v>
      </c>
      <c r="D51" s="267">
        <f t="shared" ref="D51:D52" si="10">D49*$D$15</f>
        <v>105883.54283096352</v>
      </c>
    </row>
    <row r="52" spans="1:5" ht="13" x14ac:dyDescent="0.3">
      <c r="A52" s="268" t="str">
        <f>$A$46</f>
        <v>Natural gas</v>
      </c>
      <c r="B52" s="329" t="s">
        <v>294</v>
      </c>
      <c r="C52" s="329" t="str">
        <f>$C$31</f>
        <v>tCO2 over lifetime</v>
      </c>
      <c r="D52" s="267">
        <f t="shared" si="10"/>
        <v>9294.450165000002</v>
      </c>
    </row>
    <row r="53" spans="1:5" ht="13" x14ac:dyDescent="0.3">
      <c r="A53" s="268" t="s">
        <v>275</v>
      </c>
      <c r="B53" s="329" t="s">
        <v>295</v>
      </c>
      <c r="C53" s="329" t="str">
        <f>C$33</f>
        <v>tCO2 over lifetime</v>
      </c>
      <c r="D53" s="267">
        <f>+D47*D14/1000</f>
        <v>29002.797499000015</v>
      </c>
    </row>
    <row r="54" spans="1:5" ht="13.5" thickBot="1" x14ac:dyDescent="0.35">
      <c r="A54" s="325" t="s">
        <v>284</v>
      </c>
      <c r="B54" s="332"/>
      <c r="C54" s="332" t="str">
        <f>C$34</f>
        <v>tCO2 over lifetime</v>
      </c>
      <c r="D54" s="274">
        <f>SUM(D51:D53)</f>
        <v>144180.79049496353</v>
      </c>
      <c r="E54" s="255"/>
    </row>
    <row r="55" spans="1:5" ht="13" thickBot="1" x14ac:dyDescent="0.3">
      <c r="A55" s="255"/>
      <c r="B55" s="330"/>
      <c r="C55" s="330"/>
      <c r="D55" s="255"/>
      <c r="E55" s="255"/>
    </row>
    <row r="56" spans="1:5" ht="13" x14ac:dyDescent="0.3">
      <c r="A56" s="328" t="s">
        <v>250</v>
      </c>
      <c r="B56" s="326"/>
      <c r="C56" s="326"/>
      <c r="D56" s="263"/>
      <c r="E56" s="255"/>
    </row>
    <row r="57" spans="1:5" ht="13" x14ac:dyDescent="0.3">
      <c r="A57" s="264" t="s">
        <v>285</v>
      </c>
      <c r="B57" s="329"/>
      <c r="C57" s="329"/>
      <c r="D57" s="265"/>
      <c r="E57" s="255"/>
    </row>
    <row r="58" spans="1:5" ht="13" x14ac:dyDescent="0.3">
      <c r="A58" s="264" t="s">
        <v>261</v>
      </c>
      <c r="B58" s="329"/>
      <c r="C58" s="329"/>
      <c r="D58" s="265"/>
    </row>
    <row r="59" spans="1:5" ht="13" x14ac:dyDescent="0.3">
      <c r="A59" s="268" t="s">
        <v>262</v>
      </c>
      <c r="B59" s="329" t="s">
        <v>296</v>
      </c>
      <c r="C59" s="329" t="s">
        <v>264</v>
      </c>
      <c r="D59" s="266">
        <f>+'Energy use'!D418-D60</f>
        <v>219</v>
      </c>
    </row>
    <row r="60" spans="1:5" ht="13" x14ac:dyDescent="0.3">
      <c r="A60" s="268" t="s">
        <v>265</v>
      </c>
      <c r="B60" s="329" t="s">
        <v>297</v>
      </c>
      <c r="C60" s="329" t="s">
        <v>264</v>
      </c>
      <c r="D60" s="266">
        <f>+'Energy use'!D419+'Energy use'!D422</f>
        <v>34</v>
      </c>
    </row>
    <row r="61" spans="1:5" ht="13" x14ac:dyDescent="0.3">
      <c r="A61" s="264" t="s">
        <v>267</v>
      </c>
      <c r="B61" s="329"/>
      <c r="C61" s="329"/>
      <c r="D61" s="265"/>
    </row>
    <row r="62" spans="1:5" ht="13" x14ac:dyDescent="0.3">
      <c r="A62" s="268" t="str">
        <f t="shared" ref="A62:A63" si="11">A59</f>
        <v>Electricity</v>
      </c>
      <c r="B62" s="329" t="s">
        <v>268</v>
      </c>
      <c r="C62" s="329" t="s">
        <v>269</v>
      </c>
      <c r="D62" s="269">
        <f t="shared" ref="D62:D63" si="12">+D42</f>
        <v>0.40406164852080534</v>
      </c>
    </row>
    <row r="63" spans="1:5" ht="13" x14ac:dyDescent="0.3">
      <c r="A63" s="268" t="str">
        <f t="shared" si="11"/>
        <v>Natural gas</v>
      </c>
      <c r="B63" s="329" t="s">
        <v>270</v>
      </c>
      <c r="C63" s="329" t="s">
        <v>269</v>
      </c>
      <c r="D63" s="266">
        <f t="shared" si="12"/>
        <v>0.23100000000000001</v>
      </c>
    </row>
    <row r="64" spans="1:5" ht="13" x14ac:dyDescent="0.3">
      <c r="A64" s="264" t="s">
        <v>271</v>
      </c>
      <c r="B64" s="329"/>
      <c r="C64" s="329"/>
      <c r="D64" s="265"/>
    </row>
    <row r="65" spans="1:4" ht="13" x14ac:dyDescent="0.3">
      <c r="A65" s="268" t="str">
        <f t="shared" ref="A65:A66" si="13">A62</f>
        <v>Electricity</v>
      </c>
      <c r="B65" s="329" t="s">
        <v>299</v>
      </c>
      <c r="C65" s="329" t="s">
        <v>273</v>
      </c>
      <c r="D65" s="267">
        <f t="shared" ref="D65:D66" si="14">+D59*D62</f>
        <v>88.489501026056374</v>
      </c>
    </row>
    <row r="66" spans="1:4" ht="13" x14ac:dyDescent="0.3">
      <c r="A66" s="268" t="str">
        <f t="shared" si="13"/>
        <v>Natural gas</v>
      </c>
      <c r="B66" s="329" t="s">
        <v>300</v>
      </c>
      <c r="C66" s="329" t="s">
        <v>273</v>
      </c>
      <c r="D66" s="270">
        <f t="shared" si="14"/>
        <v>7.8540000000000001</v>
      </c>
    </row>
    <row r="67" spans="1:4" ht="13" x14ac:dyDescent="0.3">
      <c r="A67" s="268" t="s">
        <v>275</v>
      </c>
      <c r="B67" s="329" t="s">
        <v>301</v>
      </c>
      <c r="C67" s="329" t="s">
        <v>273</v>
      </c>
      <c r="D67" s="270">
        <f>D47</f>
        <v>421.68100000000027</v>
      </c>
    </row>
    <row r="68" spans="1:4" ht="13" x14ac:dyDescent="0.3">
      <c r="A68" s="264" t="s">
        <v>277</v>
      </c>
      <c r="B68" s="329"/>
      <c r="C68" s="329"/>
      <c r="D68" s="265"/>
    </row>
    <row r="69" spans="1:4" ht="13" x14ac:dyDescent="0.3">
      <c r="A69" s="268" t="str">
        <f t="shared" ref="A69:A70" si="15">A65</f>
        <v>Electricity</v>
      </c>
      <c r="B69" s="329" t="s">
        <v>303</v>
      </c>
      <c r="C69" s="329" t="s">
        <v>279</v>
      </c>
      <c r="D69" s="267">
        <f t="shared" ref="D69:D70" si="16">+D65*$D$14/1000</f>
        <v>6086.2193910711312</v>
      </c>
    </row>
    <row r="70" spans="1:4" ht="13" x14ac:dyDescent="0.3">
      <c r="A70" s="268" t="str">
        <f t="shared" si="15"/>
        <v>Natural gas</v>
      </c>
      <c r="B70" s="329" t="s">
        <v>304</v>
      </c>
      <c r="C70" s="329" t="s">
        <v>279</v>
      </c>
      <c r="D70" s="267">
        <f t="shared" si="16"/>
        <v>540.19026600000007</v>
      </c>
    </row>
    <row r="71" spans="1:4" ht="13" x14ac:dyDescent="0.3">
      <c r="A71" s="268" t="str">
        <f>$A$45</f>
        <v>Electricity</v>
      </c>
      <c r="B71" s="329" t="s">
        <v>305</v>
      </c>
      <c r="C71" s="329" t="str">
        <f>$C$31</f>
        <v>tCO2 over lifetime</v>
      </c>
      <c r="D71" s="267">
        <f t="shared" ref="D71:D72" si="17">D69*$D$15</f>
        <v>91293.290866066964</v>
      </c>
    </row>
    <row r="72" spans="1:4" ht="13" x14ac:dyDescent="0.3">
      <c r="A72" s="268" t="str">
        <f>$A$46</f>
        <v>Natural gas</v>
      </c>
      <c r="B72" s="329" t="s">
        <v>306</v>
      </c>
      <c r="C72" s="329" t="str">
        <f>$C$31</f>
        <v>tCO2 over lifetime</v>
      </c>
      <c r="D72" s="267">
        <f t="shared" si="17"/>
        <v>8102.8539900000014</v>
      </c>
    </row>
    <row r="73" spans="1:4" ht="13" x14ac:dyDescent="0.3">
      <c r="A73" s="268" t="s">
        <v>275</v>
      </c>
      <c r="B73" s="329" t="s">
        <v>307</v>
      </c>
      <c r="C73" s="329" t="str">
        <f>C$33</f>
        <v>tCO2 over lifetime</v>
      </c>
      <c r="D73" s="267">
        <f>+D67*$D$14/1000</f>
        <v>29002.797499000015</v>
      </c>
    </row>
    <row r="74" spans="1:4" ht="13.5" thickBot="1" x14ac:dyDescent="0.35">
      <c r="A74" s="325" t="s">
        <v>284</v>
      </c>
      <c r="B74" s="332"/>
      <c r="C74" s="332" t="str">
        <f>C$34</f>
        <v>tCO2 over lifetime</v>
      </c>
      <c r="D74" s="274">
        <f>SUM(D71:D73)</f>
        <v>128398.94235506697</v>
      </c>
    </row>
    <row r="75" spans="1:4" ht="13" thickBot="1" x14ac:dyDescent="0.3">
      <c r="B75" s="330"/>
      <c r="C75" s="330"/>
    </row>
    <row r="76" spans="1:4" ht="13" x14ac:dyDescent="0.3">
      <c r="A76" s="272" t="s">
        <v>308</v>
      </c>
      <c r="B76" s="331"/>
      <c r="C76" s="331"/>
      <c r="D76" s="273"/>
    </row>
    <row r="77" spans="1:4" x14ac:dyDescent="0.25">
      <c r="A77" s="258" t="s">
        <v>262</v>
      </c>
      <c r="B77" s="329" t="s">
        <v>309</v>
      </c>
      <c r="C77" s="334" t="s">
        <v>279</v>
      </c>
      <c r="D77" s="267">
        <f t="shared" ref="D77:D78" si="18">+D29-D49</f>
        <v>55.581912247224864</v>
      </c>
    </row>
    <row r="78" spans="1:4" x14ac:dyDescent="0.25">
      <c r="A78" s="258" t="s">
        <v>265</v>
      </c>
      <c r="B78" s="329" t="s">
        <v>310</v>
      </c>
      <c r="C78" s="329" t="s">
        <v>279</v>
      </c>
      <c r="D78" s="267">
        <f t="shared" si="18"/>
        <v>1557.019002</v>
      </c>
    </row>
    <row r="79" spans="1:4" x14ac:dyDescent="0.25">
      <c r="A79" s="258" t="s">
        <v>262</v>
      </c>
      <c r="B79" s="329" t="s">
        <v>311</v>
      </c>
      <c r="C79" s="329" t="str">
        <f>$C$31</f>
        <v>tCO2 over lifetime</v>
      </c>
      <c r="D79" s="267">
        <f t="shared" ref="D79:D80" si="19">D77*$D$15</f>
        <v>833.72868370837296</v>
      </c>
    </row>
    <row r="80" spans="1:4" x14ac:dyDescent="0.25">
      <c r="A80" s="258" t="s">
        <v>265</v>
      </c>
      <c r="B80" s="329" t="s">
        <v>312</v>
      </c>
      <c r="C80" s="329" t="str">
        <f>$C$31</f>
        <v>tCO2 over lifetime</v>
      </c>
      <c r="D80" s="267">
        <f t="shared" si="19"/>
        <v>23355.285029999999</v>
      </c>
    </row>
    <row r="81" spans="1:4" x14ac:dyDescent="0.25">
      <c r="A81" s="258" t="s">
        <v>275</v>
      </c>
      <c r="B81" s="329" t="s">
        <v>313</v>
      </c>
      <c r="C81" s="329" t="str">
        <f>$C$31</f>
        <v>tCO2 over lifetime</v>
      </c>
      <c r="D81" s="267">
        <f>+D33-D53</f>
        <v>1125.637114000001</v>
      </c>
    </row>
    <row r="82" spans="1:4" ht="13.5" thickBot="1" x14ac:dyDescent="0.35">
      <c r="A82" s="275" t="s">
        <v>284</v>
      </c>
      <c r="B82" s="332" t="s">
        <v>314</v>
      </c>
      <c r="C82" s="332" t="str">
        <f>$C$31</f>
        <v>tCO2 over lifetime</v>
      </c>
      <c r="D82" s="274">
        <f>SUM(D79:D81)</f>
        <v>25314.650827708374</v>
      </c>
    </row>
    <row r="83" spans="1:4" ht="13" thickBot="1" x14ac:dyDescent="0.3">
      <c r="B83" s="330"/>
      <c r="C83" s="330"/>
    </row>
    <row r="84" spans="1:4" ht="13" x14ac:dyDescent="0.3">
      <c r="A84" s="272" t="s">
        <v>315</v>
      </c>
      <c r="B84" s="331"/>
      <c r="C84" s="331"/>
      <c r="D84" s="273"/>
    </row>
    <row r="85" spans="1:4" x14ac:dyDescent="0.25">
      <c r="A85" s="258" t="s">
        <v>262</v>
      </c>
      <c r="B85" s="329" t="s">
        <v>316</v>
      </c>
      <c r="C85" s="329" t="s">
        <v>279</v>
      </c>
      <c r="D85" s="267">
        <f t="shared" ref="D85:D86" si="20">+D29-D69</f>
        <v>1028.2653765736613</v>
      </c>
    </row>
    <row r="86" spans="1:4" x14ac:dyDescent="0.25">
      <c r="A86" s="258" t="s">
        <v>265</v>
      </c>
      <c r="B86" s="329" t="s">
        <v>317</v>
      </c>
      <c r="C86" s="329" t="s">
        <v>279</v>
      </c>
      <c r="D86" s="267">
        <f t="shared" si="20"/>
        <v>1636.4587470000001</v>
      </c>
    </row>
    <row r="87" spans="1:4" x14ac:dyDescent="0.25">
      <c r="A87" s="258" t="s">
        <v>262</v>
      </c>
      <c r="B87" s="329" t="s">
        <v>318</v>
      </c>
      <c r="C87" s="329" t="str">
        <f>$C$31</f>
        <v>tCO2 over lifetime</v>
      </c>
      <c r="D87" s="267">
        <f t="shared" ref="D87:D88" si="21">D85*$D$15</f>
        <v>15423.98064860492</v>
      </c>
    </row>
    <row r="88" spans="1:4" x14ac:dyDescent="0.25">
      <c r="A88" s="258" t="s">
        <v>265</v>
      </c>
      <c r="B88" s="329" t="s">
        <v>319</v>
      </c>
      <c r="C88" s="329" t="str">
        <f>$C$31</f>
        <v>tCO2 over lifetime</v>
      </c>
      <c r="D88" s="267">
        <f t="shared" si="21"/>
        <v>24546.881205000002</v>
      </c>
    </row>
    <row r="89" spans="1:4" x14ac:dyDescent="0.25">
      <c r="A89" s="258" t="s">
        <v>275</v>
      </c>
      <c r="B89" s="329" t="s">
        <v>320</v>
      </c>
      <c r="C89" s="329" t="str">
        <f>$C$31</f>
        <v>tCO2 over lifetime</v>
      </c>
      <c r="D89" s="267">
        <f>+D33-D73</f>
        <v>1125.637114000001</v>
      </c>
    </row>
    <row r="90" spans="1:4" ht="13.5" thickBot="1" x14ac:dyDescent="0.35">
      <c r="A90" s="275" t="s">
        <v>284</v>
      </c>
      <c r="B90" s="332" t="s">
        <v>321</v>
      </c>
      <c r="C90" s="332" t="str">
        <f>$C$31</f>
        <v>tCO2 over lifetime</v>
      </c>
      <c r="D90" s="274">
        <f>SUM(D87:D89)</f>
        <v>41096.498967604915</v>
      </c>
    </row>
    <row r="91" spans="1:4" ht="13" thickBot="1" x14ac:dyDescent="0.3">
      <c r="B91" s="330"/>
      <c r="C91" s="330"/>
    </row>
    <row r="92" spans="1:4" ht="13" x14ac:dyDescent="0.3">
      <c r="A92" s="272" t="s">
        <v>322</v>
      </c>
      <c r="B92" s="331"/>
      <c r="C92" s="331"/>
      <c r="D92" s="273"/>
    </row>
    <row r="93" spans="1:4" x14ac:dyDescent="0.25">
      <c r="A93" s="258" t="s">
        <v>262</v>
      </c>
      <c r="B93" s="329" t="s">
        <v>323</v>
      </c>
      <c r="C93" s="329" t="s">
        <v>279</v>
      </c>
      <c r="D93" s="267">
        <f t="shared" ref="D93:D94" si="22">+AVERAGE(D85,D77)</f>
        <v>541.9236444104431</v>
      </c>
    </row>
    <row r="94" spans="1:4" x14ac:dyDescent="0.25">
      <c r="A94" s="258" t="s">
        <v>265</v>
      </c>
      <c r="B94" s="329" t="s">
        <v>323</v>
      </c>
      <c r="C94" s="329" t="s">
        <v>279</v>
      </c>
      <c r="D94" s="267">
        <f t="shared" si="22"/>
        <v>1596.7388745000001</v>
      </c>
    </row>
    <row r="95" spans="1:4" x14ac:dyDescent="0.25">
      <c r="A95" s="258" t="s">
        <v>262</v>
      </c>
      <c r="B95" s="329" t="s">
        <v>323</v>
      </c>
      <c r="C95" s="329" t="str">
        <f>$C$31</f>
        <v>tCO2 over lifetime</v>
      </c>
      <c r="D95" s="267">
        <f t="shared" ref="D95:D96" si="23">D93*$D$15</f>
        <v>8128.854666156647</v>
      </c>
    </row>
    <row r="96" spans="1:4" x14ac:dyDescent="0.25">
      <c r="A96" s="258" t="s">
        <v>265</v>
      </c>
      <c r="B96" s="329" t="s">
        <v>323</v>
      </c>
      <c r="C96" s="329" t="str">
        <f>$C$31</f>
        <v>tCO2 over lifetime</v>
      </c>
      <c r="D96" s="267">
        <f t="shared" si="23"/>
        <v>23951.083117500002</v>
      </c>
    </row>
    <row r="97" spans="1:4" x14ac:dyDescent="0.25">
      <c r="A97" s="258" t="s">
        <v>275</v>
      </c>
      <c r="B97" s="329" t="s">
        <v>323</v>
      </c>
      <c r="C97" s="329" t="str">
        <f>$C$31</f>
        <v>tCO2 over lifetime</v>
      </c>
      <c r="D97" s="267">
        <f>+AVERAGE(D89,D81)</f>
        <v>1125.637114000001</v>
      </c>
    </row>
    <row r="98" spans="1:4" ht="13.5" thickBot="1" x14ac:dyDescent="0.35">
      <c r="A98" s="275" t="s">
        <v>284</v>
      </c>
      <c r="B98" s="332" t="s">
        <v>324</v>
      </c>
      <c r="C98" s="332" t="str">
        <f>$C$31</f>
        <v>tCO2 over lifetime</v>
      </c>
      <c r="D98" s="274">
        <f>SUM(D95:D97)</f>
        <v>33205.574897656654</v>
      </c>
    </row>
    <row r="99" spans="1:4" ht="15.75" customHeight="1" x14ac:dyDescent="0.25"/>
    <row r="100" spans="1:4" ht="15.75" customHeight="1" x14ac:dyDescent="0.25">
      <c r="A100" s="254" t="s">
        <v>709</v>
      </c>
      <c r="D100" s="375">
        <f>D97/D98</f>
        <v>3.389904006990821E-2</v>
      </c>
    </row>
    <row r="101" spans="1:4" ht="15.75" customHeight="1" x14ac:dyDescent="0.25"/>
    <row r="102" spans="1:4" ht="15.75" customHeight="1" x14ac:dyDescent="0.3">
      <c r="A102" s="398" t="s">
        <v>730</v>
      </c>
    </row>
    <row r="103" spans="1:4" ht="15.75" customHeight="1" thickBot="1" x14ac:dyDescent="0.3"/>
    <row r="104" spans="1:4" ht="15.75" customHeight="1" x14ac:dyDescent="0.3">
      <c r="A104" s="393" t="s">
        <v>728</v>
      </c>
      <c r="B104" s="394" t="str">
        <f>C19</f>
        <v>kWh/m2/yr</v>
      </c>
    </row>
    <row r="105" spans="1:4" ht="15.75" customHeight="1" x14ac:dyDescent="0.3">
      <c r="A105" s="395" t="s">
        <v>172</v>
      </c>
      <c r="B105" s="265"/>
    </row>
    <row r="106" spans="1:4" ht="15.75" customHeight="1" x14ac:dyDescent="0.25">
      <c r="A106" s="260" t="s">
        <v>726</v>
      </c>
      <c r="B106" s="265">
        <f>D19</f>
        <v>256</v>
      </c>
    </row>
    <row r="107" spans="1:4" ht="15.75" customHeight="1" x14ac:dyDescent="0.25">
      <c r="A107" s="260" t="s">
        <v>727</v>
      </c>
      <c r="B107" s="265">
        <f>D20</f>
        <v>137</v>
      </c>
    </row>
    <row r="108" spans="1:4" ht="15.75" customHeight="1" x14ac:dyDescent="0.3">
      <c r="A108" s="396" t="s">
        <v>249</v>
      </c>
      <c r="B108" s="265"/>
    </row>
    <row r="109" spans="1:4" ht="15.75" customHeight="1" x14ac:dyDescent="0.25">
      <c r="A109" s="260" t="s">
        <v>726</v>
      </c>
      <c r="B109" s="265">
        <f>D39</f>
        <v>254</v>
      </c>
    </row>
    <row r="110" spans="1:4" ht="15.75" customHeight="1" x14ac:dyDescent="0.25">
      <c r="A110" s="260" t="s">
        <v>727</v>
      </c>
      <c r="B110" s="265">
        <f>D40</f>
        <v>39</v>
      </c>
    </row>
    <row r="111" spans="1:4" ht="15.75" customHeight="1" x14ac:dyDescent="0.3">
      <c r="A111" s="396" t="s">
        <v>250</v>
      </c>
      <c r="B111" s="265"/>
    </row>
    <row r="112" spans="1:4" ht="15.75" customHeight="1" x14ac:dyDescent="0.25">
      <c r="A112" s="260" t="s">
        <v>726</v>
      </c>
      <c r="B112" s="265">
        <f>D59</f>
        <v>219</v>
      </c>
    </row>
    <row r="113" spans="1:2" ht="15.75" customHeight="1" x14ac:dyDescent="0.25">
      <c r="A113" s="260" t="s">
        <v>727</v>
      </c>
      <c r="B113" s="265">
        <f>D60</f>
        <v>34</v>
      </c>
    </row>
    <row r="114" spans="1:2" ht="15.75" customHeight="1" x14ac:dyDescent="0.3">
      <c r="A114" s="396" t="s">
        <v>731</v>
      </c>
      <c r="B114" s="265"/>
    </row>
    <row r="115" spans="1:2" ht="15.75" customHeight="1" x14ac:dyDescent="0.25">
      <c r="A115" s="260" t="s">
        <v>726</v>
      </c>
      <c r="B115" s="265">
        <f>AVERAGE(B109,B112)</f>
        <v>236.5</v>
      </c>
    </row>
    <row r="116" spans="1:2" ht="15.75" customHeight="1" thickBot="1" x14ac:dyDescent="0.3">
      <c r="A116" s="261" t="s">
        <v>727</v>
      </c>
      <c r="B116" s="397">
        <f>AVERAGE(B110,B113)</f>
        <v>36.5</v>
      </c>
    </row>
    <row r="117" spans="1:2" ht="15.75" customHeight="1" thickBot="1" x14ac:dyDescent="0.3"/>
    <row r="118" spans="1:2" ht="15.75" customHeight="1" x14ac:dyDescent="0.3">
      <c r="A118" s="393" t="s">
        <v>729</v>
      </c>
      <c r="B118" s="394" t="s">
        <v>725</v>
      </c>
    </row>
    <row r="119" spans="1:2" ht="15.75" customHeight="1" x14ac:dyDescent="0.3">
      <c r="A119" s="395" t="s">
        <v>172</v>
      </c>
      <c r="B119" s="265"/>
    </row>
    <row r="120" spans="1:2" ht="15.75" customHeight="1" x14ac:dyDescent="0.25">
      <c r="A120" s="260" t="s">
        <v>726</v>
      </c>
      <c r="B120" s="259">
        <f>B106*D14/1000</f>
        <v>17607.423999999999</v>
      </c>
    </row>
    <row r="121" spans="1:2" ht="15.75" customHeight="1" x14ac:dyDescent="0.25">
      <c r="A121" s="260" t="s">
        <v>727</v>
      </c>
      <c r="B121" s="259">
        <f>B107*D14/1000</f>
        <v>9422.723</v>
      </c>
    </row>
    <row r="122" spans="1:2" ht="15.75" customHeight="1" x14ac:dyDescent="0.3">
      <c r="A122" s="396" t="s">
        <v>731</v>
      </c>
      <c r="B122" s="265"/>
    </row>
    <row r="123" spans="1:2" ht="15.75" customHeight="1" x14ac:dyDescent="0.25">
      <c r="A123" s="260" t="s">
        <v>726</v>
      </c>
      <c r="B123" s="259">
        <f>B115*D14/1000</f>
        <v>16266.2335</v>
      </c>
    </row>
    <row r="124" spans="1:2" ht="15.75" customHeight="1" thickBot="1" x14ac:dyDescent="0.3">
      <c r="A124" s="261" t="s">
        <v>727</v>
      </c>
      <c r="B124" s="262">
        <f>B116*D14/1000</f>
        <v>2510.4335000000001</v>
      </c>
    </row>
    <row r="125" spans="1:2" ht="15.75" customHeight="1" thickBot="1" x14ac:dyDescent="0.3">
      <c r="B125" s="392"/>
    </row>
    <row r="126" spans="1:2" ht="15.75" customHeight="1" x14ac:dyDescent="0.3">
      <c r="A126" s="393" t="s">
        <v>732</v>
      </c>
      <c r="B126" s="394" t="s">
        <v>725</v>
      </c>
    </row>
    <row r="127" spans="1:2" ht="15.75" customHeight="1" x14ac:dyDescent="0.3">
      <c r="A127" s="396" t="s">
        <v>731</v>
      </c>
      <c r="B127" s="399"/>
    </row>
    <row r="128" spans="1:2" ht="15.75" customHeight="1" x14ac:dyDescent="0.25">
      <c r="A128" s="260" t="s">
        <v>726</v>
      </c>
      <c r="B128" s="259">
        <f>B120-B123</f>
        <v>1341.1904999999988</v>
      </c>
    </row>
    <row r="129" spans="1:2" ht="15.75" customHeight="1" thickBot="1" x14ac:dyDescent="0.3">
      <c r="A129" s="261" t="s">
        <v>727</v>
      </c>
      <c r="B129" s="262">
        <f>B121-B124</f>
        <v>6912.2894999999999</v>
      </c>
    </row>
    <row r="130" spans="1:2" ht="15.75" customHeight="1" x14ac:dyDescent="0.25"/>
    <row r="131" spans="1:2" ht="15.75" customHeight="1" x14ac:dyDescent="0.25"/>
    <row r="132" spans="1:2" ht="15.75" customHeight="1" x14ac:dyDescent="0.25"/>
    <row r="133" spans="1:2" ht="15.75" customHeight="1" x14ac:dyDescent="0.25"/>
    <row r="134" spans="1:2" ht="15.75" customHeight="1" x14ac:dyDescent="0.25"/>
    <row r="135" spans="1:2" ht="15.75" customHeight="1" x14ac:dyDescent="0.25"/>
    <row r="136" spans="1:2" ht="15.75" customHeight="1" x14ac:dyDescent="0.25"/>
    <row r="137" spans="1:2" ht="15.75" customHeight="1" x14ac:dyDescent="0.25"/>
    <row r="138" spans="1:2" ht="15.75" customHeight="1" x14ac:dyDescent="0.25"/>
    <row r="139" spans="1:2" ht="15.75" customHeight="1" x14ac:dyDescent="0.25"/>
    <row r="140" spans="1:2" ht="15.75" customHeight="1" x14ac:dyDescent="0.25"/>
    <row r="141" spans="1:2" ht="15.75" customHeight="1" x14ac:dyDescent="0.25"/>
    <row r="142" spans="1:2" ht="15.75" customHeight="1" x14ac:dyDescent="0.25"/>
    <row r="143" spans="1:2" ht="15.75" customHeight="1" x14ac:dyDescent="0.25"/>
    <row r="144" spans="1:2"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row r="1001" ht="15.75" customHeight="1" x14ac:dyDescent="0.25"/>
    <row r="1002" ht="15.75" customHeight="1" x14ac:dyDescent="0.25"/>
    <row r="1003" ht="15.75" customHeight="1" x14ac:dyDescent="0.25"/>
    <row r="1004" ht="15.75" customHeight="1" x14ac:dyDescent="0.25"/>
    <row r="1005" ht="15.75" customHeight="1" x14ac:dyDescent="0.25"/>
    <row r="1006" ht="15.75" customHeight="1" x14ac:dyDescent="0.25"/>
    <row r="1007" ht="15.75" customHeight="1" x14ac:dyDescent="0.25"/>
    <row r="1008" ht="15.75" customHeight="1" x14ac:dyDescent="0.25"/>
    <row r="1009" ht="15.75" customHeight="1" x14ac:dyDescent="0.25"/>
    <row r="1010" ht="15.75" customHeight="1" x14ac:dyDescent="0.25"/>
  </sheetData>
  <pageMargins left="0.7" right="0.7" top="0.75" bottom="0.75" header="0" footer="0"/>
  <pageSetup orientation="landscape"/>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8" ma:contentTypeDescription="Create a new document." ma:contentTypeScope="" ma:versionID="495cd79217b99afa72b9ee5eaa6991a8">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163074be616c017a06b81a72cc3842b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TaxCatchAll xmlns="50c9b839-8b53-4ddb-9b24-b96221f2bda6" xsi:nil="true"/>
    <file_x0020_ xmlns="366ae72f-6d51-4737-8f6b-a9169c366b64" xsi:nil="true"/>
    <lcf76f155ced4ddcb4097134ff3c332f xmlns="366ae72f-6d51-4737-8f6b-a9169c366b6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1A1DAB4-5EF8-4F78-BF86-E6D40357AE37}"/>
</file>

<file path=customXml/itemProps2.xml><?xml version="1.0" encoding="utf-8"?>
<ds:datastoreItem xmlns:ds="http://schemas.openxmlformats.org/officeDocument/2006/customXml" ds:itemID="{FF8B212E-2377-456F-B9F5-771DD2260991}"/>
</file>

<file path=customXml/itemProps3.xml><?xml version="1.0" encoding="utf-8"?>
<ds:datastoreItem xmlns:ds="http://schemas.openxmlformats.org/officeDocument/2006/customXml" ds:itemID="{F769F6FB-FBB0-4795-B71F-AEF85E9A222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30</vt:i4>
      </vt:variant>
      <vt:variant>
        <vt:lpstr>Plages nommées</vt:lpstr>
      </vt:variant>
      <vt:variant>
        <vt:i4>59</vt:i4>
      </vt:variant>
    </vt:vector>
  </HeadingPairs>
  <TitlesOfParts>
    <vt:vector size="89" baseType="lpstr">
      <vt:lpstr>Impacts Summary</vt:lpstr>
      <vt:lpstr>Beneficiaries</vt:lpstr>
      <vt:lpstr>DJ-Office</vt:lpstr>
      <vt:lpstr>MAR-Residential</vt:lpstr>
      <vt:lpstr>MAR-Edu</vt:lpstr>
      <vt:lpstr>NGA-Residential</vt:lpstr>
      <vt:lpstr>NGA-Retail</vt:lpstr>
      <vt:lpstr>TUN-Residential</vt:lpstr>
      <vt:lpstr>TUN-Hospital</vt:lpstr>
      <vt:lpstr>ARG-Residential</vt:lpstr>
      <vt:lpstr>MEX-Residential</vt:lpstr>
      <vt:lpstr>MEX-Office</vt:lpstr>
      <vt:lpstr>IDN-Residential</vt:lpstr>
      <vt:lpstr>LKA-Office</vt:lpstr>
      <vt:lpstr>ALB-Hospital</vt:lpstr>
      <vt:lpstr>CRI-Edu</vt:lpstr>
      <vt:lpstr>NMKD-Retail</vt:lpstr>
      <vt:lpstr>Energy use</vt:lpstr>
      <vt:lpstr>Sector emissions</vt:lpstr>
      <vt:lpstr>Country emissions</vt:lpstr>
      <vt:lpstr>ReadMe</vt:lpstr>
      <vt:lpstr>General Inputs&amp;Outputs</vt:lpstr>
      <vt:lpstr>Input_Area and Costs</vt:lpstr>
      <vt:lpstr>Fuel factors</vt:lpstr>
      <vt:lpstr>Output_Financial savings</vt:lpstr>
      <vt:lpstr>Input_Energy Context</vt:lpstr>
      <vt:lpstr>Input_EDGE energy savings</vt:lpstr>
      <vt:lpstr>Input_LC Materials</vt:lpstr>
      <vt:lpstr>Output_Carbon savings</vt:lpstr>
      <vt:lpstr>Système outil</vt:lpstr>
      <vt:lpstr>'Energy use'!_bookmark21</vt:lpstr>
      <vt:lpstr>'Energy use'!_Toc44610683</vt:lpstr>
      <vt:lpstr>'Energy use'!_Toc44610684</vt:lpstr>
      <vt:lpstr>'Energy use'!_Toc44610687</vt:lpstr>
      <vt:lpstr>'Energy use'!_Toc52817360</vt:lpstr>
      <vt:lpstr>Annexes</vt:lpstr>
      <vt:lpstr>AppuiDAT</vt:lpstr>
      <vt:lpstr>AvenantAFD</vt:lpstr>
      <vt:lpstr>AvenantUE</vt:lpstr>
      <vt:lpstr>ChargéappuiDAT</vt:lpstr>
      <vt:lpstr>Conventionfin</vt:lpstr>
      <vt:lpstr>CPs</vt:lpstr>
      <vt:lpstr>CRA1ValidéUE</vt:lpstr>
      <vt:lpstr>CRA2ValidéUE</vt:lpstr>
      <vt:lpstr>CRA3ValidéUE</vt:lpstr>
      <vt:lpstr>CRA4ValidéUE</vt:lpstr>
      <vt:lpstr>CRA5ValidéUE</vt:lpstr>
      <vt:lpstr>CRFValidéUE</vt:lpstr>
      <vt:lpstr>DivisionTech</vt:lpstr>
      <vt:lpstr>DT</vt:lpstr>
      <vt:lpstr>Ficheprojet</vt:lpstr>
      <vt:lpstr>FIP</vt:lpstr>
      <vt:lpstr>FPP</vt:lpstr>
      <vt:lpstr>FSECUE</vt:lpstr>
      <vt:lpstr>MoAdirecte</vt:lpstr>
      <vt:lpstr>ModèleConventiondél</vt:lpstr>
      <vt:lpstr>'IDN-Residential'!MWhperGJ</vt:lpstr>
      <vt:lpstr>'LKA-Office'!MWhperGJ</vt:lpstr>
      <vt:lpstr>'MAR-Edu'!MWhperGJ</vt:lpstr>
      <vt:lpstr>'MAR-Residential'!MWhperGJ</vt:lpstr>
      <vt:lpstr>'MEX-Office'!MWhperGJ</vt:lpstr>
      <vt:lpstr>'NMKD-Retail'!MWhperGJ</vt:lpstr>
      <vt:lpstr>MWhperGJ</vt:lpstr>
      <vt:lpstr>Opération</vt:lpstr>
      <vt:lpstr>PPT</vt:lpstr>
      <vt:lpstr>Présenceautrecomité</vt:lpstr>
      <vt:lpstr>PrésenceBoard</vt:lpstr>
      <vt:lpstr>PrésenceCCR</vt:lpstr>
      <vt:lpstr>PrésenceCID</vt:lpstr>
      <vt:lpstr>PrésenceTAM</vt:lpstr>
      <vt:lpstr>QR</vt:lpstr>
      <vt:lpstr>RelectureDAT</vt:lpstr>
      <vt:lpstr>Résolution</vt:lpstr>
      <vt:lpstr>Statut</vt:lpstr>
      <vt:lpstr>Statutconcours</vt:lpstr>
      <vt:lpstr>'IDN-Residential'!TOEperGJ</vt:lpstr>
      <vt:lpstr>'LKA-Office'!TOEperGJ</vt:lpstr>
      <vt:lpstr>'MAR-Edu'!TOEperGJ</vt:lpstr>
      <vt:lpstr>'MAR-Residential'!TOEperGJ</vt:lpstr>
      <vt:lpstr>'MEX-Office'!TOEperGJ</vt:lpstr>
      <vt:lpstr>'NMKD-Retail'!TOEperGJ</vt:lpstr>
      <vt:lpstr>TOEperGJ</vt:lpstr>
      <vt:lpstr>'IDN-Residential'!TOEperMWh</vt:lpstr>
      <vt:lpstr>'LKA-Office'!TOEperMWh</vt:lpstr>
      <vt:lpstr>'MAR-Edu'!TOEperMWh</vt:lpstr>
      <vt:lpstr>'MAR-Residential'!TOEperMWh</vt:lpstr>
      <vt:lpstr>'MEX-Office'!TOEperMWh</vt:lpstr>
      <vt:lpstr>'NMKD-Retail'!TOEperMWh</vt:lpstr>
      <vt:lpstr>TOEperMWh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BROSSAS Isabelle</dc:creator>
  <cp:lastModifiedBy>LAFOND Remi</cp:lastModifiedBy>
  <dcterms:created xsi:type="dcterms:W3CDTF">2016-10-31T15:39:57Z</dcterms:created>
  <dcterms:modified xsi:type="dcterms:W3CDTF">2022-09-23T16:49:15Z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