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cain\OneDrive - Caribbean Community Climate Change Centre\3R-CReWS_GCF\5th Submission 3R-CReWS\Annexes\"/>
    </mc:Choice>
  </mc:AlternateContent>
  <bookViews>
    <workbookView showHorizontalScroll="0" showVerticalScroll="0" showSheetTabs="0" xWindow="0" yWindow="0" windowWidth="23040" windowHeight="7920"/>
  </bookViews>
  <sheets>
    <sheet name="Sheet1" sheetId="1" r:id="rId1"/>
  </sheets>
  <definedNames>
    <definedName name="_Hlk88825686" localSheetId="0">Sheet1!$C$4</definedName>
    <definedName name="_Hlk90321922" localSheetId="0">Sheet1!$C$51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8" i="1" l="1"/>
  <c r="L58" i="1" s="1"/>
  <c r="J58" i="1"/>
  <c r="J57" i="1"/>
  <c r="G58" i="1"/>
  <c r="M58" i="1" l="1"/>
  <c r="L30" i="1"/>
  <c r="J6" i="1"/>
  <c r="J7" i="1"/>
  <c r="K19" i="1"/>
  <c r="L19" i="1" s="1"/>
  <c r="J19" i="1"/>
  <c r="K61" i="1"/>
  <c r="L61" i="1" s="1"/>
  <c r="K56" i="1"/>
  <c r="L56" i="1" s="1"/>
  <c r="J56" i="1"/>
  <c r="J61" i="1"/>
  <c r="K57" i="1"/>
  <c r="L57" i="1" s="1"/>
  <c r="K53" i="1"/>
  <c r="L53" i="1" s="1"/>
  <c r="K54" i="1"/>
  <c r="K52" i="1"/>
  <c r="L52" i="1" s="1"/>
  <c r="J54" i="1"/>
  <c r="J53" i="1"/>
  <c r="J52" i="1"/>
  <c r="K51" i="1"/>
  <c r="L51" i="1" s="1"/>
  <c r="J51" i="1"/>
  <c r="K50" i="1"/>
  <c r="L50" i="1" s="1"/>
  <c r="J50" i="1"/>
  <c r="K49" i="1"/>
  <c r="L49" i="1" s="1"/>
  <c r="J49" i="1"/>
  <c r="K48" i="1"/>
  <c r="L48" i="1" s="1"/>
  <c r="J48" i="1"/>
  <c r="K46" i="1"/>
  <c r="L46" i="1" s="1"/>
  <c r="J46" i="1"/>
  <c r="M46" i="1" s="1"/>
  <c r="K45" i="1"/>
  <c r="L45" i="1" s="1"/>
  <c r="J45" i="1"/>
  <c r="K44" i="1"/>
  <c r="L44" i="1" s="1"/>
  <c r="J44" i="1"/>
  <c r="K43" i="1"/>
  <c r="L43" i="1" s="1"/>
  <c r="J43" i="1"/>
  <c r="K42" i="1"/>
  <c r="L42" i="1" s="1"/>
  <c r="J42" i="1"/>
  <c r="K40" i="1"/>
  <c r="L40" i="1" s="1"/>
  <c r="J40" i="1"/>
  <c r="M40" i="1" s="1"/>
  <c r="K39" i="1"/>
  <c r="L39" i="1" s="1"/>
  <c r="J39" i="1"/>
  <c r="K38" i="1"/>
  <c r="L38" i="1" s="1"/>
  <c r="J38" i="1"/>
  <c r="K34" i="1"/>
  <c r="L34" i="1" s="1"/>
  <c r="J34" i="1"/>
  <c r="J36" i="1"/>
  <c r="K36" i="1"/>
  <c r="L36" i="1" s="1"/>
  <c r="J35" i="1"/>
  <c r="K35" i="1"/>
  <c r="L35" i="1" s="1"/>
  <c r="K33" i="1"/>
  <c r="L33" i="1" s="1"/>
  <c r="J33" i="1"/>
  <c r="M33" i="1" s="1"/>
  <c r="K32" i="1"/>
  <c r="L32" i="1" s="1"/>
  <c r="J32" i="1"/>
  <c r="K31" i="1"/>
  <c r="L31" i="1" s="1"/>
  <c r="J31" i="1"/>
  <c r="K30" i="1"/>
  <c r="J30" i="1"/>
  <c r="K29" i="1"/>
  <c r="L29" i="1" s="1"/>
  <c r="J29" i="1"/>
  <c r="K27" i="1"/>
  <c r="L27" i="1" s="1"/>
  <c r="J27" i="1"/>
  <c r="K25" i="1"/>
  <c r="L25" i="1" s="1"/>
  <c r="K26" i="1"/>
  <c r="J25" i="1"/>
  <c r="J26" i="1"/>
  <c r="K24" i="1"/>
  <c r="L24" i="1" s="1"/>
  <c r="J24" i="1"/>
  <c r="K16" i="1"/>
  <c r="L16" i="1" s="1"/>
  <c r="J16" i="1"/>
  <c r="K15" i="1"/>
  <c r="L15" i="1" s="1"/>
  <c r="J15" i="1"/>
  <c r="K14" i="1"/>
  <c r="L14" i="1" s="1"/>
  <c r="J14" i="1"/>
  <c r="K13" i="1"/>
  <c r="L13" i="1" s="1"/>
  <c r="K12" i="1"/>
  <c r="L12" i="1" s="1"/>
  <c r="J13" i="1"/>
  <c r="J12" i="1"/>
  <c r="K10" i="1"/>
  <c r="L10" i="1" s="1"/>
  <c r="K11" i="1"/>
  <c r="L11" i="1" s="1"/>
  <c r="K9" i="1"/>
  <c r="L9" i="1" s="1"/>
  <c r="J10" i="1"/>
  <c r="J11" i="1"/>
  <c r="J9" i="1"/>
  <c r="K5" i="1"/>
  <c r="L5" i="1" s="1"/>
  <c r="K7" i="1"/>
  <c r="L7" i="1" s="1"/>
  <c r="K6" i="1"/>
  <c r="L6" i="1" s="1"/>
  <c r="J5" i="1"/>
  <c r="M5" i="1" s="1"/>
  <c r="G38" i="1"/>
  <c r="G12" i="1"/>
  <c r="G44" i="1"/>
  <c r="G43" i="1"/>
  <c r="G61" i="1"/>
  <c r="G7" i="1"/>
  <c r="G6" i="1"/>
  <c r="G5" i="1"/>
  <c r="G19" i="1"/>
  <c r="G10" i="1"/>
  <c r="G11" i="1"/>
  <c r="G9" i="1"/>
  <c r="G30" i="1"/>
  <c r="G39" i="1"/>
  <c r="G29" i="1"/>
  <c r="G26" i="1"/>
  <c r="G27" i="1"/>
  <c r="G25" i="1"/>
  <c r="G24" i="1"/>
  <c r="G36" i="1"/>
  <c r="G35" i="1"/>
  <c r="G34" i="1"/>
  <c r="G33" i="1"/>
  <c r="G32" i="1"/>
  <c r="G31" i="1"/>
  <c r="G15" i="1"/>
  <c r="G14" i="1"/>
  <c r="G13" i="1"/>
  <c r="G57" i="1"/>
  <c r="G52" i="1"/>
  <c r="G53" i="1"/>
  <c r="G54" i="1"/>
  <c r="G51" i="1"/>
  <c r="G56" i="1"/>
  <c r="G49" i="1"/>
  <c r="G48" i="1"/>
  <c r="G50" i="1"/>
  <c r="G45" i="1"/>
  <c r="G46" i="1"/>
  <c r="G42" i="1"/>
  <c r="G40" i="1"/>
  <c r="G16" i="1"/>
  <c r="M43" i="1" l="1"/>
  <c r="M57" i="1"/>
  <c r="M27" i="1"/>
  <c r="M61" i="1"/>
  <c r="M56" i="1"/>
  <c r="M19" i="1"/>
  <c r="M51" i="1"/>
  <c r="M24" i="1"/>
  <c r="M31" i="1"/>
  <c r="M38" i="1"/>
  <c r="M48" i="1"/>
  <c r="M32" i="1"/>
  <c r="M39" i="1"/>
  <c r="M7" i="1"/>
  <c r="M13" i="1"/>
  <c r="M25" i="1"/>
  <c r="M14" i="1"/>
  <c r="M42" i="1"/>
  <c r="M35" i="1"/>
  <c r="M15" i="1"/>
  <c r="M29" i="1"/>
  <c r="M50" i="1"/>
  <c r="M49" i="1"/>
  <c r="M10" i="1"/>
  <c r="M30" i="1"/>
  <c r="M34" i="1"/>
  <c r="M11" i="1"/>
  <c r="M6" i="1"/>
  <c r="M9" i="1"/>
  <c r="M36" i="1"/>
  <c r="M16" i="1"/>
  <c r="M44" i="1"/>
  <c r="M45" i="1"/>
  <c r="M52" i="1"/>
  <c r="L26" i="1"/>
  <c r="M26" i="1" s="1"/>
  <c r="M12" i="1"/>
  <c r="L54" i="1"/>
  <c r="M54" i="1" s="1"/>
  <c r="M53" i="1"/>
</calcChain>
</file>

<file path=xl/sharedStrings.xml><?xml version="1.0" encoding="utf-8"?>
<sst xmlns="http://schemas.openxmlformats.org/spreadsheetml/2006/main" count="232" uniqueCount="162">
  <si>
    <t>Data/Source</t>
  </si>
  <si>
    <t>Collection Tool</t>
  </si>
  <si>
    <t>Frequency</t>
  </si>
  <si>
    <t>Indicator</t>
  </si>
  <si>
    <t>Total Indicative Budget</t>
  </si>
  <si>
    <t>USD</t>
  </si>
  <si>
    <t>GCF Impact level: Paradigm shift potential</t>
  </si>
  <si>
    <t>Project progress reports, annual monitoring reports, reports of interviews with stakeholders, communications products (press releases, case studies etc.)</t>
  </si>
  <si>
    <t>Key informant interviews, focus groups, Document review</t>
  </si>
  <si>
    <t>End-of-term</t>
  </si>
  <si>
    <t>Scale - 3-point score card (GCF to provide)</t>
  </si>
  <si>
    <t>Replicability - 3-point score card (GCF to provide)</t>
  </si>
  <si>
    <t>Sustainability - 3-point score card (GCF to provide)</t>
  </si>
  <si>
    <t>GCF Outcome Level: Reduced Emissions and Increased Resilience</t>
  </si>
  <si>
    <t>Reports on solar PV generation and volume of CO2 avoided. BLP monthly electricity bills and statements of credit (from Feed in Tariffs)</t>
  </si>
  <si>
    <t>Document review</t>
  </si>
  <si>
    <t>Annually</t>
  </si>
  <si>
    <t>Core Indicator 1: GHG emissions reduced, avoided or removed/ sequestered</t>
  </si>
  <si>
    <t>(Unit: tonnes of carbon dioxide equivalent)</t>
  </si>
  <si>
    <t>(Disaggregation: results area)</t>
  </si>
  <si>
    <t>Site inspections, equipment specifications, procurement reports, Contractors' installation report</t>
  </si>
  <si>
    <t>Supplementary indicator 1.3: Installed renewable energy capacity (MW)</t>
  </si>
  <si>
    <t>Ministry of Agriculture database/records on Farmers in target areas, RAFF applications, registration forms for training events, website analytics for PEA materials (videos, posts), Barbados Population and Housing Census Reports (BSTP catchment and decentralized cluster sites catchment), site visits, survey/questionnaire reports</t>
  </si>
  <si>
    <t>Government data/records</t>
  </si>
  <si>
    <t>Field observation visits</t>
  </si>
  <si>
    <t>Core indicator 2: direct and indirect beneficiaries reached</t>
  </si>
  <si>
    <t>Disaggregate by individuals and result area. If data on individuals are not available, households could be reported and converted into individuals based on average number of people per household. Detailed guidance will be provided in the results handbook.</t>
  </si>
  <si>
    <t>Survey report on the number of wastewater treatment technologies adapted/implemented by the households, communities, business and public sector as part of the incentive program, RAFF mechanism and possible PEA outreach programmes.</t>
  </si>
  <si>
    <t>BWA project progress reports to CCCCC.</t>
  </si>
  <si>
    <t>Reports from the RAFF (beneficiaries, their progress reports etc.),</t>
  </si>
  <si>
    <t>Document review, survey/questionnaire</t>
  </si>
  <si>
    <t>Bi-annually</t>
  </si>
  <si>
    <t>Supplementary indicator 2.5: Beneficiaries (female/male) adopting innovations that strengthen climate change resilience</t>
  </si>
  <si>
    <t>BWA weekly water quality reports based on in-house laboratory analyses of wastewater water quality and volumes produced.</t>
  </si>
  <si>
    <t>BWA reports on volumes of wastewater used for aquifer recharge and agriculture reuse.</t>
  </si>
  <si>
    <t>Ministry of Agriculture database/records on Farmers in target areas.</t>
  </si>
  <si>
    <t>BWA customers records (for water treatment plan that will utilize the recharged aquifer water).</t>
  </si>
  <si>
    <t>Supplementary indicator 2.3: Beneficiaries (female/male) with more climate-resilient water security</t>
  </si>
  <si>
    <t>GCF Outcome level: Enabling Environment</t>
  </si>
  <si>
    <t>Final report on the review of legislation and recommendations for updating. Final SOP and updated manual. Reports on training completed (evaluation and register of participants), Consultant reports for systems implemented such as the CMMS, SOPs, Weekly reports from the on-site laboratory, BWA meeting reports, final reports of the private sector engagement strategy, urban water reuse strategy,</t>
  </si>
  <si>
    <t>Core indicator 5: Degree to which GCF investments contribute to strengthening institutional and regulatory frameworks for low-emission climate-resilient development pathways in a country-driven manner</t>
  </si>
  <si>
    <t>Final report of Consultant Firm/Contractors on the installation of the PV and STP upgrade. Final report of Consultant Firm/Contractors on the installation of the onsite decentralized wastewater treatment plants</t>
  </si>
  <si>
    <t>Core indicator 6: Degree to which GCF investments contribute to technology deployment, dissemination, development or transfer and innovation</t>
  </si>
  <si>
    <t>RAFF reports, Town and Country Planning Reports on applications for retrofitting homes for facilitating wastewater reuse, Survey report on market transformation for the wastewater sector</t>
  </si>
  <si>
    <t>Key informant interviews, focus groups, Document review, questionnaire/survey</t>
  </si>
  <si>
    <t>Core indicator 7: Degree to which GCF investments contribute to market development/transformation at the sectoral, local or national level</t>
  </si>
  <si>
    <t>KAP survey report, training reports, M&amp;E annual reports, BWA annual work plan for the project,</t>
  </si>
  <si>
    <t>Core indicator 8: Degree to which GCF investments contribute to effective knowledge generation and learning processes, and use of good practices, methodologies and standards.</t>
  </si>
  <si>
    <t>Project Performance Indicators – Outcome 1</t>
  </si>
  <si>
    <t>BWA consumption figures (water meters installed at farms along the 9km pipeline and at infiltration wells)</t>
  </si>
  <si>
    <t>Volume (m3) of treated wastewater utilized for aquifer recharge and agricultural irrigation per year</t>
  </si>
  <si>
    <t>BWA laboratory reports, interviews with farmers and other users</t>
  </si>
  <si>
    <t>Weekly</t>
  </si>
  <si>
    <t>Quality of the treated wastewater</t>
  </si>
  <si>
    <t>BWA project reports, BWA consumer reports for decentralized locations and farms, MOA reports on farmer beneficiaries</t>
  </si>
  <si>
    <t>Field observation visits, Document Review</t>
  </si>
  <si>
    <t># of direct beneficiaries (Disaggregated by type and sex). Type: farmers, households</t>
  </si>
  <si>
    <t>Laboratory reports, reports of contractors hired to upgrade the BSTP, BWA progress reports, Supervising Engineer's Certification of Completion</t>
  </si>
  <si>
    <t>Document review, Field observation visits,</t>
  </si>
  <si>
    <t># of STPs that can treat water to tertiary water quality standard</t>
  </si>
  <si>
    <t>Supervising Engineer's Certification of Completion</t>
  </si>
  <si>
    <t>Km of pipeline installed for transporting tertiary treated wastewater</t>
  </si>
  <si>
    <t>Reports from flow meter installed at BSTP, laboratory reports on water quality</t>
  </si>
  <si>
    <t>Volume (m3) tertiary treated waste water made available per day</t>
  </si>
  <si>
    <t>Consultant/contractors reports, equipment purchase orders, Supervising Engineer's Certification of Completion for Laboratory, BWA Monthly flow rate reports</t>
  </si>
  <si>
    <t># of decision-support tools implemented to mitigate potential climate change risks (Disaggregate by type - CMMS, flow meters, laboratory)</t>
  </si>
  <si>
    <t>Interviews with neighbouring communities, reports of contractors hired to build the decentralized systems, Supervising Engineer's Certification of Completion</t>
  </si>
  <si>
    <t>Field observation visits, Key informant interviews, Document review</t>
  </si>
  <si>
    <t># of decentralized treatment plants operational</t>
  </si>
  <si>
    <t>Project Performance Indicators – Outcome 2</t>
  </si>
  <si>
    <t>energy bills, influent and effluent flows, equipment horsepower and model information</t>
  </si>
  <si>
    <t>Level of energy efficiency of the BSTP (energy consumption/total water treated per year)</t>
  </si>
  <si>
    <t>BSTP electricity bill, License to operate the PV system from the Division of Energy, GOB Electrical Engineering Department (GEED) certificate of compliance, site visits/observation</t>
  </si>
  <si>
    <t># of MV of PV installed</t>
  </si>
  <si>
    <t>Document review, Key informant interviews</t>
  </si>
  <si>
    <t># of EE technologies implemented (disaggregate by type - sludge dewatering, automated controls)</t>
  </si>
  <si>
    <t>Project Performance Indicators – Outcome 3</t>
  </si>
  <si>
    <t>BWA HR information system, work sheets/work assignments</t>
  </si>
  <si>
    <t>% of persons trained are directly involved (utilizing knowledge from training) in the implementation, maintenance, operations and management of the BSTP</t>
  </si>
  <si>
    <t>Final course materials/training package</t>
  </si>
  <si>
    <t>Quarterly</t>
  </si>
  <si>
    <t># of customized trainings developed/adopted</t>
  </si>
  <si>
    <t>registration forms for trainings, certificates of completion</t>
  </si>
  <si>
    <t># of persons trained (disaggregated by sex)</t>
  </si>
  <si>
    <t>Final risk framework, SOPs. O&amp;M manual and project document</t>
  </si>
  <si>
    <t># of documents updated/developed (disaggregate by type - SOPs, operational manual, risk management framework)</t>
  </si>
  <si>
    <t>Final strategic plan</t>
  </si>
  <si>
    <t># of plans completed for the replication of the brackish water RO treatment plant along the west coast corridor</t>
  </si>
  <si>
    <t>Project Performance Indicators – Outcome 4</t>
  </si>
  <si>
    <t>MOUs/agreements, interviews with private businesses and individuals.</t>
  </si>
  <si>
    <t># of private businesses and individuals adapting wastewater technologies for enhanced treatment and/or use of wastewater</t>
  </si>
  <si>
    <t>Interviews with training beneficiaries, training evaluation reports</t>
  </si>
  <si>
    <t>Level of effectiveness of the re-education and public education programme</t>
  </si>
  <si>
    <t>Final master plan, legislative review report and knowledge products</t>
  </si>
  <si>
    <t># of roadmaps/action plans, with recommended actions, completed (Disaggregate by type: legislative reivew, master plan)</t>
  </si>
  <si>
    <t>consultant reports, final tools - strategy, action plan, incentive programme, interviews with relevant Ministry, Department or Agency (MDA), RAFF documentation, MOUs/Agreement with private sector, marketing and educational materials on the RAFF</t>
  </si>
  <si>
    <t># of stakeholder engagement tools/mechanisms developed. (Disaggregate by type: engagementstrategy/action plan, incentive programme, RAFF)</t>
  </si>
  <si>
    <t>social media analytics, website analytics, registration forms, photos</t>
  </si>
  <si>
    <t>Monthly</t>
  </si>
  <si>
    <t># of persons benefitting from education and training activities (Disaggregated by sex)</t>
  </si>
  <si>
    <t>website analytics, project webpage review/observation, BWA progress reports to CCCCC</t>
  </si>
  <si>
    <t># of project updates available on the dedicated 3R-CReWS project webpage</t>
  </si>
  <si>
    <t>social media account hits, views, likes - Youtube, Instagram,Twitter and Facebook</t>
  </si>
  <si>
    <t># of project updates available on the dedicated social media accounts</t>
  </si>
  <si>
    <t>Project Co-Benefit Indicators</t>
  </si>
  <si>
    <t xml:space="preserve">Site visit for observation, Database review and BWA report </t>
  </si>
  <si>
    <t>BWA Reports and flow meters data, Research, project documents, site visit, survey of plant employees.</t>
  </si>
  <si>
    <t>Amount of wastewater discharged into marine environment</t>
  </si>
  <si>
    <t>Survey in surrounding communities and plant employees, Environmental Protection Department (EPD) reports, Ministry of Health reports.</t>
  </si>
  <si>
    <t>Air quality monitoring equipment, Key informant interviews, focus groups, Document review, questionnaire/survey</t>
  </si>
  <si>
    <t xml:space="preserve">Level of H2S emissions </t>
  </si>
  <si>
    <t>Number odour complaints from communities surrounding of the BSTP and lift stations received per year</t>
  </si>
  <si>
    <t>BWA Human Resource Department, Ministry of Agriculture Database, Project reports, surveys.</t>
  </si>
  <si>
    <t>Number of persons, especially women and youth, involved in the production and use of reclaimed water</t>
  </si>
  <si>
    <t>Budget notes (assumptions and references):</t>
  </si>
  <si>
    <r>
      <t xml:space="preserve">It is estimated that this activity will require a level of effort of ca. </t>
    </r>
    <r>
      <rPr>
        <sz val="11"/>
        <color rgb="FF00B050"/>
        <rFont val="Calibri"/>
        <family val="2"/>
        <scheme val="minor"/>
      </rPr>
      <t>25%</t>
    </r>
    <r>
      <rPr>
        <sz val="11"/>
        <color theme="1"/>
        <rFont val="Calibri"/>
        <family val="2"/>
        <scheme val="minor"/>
      </rPr>
      <t>, with a duration of ca.</t>
    </r>
    <r>
      <rPr>
        <sz val="11"/>
        <color rgb="FF00B050"/>
        <rFont val="Calibri"/>
        <family val="2"/>
        <scheme val="minor"/>
      </rPr>
      <t xml:space="preserve"> 2.4 months</t>
    </r>
    <r>
      <rPr>
        <sz val="11"/>
        <color theme="1"/>
        <rFont val="Calibri"/>
        <family val="2"/>
        <scheme val="minor"/>
      </rPr>
      <t xml:space="preserve"> at a rate of USS250.00 to conduct the following: </t>
    </r>
    <r>
      <rPr>
        <sz val="11"/>
        <color rgb="FF00B050"/>
        <rFont val="Calibri"/>
        <family val="2"/>
        <scheme val="minor"/>
      </rPr>
      <t>key interviews, lead focus groups, synthesize and review documents and reports</t>
    </r>
    <r>
      <rPr>
        <sz val="11"/>
        <color theme="1"/>
        <rFont val="Calibri"/>
        <family val="2"/>
        <scheme val="minor"/>
      </rPr>
      <t xml:space="preserve">, inter alia. The total budget for this activity is </t>
    </r>
    <r>
      <rPr>
        <sz val="11"/>
        <color rgb="FF00B050"/>
        <rFont val="Calibri"/>
        <family val="2"/>
        <scheme val="minor"/>
      </rPr>
      <t>USD8,000</t>
    </r>
    <r>
      <rPr>
        <sz val="11"/>
        <color theme="1"/>
        <rFont val="Calibri"/>
        <family val="2"/>
        <scheme val="minor"/>
      </rPr>
      <t>.</t>
    </r>
  </si>
  <si>
    <r>
      <t xml:space="preserve">It is estimated that this activity will require a level of effort of ca. </t>
    </r>
    <r>
      <rPr>
        <sz val="11"/>
        <color rgb="FF00B050"/>
        <rFont val="Calibri"/>
        <family val="2"/>
        <scheme val="minor"/>
      </rPr>
      <t>25%</t>
    </r>
    <r>
      <rPr>
        <sz val="11"/>
        <color theme="1"/>
        <rFont val="Calibri"/>
        <family val="2"/>
        <scheme val="minor"/>
      </rPr>
      <t>, with a duration of ca.</t>
    </r>
    <r>
      <rPr>
        <sz val="11"/>
        <color rgb="FF00B050"/>
        <rFont val="Calibri"/>
        <family val="2"/>
        <scheme val="minor"/>
      </rPr>
      <t xml:space="preserve"> 2.5 months</t>
    </r>
    <r>
      <rPr>
        <sz val="11"/>
        <color theme="1"/>
        <rFont val="Calibri"/>
        <family val="2"/>
        <scheme val="minor"/>
      </rPr>
      <t xml:space="preserve"> at a rate of USS250.00 to conduct the following: </t>
    </r>
    <r>
      <rPr>
        <sz val="11"/>
        <color rgb="FF00B050"/>
        <rFont val="Calibri"/>
        <family val="2"/>
        <scheme val="minor"/>
      </rPr>
      <t>key interviews, lead focus groups, synthesize and review documents and reports</t>
    </r>
    <r>
      <rPr>
        <sz val="11"/>
        <color theme="1"/>
        <rFont val="Calibri"/>
        <family val="2"/>
        <scheme val="minor"/>
      </rPr>
      <t xml:space="preserve">, inter alia. The total budget for this activity is </t>
    </r>
    <r>
      <rPr>
        <sz val="11"/>
        <color rgb="FF00B050"/>
        <rFont val="Calibri"/>
        <family val="2"/>
        <scheme val="minor"/>
      </rPr>
      <t>USD9,000</t>
    </r>
    <r>
      <rPr>
        <sz val="11"/>
        <color theme="1"/>
        <rFont val="Calibri"/>
        <family val="2"/>
        <scheme val="minor"/>
      </rPr>
      <t>.</t>
    </r>
  </si>
  <si>
    <r>
      <t xml:space="preserve">It is estimated that this activity will require a level of effort of ca. </t>
    </r>
    <r>
      <rPr>
        <sz val="11"/>
        <color rgb="FF00B050"/>
        <rFont val="Calibri"/>
        <family val="2"/>
        <scheme val="minor"/>
      </rPr>
      <t>25%</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 following: </t>
    </r>
    <r>
      <rPr>
        <sz val="11"/>
        <color rgb="FF00B050"/>
        <rFont val="Calibri"/>
        <family val="2"/>
        <scheme val="minor"/>
      </rPr>
      <t>sysnthesis and review of solar PV generation and volume of CO2 avoided: GHG emissions reduced</t>
    </r>
    <r>
      <rPr>
        <sz val="11"/>
        <color theme="1"/>
        <rFont val="Calibri"/>
        <family val="2"/>
        <scheme val="minor"/>
      </rPr>
      <t xml:space="preserve">, inter alia. The total budget for this activity is </t>
    </r>
    <r>
      <rPr>
        <sz val="11"/>
        <color rgb="FF00B050"/>
        <rFont val="Calibri"/>
        <family val="2"/>
        <scheme val="minor"/>
      </rPr>
      <t>USD1,500</t>
    </r>
    <r>
      <rPr>
        <sz val="11"/>
        <color theme="1"/>
        <rFont val="Calibri"/>
        <family val="2"/>
        <scheme val="minor"/>
      </rPr>
      <t>.</t>
    </r>
  </si>
  <si>
    <r>
      <t xml:space="preserve">It is estimated that this activity will require a level of effort of ca. </t>
    </r>
    <r>
      <rPr>
        <sz val="11"/>
        <color rgb="FF00B050"/>
        <rFont val="Calibri"/>
        <family val="2"/>
        <scheme val="minor"/>
      </rPr>
      <t>25%</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 following: </t>
    </r>
    <r>
      <rPr>
        <sz val="11"/>
        <color rgb="FF00B050"/>
        <rFont val="Calibri"/>
        <family val="2"/>
        <scheme val="minor"/>
      </rPr>
      <t>sysnthesis and review of solar PV generation and volume of CO2 avoided: tonnes carbon dioxide eq.</t>
    </r>
    <r>
      <rPr>
        <sz val="11"/>
        <color theme="1"/>
        <rFont val="Calibri"/>
        <family val="2"/>
        <scheme val="minor"/>
      </rPr>
      <t xml:space="preserve">, inter alia. The total budget for this activity is </t>
    </r>
    <r>
      <rPr>
        <sz val="11"/>
        <color rgb="FF00B050"/>
        <rFont val="Calibri"/>
        <family val="2"/>
        <scheme val="minor"/>
      </rPr>
      <t>USD1,500</t>
    </r>
    <r>
      <rPr>
        <sz val="11"/>
        <color theme="1"/>
        <rFont val="Calibri"/>
        <family val="2"/>
        <scheme val="minor"/>
      </rPr>
      <t>.</t>
    </r>
  </si>
  <si>
    <r>
      <t xml:space="preserve">It is estimated that this activity will require a level of effort of ca. </t>
    </r>
    <r>
      <rPr>
        <sz val="11"/>
        <color rgb="FF00B050"/>
        <rFont val="Calibri"/>
        <family val="2"/>
        <scheme val="minor"/>
      </rPr>
      <t>25%</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 following: </t>
    </r>
    <r>
      <rPr>
        <sz val="11"/>
        <color rgb="FF00B050"/>
        <rFont val="Calibri"/>
        <family val="2"/>
        <scheme val="minor"/>
      </rPr>
      <t>sysnthesis and review of solar PV generation and volume of CO2 avoided: quantification and disaggregation of data</t>
    </r>
    <r>
      <rPr>
        <sz val="11"/>
        <color theme="1"/>
        <rFont val="Calibri"/>
        <family val="2"/>
        <scheme val="minor"/>
      </rPr>
      <t xml:space="preserve">, inter alia. The total budget for this activity is </t>
    </r>
    <r>
      <rPr>
        <sz val="11"/>
        <color rgb="FF00B050"/>
        <rFont val="Calibri"/>
        <family val="2"/>
        <scheme val="minor"/>
      </rPr>
      <t>USD1,500</t>
    </r>
    <r>
      <rPr>
        <sz val="11"/>
        <color theme="1"/>
        <rFont val="Calibri"/>
        <family val="2"/>
        <scheme val="minor"/>
      </rPr>
      <t>.</t>
    </r>
  </si>
  <si>
    <r>
      <t xml:space="preserve">It is estimated that this activity will require a level of effort of ca. </t>
    </r>
    <r>
      <rPr>
        <sz val="11"/>
        <color rgb="FF00B050"/>
        <rFont val="Calibri"/>
        <family val="2"/>
        <scheme val="minor"/>
      </rPr>
      <t>20%</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 following: </t>
    </r>
    <r>
      <rPr>
        <sz val="11"/>
        <color rgb="FF00B050"/>
        <rFont val="Calibri"/>
        <family val="2"/>
        <scheme val="minor"/>
      </rPr>
      <t>sysnthesis and review of official data, information and reports: data of Core indicator 2: direct and indirect beneficiaries reached</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</si>
  <si>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20%</t>
    </r>
    <r>
      <rPr>
        <sz val="11"/>
        <color theme="1"/>
        <rFont val="Calibri"/>
        <family val="2"/>
        <scheme val="minor"/>
      </rPr>
      <t xml:space="preserve">, with a duration of ca. </t>
    </r>
    <r>
      <rPr>
        <sz val="11"/>
        <color rgb="FF00B050"/>
        <rFont val="Calibri"/>
        <family val="2"/>
        <scheme val="minor"/>
      </rPr>
      <t>3.7</t>
    </r>
    <r>
      <rPr>
        <sz val="11"/>
        <color theme="1"/>
        <rFont val="Calibri"/>
        <family val="2"/>
        <scheme val="minor"/>
      </rPr>
      <t xml:space="preserve"> months at a rate of USS250.00 to conduct the following document review to </t>
    </r>
    <r>
      <rPr>
        <sz val="11"/>
        <color rgb="FF00B050"/>
        <rFont val="Calibri"/>
        <family val="2"/>
        <scheme val="minor"/>
      </rPr>
      <t>synthesize data for: Supplementary indicator 2.3: Beneficiaries (female/male) with more climate-resilient water security</t>
    </r>
    <r>
      <rPr>
        <sz val="11"/>
        <color theme="1"/>
        <rFont val="Calibri"/>
        <family val="2"/>
        <scheme val="minor"/>
      </rPr>
      <t xml:space="preserve">, inter alia. The total budget for this activity is </t>
    </r>
    <r>
      <rPr>
        <sz val="11"/>
        <color rgb="FF00B050"/>
        <rFont val="Calibri"/>
        <family val="2"/>
        <scheme val="minor"/>
      </rPr>
      <t>USD15,000</t>
    </r>
    <r>
      <rPr>
        <sz val="11"/>
        <color theme="1"/>
        <rFont val="Calibri"/>
        <family val="2"/>
        <scheme val="minor"/>
      </rPr>
      <t>.</t>
    </r>
  </si>
  <si>
    <r>
      <t xml:space="preserve">It is estimated that this activity will require a level of effort of ca. </t>
    </r>
    <r>
      <rPr>
        <sz val="11"/>
        <color rgb="FF00B050"/>
        <rFont val="Calibri"/>
        <family val="2"/>
        <scheme val="minor"/>
      </rPr>
      <t>25%</t>
    </r>
    <r>
      <rPr>
        <sz val="11"/>
        <color theme="1"/>
        <rFont val="Calibri"/>
        <family val="2"/>
        <scheme val="minor"/>
      </rPr>
      <t>, with a duration of ca.</t>
    </r>
    <r>
      <rPr>
        <sz val="11"/>
        <color rgb="FF00B050"/>
        <rFont val="Calibri"/>
        <family val="2"/>
        <scheme val="minor"/>
      </rPr>
      <t xml:space="preserve"> 1.9 months</t>
    </r>
    <r>
      <rPr>
        <sz val="11"/>
        <color theme="1"/>
        <rFont val="Calibri"/>
        <family val="2"/>
        <scheme val="minor"/>
      </rPr>
      <t xml:space="preserve"> at a rate of USS250.00 to conduct the following: </t>
    </r>
    <r>
      <rPr>
        <sz val="11"/>
        <color rgb="FF00B050"/>
        <rFont val="Calibri"/>
        <family val="2"/>
        <scheme val="minor"/>
      </rPr>
      <t>key interviews, lead focus groups, synthesize and review documents and reports</t>
    </r>
    <r>
      <rPr>
        <sz val="11"/>
        <color theme="1"/>
        <rFont val="Calibri"/>
        <family val="2"/>
        <scheme val="minor"/>
      </rPr>
      <t xml:space="preserve">, inter alia. The total budget for this activity is </t>
    </r>
    <r>
      <rPr>
        <sz val="11"/>
        <color rgb="FF00B050"/>
        <rFont val="Calibri"/>
        <family val="2"/>
        <scheme val="minor"/>
      </rPr>
      <t>USD5,000</t>
    </r>
    <r>
      <rPr>
        <sz val="11"/>
        <color theme="1"/>
        <rFont val="Calibri"/>
        <family val="2"/>
        <scheme val="minor"/>
      </rPr>
      <t>.</t>
    </r>
  </si>
  <si>
    <r>
      <t xml:space="preserve">It is estimated that this activity will require a level of effort of ca. </t>
    </r>
    <r>
      <rPr>
        <sz val="11"/>
        <color rgb="FF00B050"/>
        <rFont val="Calibri"/>
        <family val="2"/>
        <scheme val="minor"/>
      </rPr>
      <t>40%</t>
    </r>
    <r>
      <rPr>
        <sz val="11"/>
        <color theme="1"/>
        <rFont val="Calibri"/>
        <family val="2"/>
        <scheme val="minor"/>
      </rPr>
      <t>, with a duration of ca.</t>
    </r>
    <r>
      <rPr>
        <sz val="11"/>
        <color rgb="FF00B050"/>
        <rFont val="Calibri"/>
        <family val="2"/>
        <scheme val="minor"/>
      </rPr>
      <t xml:space="preserve"> 1.0 months</t>
    </r>
    <r>
      <rPr>
        <sz val="11"/>
        <color theme="1"/>
        <rFont val="Calibri"/>
        <family val="2"/>
        <scheme val="minor"/>
      </rPr>
      <t xml:space="preserve"> at a rate of USS250.00 to conduct the following: </t>
    </r>
    <r>
      <rPr>
        <sz val="11"/>
        <color rgb="FF00B050"/>
        <rFont val="Calibri"/>
        <family val="2"/>
        <scheme val="minor"/>
      </rPr>
      <t xml:space="preserve">annual document review for Volume (m3) of treated wastewater utilized for aquifer recharge and agricultural irrigation per year </t>
    </r>
    <r>
      <rPr>
        <sz val="11"/>
        <color theme="1"/>
        <rFont val="Calibri"/>
        <family val="2"/>
        <scheme val="minor"/>
      </rPr>
      <t xml:space="preserve">, inter alia. The total budget for this activity is </t>
    </r>
    <r>
      <rPr>
        <sz val="11"/>
        <color rgb="FF00B050"/>
        <rFont val="Calibri"/>
        <family val="2"/>
        <scheme val="minor"/>
      </rPr>
      <t>USD2,500</t>
    </r>
    <r>
      <rPr>
        <sz val="11"/>
        <color theme="1"/>
        <rFont val="Calibri"/>
        <family val="2"/>
        <scheme val="minor"/>
      </rPr>
      <t>.</t>
    </r>
  </si>
  <si>
    <r>
      <t xml:space="preserve">It is estimated that this activity will require a level of effort of ca. </t>
    </r>
    <r>
      <rPr>
        <sz val="11"/>
        <color rgb="FF00B050"/>
        <rFont val="Calibri"/>
        <family val="2"/>
        <scheme val="minor"/>
      </rPr>
      <t>30%</t>
    </r>
    <r>
      <rPr>
        <sz val="11"/>
        <color theme="1"/>
        <rFont val="Calibri"/>
        <family val="2"/>
        <scheme val="minor"/>
      </rPr>
      <t>, with a duration of ca.</t>
    </r>
    <r>
      <rPr>
        <sz val="11"/>
        <color rgb="FF00B050"/>
        <rFont val="Calibri"/>
        <family val="2"/>
        <scheme val="minor"/>
      </rPr>
      <t xml:space="preserve"> 1.0months</t>
    </r>
    <r>
      <rPr>
        <sz val="11"/>
        <color theme="1"/>
        <rFont val="Calibri"/>
        <family val="2"/>
        <scheme val="minor"/>
      </rPr>
      <t xml:space="preserve"> at a rate of USS250.00 to conduct the following: </t>
    </r>
    <r>
      <rPr>
        <sz val="11"/>
        <color rgb="FF00B050"/>
        <rFont val="Calibri"/>
        <family val="2"/>
        <scheme val="minor"/>
      </rPr>
      <t>annual document review for # of decision-support tools implemented to mitigate potential climate change risks, field observation visits, key interviews,</t>
    </r>
    <r>
      <rPr>
        <sz val="11"/>
        <color theme="1"/>
        <rFont val="Calibri"/>
        <family val="2"/>
        <scheme val="minor"/>
      </rPr>
      <t xml:space="preserve"> inter alia. The total budget for this activity is </t>
    </r>
    <r>
      <rPr>
        <sz val="11"/>
        <color rgb="FF00B050"/>
        <rFont val="Calibri"/>
        <family val="2"/>
        <scheme val="minor"/>
      </rPr>
      <t>USD3,750</t>
    </r>
    <r>
      <rPr>
        <sz val="11"/>
        <color theme="1"/>
        <rFont val="Calibri"/>
        <family val="2"/>
        <scheme val="minor"/>
      </rPr>
      <t xml:space="preserve">. </t>
    </r>
  </si>
  <si>
    <r>
      <t xml:space="preserve">It is estimated that this activity will require a level of effort of ca. </t>
    </r>
    <r>
      <rPr>
        <sz val="11"/>
        <color rgb="FF00B050"/>
        <rFont val="Calibri"/>
        <family val="2"/>
        <scheme val="minor"/>
      </rPr>
      <t>30%</t>
    </r>
    <r>
      <rPr>
        <sz val="11"/>
        <color theme="1"/>
        <rFont val="Calibri"/>
        <family val="2"/>
        <scheme val="minor"/>
      </rPr>
      <t>, with a duration of ca.</t>
    </r>
    <r>
      <rPr>
        <sz val="11"/>
        <color rgb="FF00B050"/>
        <rFont val="Calibri"/>
        <family val="2"/>
        <scheme val="minor"/>
      </rPr>
      <t xml:space="preserve"> 1.0 months</t>
    </r>
    <r>
      <rPr>
        <sz val="11"/>
        <color theme="1"/>
        <rFont val="Calibri"/>
        <family val="2"/>
        <scheme val="minor"/>
      </rPr>
      <t xml:space="preserve"> at a rate of USS250.00 to conduct the following: </t>
    </r>
    <r>
      <rPr>
        <sz val="11"/>
        <color rgb="FF00B050"/>
        <rFont val="Calibri"/>
        <family val="2"/>
        <scheme val="minor"/>
      </rPr>
      <t>annual document review for # of decision-support tools implemented to mitigate potential climate change risks, field observation visits, key interviews,</t>
    </r>
    <r>
      <rPr>
        <sz val="11"/>
        <color theme="1"/>
        <rFont val="Calibri"/>
        <family val="2"/>
        <scheme val="minor"/>
      </rPr>
      <t xml:space="preserve"> inter alia. The total budget for this activity is </t>
    </r>
    <r>
      <rPr>
        <sz val="11"/>
        <color rgb="FF00B050"/>
        <rFont val="Calibri"/>
        <family val="2"/>
        <scheme val="minor"/>
      </rPr>
      <t>USD3,750</t>
    </r>
    <r>
      <rPr>
        <sz val="11"/>
        <color theme="1"/>
        <rFont val="Calibri"/>
        <family val="2"/>
        <scheme val="minor"/>
      </rPr>
      <t xml:space="preserve">. </t>
    </r>
  </si>
  <si>
    <r>
      <t xml:space="preserve">It is estimated that this activity will require a level of effort of ca. </t>
    </r>
    <r>
      <rPr>
        <sz val="11"/>
        <color rgb="FF00B050"/>
        <rFont val="Calibri"/>
        <family val="2"/>
        <scheme val="minor"/>
      </rPr>
      <t>5%</t>
    </r>
    <r>
      <rPr>
        <sz val="11"/>
        <color theme="1"/>
        <rFont val="Calibri"/>
        <family val="2"/>
        <scheme val="minor"/>
      </rPr>
      <t>, with a duration of ca.</t>
    </r>
    <r>
      <rPr>
        <sz val="11"/>
        <color rgb="FF00B050"/>
        <rFont val="Calibri"/>
        <family val="2"/>
        <scheme val="minor"/>
      </rPr>
      <t xml:space="preserve"> 3.7 months</t>
    </r>
    <r>
      <rPr>
        <sz val="11"/>
        <color theme="1"/>
        <rFont val="Calibri"/>
        <family val="2"/>
        <scheme val="minor"/>
      </rPr>
      <t xml:space="preserve"> at a rate of USS250.00 to conduct the following: </t>
    </r>
    <r>
      <rPr>
        <sz val="11"/>
        <color rgb="FF00B050"/>
        <rFont val="Calibri"/>
        <family val="2"/>
        <scheme val="minor"/>
      </rPr>
      <t>weekly document review for # of STPs that can treat water to tertiary water quality standard, field observation visits,</t>
    </r>
    <r>
      <rPr>
        <sz val="11"/>
        <color theme="1"/>
        <rFont val="Calibri"/>
        <family val="2"/>
        <scheme val="minor"/>
      </rPr>
      <t xml:space="preserve"> inter alia. The total budget for this activity is </t>
    </r>
    <r>
      <rPr>
        <sz val="11"/>
        <color rgb="FF00B050"/>
        <rFont val="Calibri"/>
        <family val="2"/>
        <scheme val="minor"/>
      </rPr>
      <t>USD3,750</t>
    </r>
    <r>
      <rPr>
        <sz val="11"/>
        <color theme="1"/>
        <rFont val="Calibri"/>
        <family val="2"/>
        <scheme val="minor"/>
      </rPr>
      <t xml:space="preserve">. </t>
    </r>
  </si>
  <si>
    <r>
      <t xml:space="preserve">It is estimated that this activity will require a level of effort of ca. </t>
    </r>
    <r>
      <rPr>
        <sz val="11"/>
        <color rgb="FF00B050"/>
        <rFont val="Calibri"/>
        <family val="2"/>
        <scheme val="minor"/>
      </rPr>
      <t>5%</t>
    </r>
    <r>
      <rPr>
        <sz val="11"/>
        <color theme="1"/>
        <rFont val="Calibri"/>
        <family val="2"/>
        <scheme val="minor"/>
      </rPr>
      <t>, with a duration of ca.</t>
    </r>
    <r>
      <rPr>
        <sz val="11"/>
        <color rgb="FF00B050"/>
        <rFont val="Calibri"/>
        <family val="2"/>
        <scheme val="minor"/>
      </rPr>
      <t xml:space="preserve"> 3.7 months</t>
    </r>
    <r>
      <rPr>
        <sz val="11"/>
        <color theme="1"/>
        <rFont val="Calibri"/>
        <family val="2"/>
        <scheme val="minor"/>
      </rPr>
      <t xml:space="preserve"> at a rate of USS250.00 to conduct the following: </t>
    </r>
    <r>
      <rPr>
        <sz val="11"/>
        <color rgb="FF00B050"/>
        <rFont val="Calibri"/>
        <family val="2"/>
        <scheme val="minor"/>
      </rPr>
      <t>weekly document review for Km of pipeline installed for transporting tertiary treated wastewater, field observation visits,</t>
    </r>
    <r>
      <rPr>
        <sz val="11"/>
        <color theme="1"/>
        <rFont val="Calibri"/>
        <family val="2"/>
        <scheme val="minor"/>
      </rPr>
      <t xml:space="preserve"> inter alia. The total budget for this activity is </t>
    </r>
    <r>
      <rPr>
        <sz val="11"/>
        <color rgb="FF00B050"/>
        <rFont val="Calibri"/>
        <family val="2"/>
        <scheme val="minor"/>
      </rPr>
      <t>USD3,750</t>
    </r>
    <r>
      <rPr>
        <sz val="11"/>
        <color theme="1"/>
        <rFont val="Calibri"/>
        <family val="2"/>
        <scheme val="minor"/>
      </rPr>
      <t xml:space="preserve">. </t>
    </r>
  </si>
  <si>
    <r>
      <t xml:space="preserve">It is estimated that this activity will require a level of effort of ca. </t>
    </r>
    <r>
      <rPr>
        <sz val="11"/>
        <color rgb="FF00B050"/>
        <rFont val="Calibri"/>
        <family val="2"/>
        <scheme val="minor"/>
      </rPr>
      <t>5%</t>
    </r>
    <r>
      <rPr>
        <sz val="11"/>
        <color theme="1"/>
        <rFont val="Calibri"/>
        <family val="2"/>
        <scheme val="minor"/>
      </rPr>
      <t>, with a duration of ca.</t>
    </r>
    <r>
      <rPr>
        <sz val="11"/>
        <color rgb="FF00B050"/>
        <rFont val="Calibri"/>
        <family val="2"/>
        <scheme val="minor"/>
      </rPr>
      <t xml:space="preserve"> 4.2 months</t>
    </r>
    <r>
      <rPr>
        <sz val="11"/>
        <color theme="1"/>
        <rFont val="Calibri"/>
        <family val="2"/>
        <scheme val="minor"/>
      </rPr>
      <t xml:space="preserve"> at a rate of USS250.00 to conduct the following: </t>
    </r>
    <r>
      <rPr>
        <sz val="11"/>
        <color rgb="FF00B050"/>
        <rFont val="Calibri"/>
        <family val="2"/>
        <scheme val="minor"/>
      </rPr>
      <t>weekly document review for Quality of the treated wastewater</t>
    </r>
    <r>
      <rPr>
        <sz val="11"/>
        <color theme="1"/>
        <rFont val="Calibri"/>
        <family val="2"/>
        <scheme val="minor"/>
      </rPr>
      <t xml:space="preserve">, inter alia. The total budget for this activity is </t>
    </r>
    <r>
      <rPr>
        <sz val="11"/>
        <color rgb="FF00B050"/>
        <rFont val="Calibri"/>
        <family val="2"/>
        <scheme val="minor"/>
      </rPr>
      <t>USD5,000</t>
    </r>
    <r>
      <rPr>
        <sz val="11"/>
        <color theme="1"/>
        <rFont val="Calibri"/>
        <family val="2"/>
        <scheme val="minor"/>
      </rPr>
      <t>.</t>
    </r>
  </si>
  <si>
    <r>
      <t xml:space="preserve">It is estimated that this activity will require a level of effort of ca. </t>
    </r>
    <r>
      <rPr>
        <sz val="11"/>
        <color rgb="FF00B050"/>
        <rFont val="Calibri"/>
        <family val="2"/>
        <scheme val="minor"/>
      </rPr>
      <t>40%</t>
    </r>
    <r>
      <rPr>
        <sz val="11"/>
        <color theme="1"/>
        <rFont val="Calibri"/>
        <family val="2"/>
        <scheme val="minor"/>
      </rPr>
      <t>, with a duration of ca.</t>
    </r>
    <r>
      <rPr>
        <sz val="11"/>
        <color rgb="FF00B050"/>
        <rFont val="Calibri"/>
        <family val="2"/>
        <scheme val="minor"/>
      </rPr>
      <t xml:space="preserve"> 1.2 months</t>
    </r>
    <r>
      <rPr>
        <sz val="11"/>
        <color theme="1"/>
        <rFont val="Calibri"/>
        <family val="2"/>
        <scheme val="minor"/>
      </rPr>
      <t xml:space="preserve"> at a rate of USS250.00 to conduct the following: </t>
    </r>
    <r>
      <rPr>
        <sz val="11"/>
        <color rgb="FF00B050"/>
        <rFont val="Calibri"/>
        <family val="2"/>
        <scheme val="minor"/>
      </rPr>
      <t>annual document review for # of direct beneficiaries (Disaggregated by type and sex), field observation visits,</t>
    </r>
    <r>
      <rPr>
        <sz val="11"/>
        <color theme="1"/>
        <rFont val="Calibri"/>
        <family val="2"/>
        <scheme val="minor"/>
      </rPr>
      <t xml:space="preserve"> inter alia. The total budget for this activity is </t>
    </r>
    <r>
      <rPr>
        <sz val="11"/>
        <color rgb="FF00B050"/>
        <rFont val="Calibri"/>
        <family val="2"/>
        <scheme val="minor"/>
      </rPr>
      <t>USD3,750</t>
    </r>
    <r>
      <rPr>
        <sz val="11"/>
        <color theme="1"/>
        <rFont val="Calibri"/>
        <family val="2"/>
        <scheme val="minor"/>
      </rPr>
      <t xml:space="preserve">. </t>
    </r>
  </si>
  <si>
    <r>
      <t xml:space="preserve">It is estimated that this activity will require a level of effort of ca. </t>
    </r>
    <r>
      <rPr>
        <sz val="11"/>
        <color rgb="FF00B050"/>
        <rFont val="Calibri"/>
        <family val="2"/>
        <scheme val="minor"/>
      </rPr>
      <t>50%</t>
    </r>
    <r>
      <rPr>
        <sz val="11"/>
        <color theme="1"/>
        <rFont val="Calibri"/>
        <family val="2"/>
        <scheme val="minor"/>
      </rPr>
      <t>, with a duration of ca.</t>
    </r>
    <r>
      <rPr>
        <sz val="11"/>
        <color rgb="FF00B050"/>
        <rFont val="Calibri"/>
        <family val="2"/>
        <scheme val="minor"/>
      </rPr>
      <t xml:space="preserve"> 1.2 months</t>
    </r>
    <r>
      <rPr>
        <sz val="11"/>
        <color theme="1"/>
        <rFont val="Calibri"/>
        <family val="2"/>
        <scheme val="minor"/>
      </rPr>
      <t xml:space="preserve"> at a rate of USS250.00 to conduct the following: weekly</t>
    </r>
    <r>
      <rPr>
        <sz val="11"/>
        <color rgb="FF00B050"/>
        <rFont val="Calibri"/>
        <family val="2"/>
        <scheme val="minor"/>
      </rPr>
      <t xml:space="preserve"> document review for # of private businesses and individuals adapting wastewater technologies for enhanced treatment and/or use of wastewater, field observation visits, key interviews,</t>
    </r>
    <r>
      <rPr>
        <sz val="11"/>
        <color theme="1"/>
        <rFont val="Calibri"/>
        <family val="2"/>
        <scheme val="minor"/>
      </rPr>
      <t xml:space="preserve"> inter alia. The total budget for this activity is </t>
    </r>
    <r>
      <rPr>
        <sz val="11"/>
        <color rgb="FF00B050"/>
        <rFont val="Calibri"/>
        <family val="2"/>
        <scheme val="minor"/>
      </rPr>
      <t>USD3,750</t>
    </r>
    <r>
      <rPr>
        <sz val="11"/>
        <color theme="1"/>
        <rFont val="Calibri"/>
        <family val="2"/>
        <scheme val="minor"/>
      </rPr>
      <t xml:space="preserve">. </t>
    </r>
  </si>
  <si>
    <r>
      <t xml:space="preserve">It is estimated that this activity will require a level of effort of ca. </t>
    </r>
    <r>
      <rPr>
        <sz val="11"/>
        <color rgb="FF00B050"/>
        <rFont val="Calibri"/>
        <family val="2"/>
        <scheme val="minor"/>
      </rPr>
      <t>50%</t>
    </r>
    <r>
      <rPr>
        <sz val="11"/>
        <color theme="1"/>
        <rFont val="Calibri"/>
        <family val="2"/>
        <scheme val="minor"/>
      </rPr>
      <t>, with a duration of ca.</t>
    </r>
    <r>
      <rPr>
        <sz val="11"/>
        <color rgb="FF00B050"/>
        <rFont val="Calibri"/>
        <family val="2"/>
        <scheme val="minor"/>
      </rPr>
      <t xml:space="preserve"> 1.2 months</t>
    </r>
    <r>
      <rPr>
        <sz val="11"/>
        <color theme="1"/>
        <rFont val="Calibri"/>
        <family val="2"/>
        <scheme val="minor"/>
      </rPr>
      <t xml:space="preserve"> at a rate of USS250.00 to conduct the following: weekly</t>
    </r>
    <r>
      <rPr>
        <sz val="11"/>
        <color rgb="FF00B050"/>
        <rFont val="Calibri"/>
        <family val="2"/>
        <scheme val="minor"/>
      </rPr>
      <t xml:space="preserve"> document review for Level of effectiveness of the re-education and public education programme, field observation visits, key interviews,</t>
    </r>
    <r>
      <rPr>
        <sz val="11"/>
        <color theme="1"/>
        <rFont val="Calibri"/>
        <family val="2"/>
        <scheme val="minor"/>
      </rPr>
      <t xml:space="preserve"> inter alia. The total budget for this activity is </t>
    </r>
    <r>
      <rPr>
        <sz val="11"/>
        <color rgb="FF00B050"/>
        <rFont val="Calibri"/>
        <family val="2"/>
        <scheme val="minor"/>
      </rPr>
      <t>USD3,750</t>
    </r>
    <r>
      <rPr>
        <sz val="11"/>
        <color theme="1"/>
        <rFont val="Calibri"/>
        <family val="2"/>
        <scheme val="minor"/>
      </rPr>
      <t xml:space="preserve">. </t>
    </r>
  </si>
  <si>
    <r>
      <t>It is estimated that this activity will require a level of effort of ca.</t>
    </r>
    <r>
      <rPr>
        <sz val="11"/>
        <color rgb="FF00B050"/>
        <rFont val="Calibri"/>
        <family val="2"/>
        <scheme val="minor"/>
      </rPr>
      <t xml:space="preserve"> 20%</t>
    </r>
    <r>
      <rPr>
        <sz val="11"/>
        <color theme="1"/>
        <rFont val="Calibri"/>
        <family val="2"/>
        <scheme val="minor"/>
      </rPr>
      <t>, with a duration of ca.</t>
    </r>
    <r>
      <rPr>
        <sz val="11"/>
        <color rgb="FF00B050"/>
        <rFont val="Calibri"/>
        <family val="2"/>
        <scheme val="minor"/>
      </rPr>
      <t xml:space="preserve"> 1.0 months</t>
    </r>
    <r>
      <rPr>
        <sz val="11"/>
        <color theme="1"/>
        <rFont val="Calibri"/>
        <family val="2"/>
        <scheme val="minor"/>
      </rPr>
      <t xml:space="preserve"> at a rate of USS250.00 to conduct the following: </t>
    </r>
    <r>
      <rPr>
        <sz val="11"/>
        <color rgb="FF00B050"/>
        <rFont val="Calibri"/>
        <family val="2"/>
        <scheme val="minor"/>
      </rPr>
      <t xml:space="preserve">annual document review for Volume (m3) tertiary treated waste water made available per day </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</si>
  <si>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20%</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they following: </t>
    </r>
    <r>
      <rPr>
        <sz val="11"/>
        <color rgb="FF00B050"/>
        <rFont val="Calibri"/>
        <family val="2"/>
        <scheme val="minor"/>
      </rPr>
      <t>sysnthesis and review of official data, information and reports to determine the Level of energy efficiency of the BSTP (energy consumption/total water treated per year)</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</si>
  <si>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20%</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they following: </t>
    </r>
    <r>
      <rPr>
        <sz val="11"/>
        <color rgb="FF00B050"/>
        <rFont val="Calibri"/>
        <family val="2"/>
        <scheme val="minor"/>
      </rPr>
      <t>sysnthesis and review of official data, information and reports to determine # of MV of PV installed</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</si>
  <si>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35%</t>
    </r>
    <r>
      <rPr>
        <sz val="11"/>
        <color theme="1"/>
        <rFont val="Calibri"/>
        <family val="2"/>
        <scheme val="minor"/>
      </rPr>
      <t>, with a duration of ca.</t>
    </r>
    <r>
      <rPr>
        <sz val="11"/>
        <color rgb="FF00B050"/>
        <rFont val="Calibri"/>
        <family val="2"/>
        <scheme val="minor"/>
      </rPr>
      <t xml:space="preserve"> 1.0 months</t>
    </r>
    <r>
      <rPr>
        <sz val="11"/>
        <color theme="1"/>
        <rFont val="Calibri"/>
        <family val="2"/>
        <scheme val="minor"/>
      </rPr>
      <t xml:space="preserve"> at a rate of USS250.00 to conduct the following: </t>
    </r>
    <r>
      <rPr>
        <sz val="11"/>
        <color rgb="FF00B050"/>
        <rFont val="Calibri"/>
        <family val="2"/>
        <scheme val="minor"/>
      </rPr>
      <t>annual document review for # of EE technologies implemented, key interviews,</t>
    </r>
    <r>
      <rPr>
        <sz val="11"/>
        <color theme="1"/>
        <rFont val="Calibri"/>
        <family val="2"/>
        <scheme val="minor"/>
      </rPr>
      <t xml:space="preserve"> inter alia. The total budget for this activity is </t>
    </r>
    <r>
      <rPr>
        <sz val="11"/>
        <color rgb="FF00B050"/>
        <rFont val="Calibri"/>
        <family val="2"/>
        <scheme val="minor"/>
      </rPr>
      <t>USD2,000</t>
    </r>
    <r>
      <rPr>
        <sz val="11"/>
        <color theme="1"/>
        <rFont val="Calibri"/>
        <family val="2"/>
        <scheme val="minor"/>
      </rPr>
      <t xml:space="preserve">. </t>
    </r>
  </si>
  <si>
    <r>
      <t xml:space="preserve">It is estimated that this activity will require a level of effort of ca. </t>
    </r>
    <r>
      <rPr>
        <sz val="11"/>
        <color rgb="FF00B050"/>
        <rFont val="Calibri"/>
        <family val="2"/>
        <scheme val="minor"/>
      </rPr>
      <t>20%</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they following: </t>
    </r>
    <r>
      <rPr>
        <sz val="11"/>
        <color rgb="FF00B050"/>
        <rFont val="Calibri"/>
        <family val="2"/>
        <scheme val="minor"/>
      </rPr>
      <t>sysnthesis and review of official data, information and reports to % of persons trained are directly involved (utilizing knowledge from training) in the implementation, maintenance, operations and management of the BSTP</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</si>
  <si>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20%</t>
    </r>
    <r>
      <rPr>
        <sz val="11"/>
        <color theme="1"/>
        <rFont val="Calibri"/>
        <family val="2"/>
        <scheme val="minor"/>
      </rPr>
      <t>, with a duration of ca.</t>
    </r>
    <r>
      <rPr>
        <sz val="11"/>
        <color rgb="FF00B050"/>
        <rFont val="Calibri"/>
        <family val="2"/>
        <scheme val="minor"/>
      </rPr>
      <t xml:space="preserve"> 1.0 months</t>
    </r>
    <r>
      <rPr>
        <sz val="11"/>
        <color theme="1"/>
        <rFont val="Calibri"/>
        <family val="2"/>
        <scheme val="minor"/>
      </rPr>
      <t xml:space="preserve"> at a rate of USS250.00 to conduct the following: </t>
    </r>
    <r>
      <rPr>
        <sz val="11"/>
        <color rgb="FF00B050"/>
        <rFont val="Calibri"/>
        <family val="2"/>
        <scheme val="minor"/>
      </rPr>
      <t>annual document review for # of roadmaps/action plans, with recommended actions, completed</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</si>
  <si>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20%</t>
    </r>
    <r>
      <rPr>
        <sz val="11"/>
        <color theme="1"/>
        <rFont val="Calibri"/>
        <family val="2"/>
        <scheme val="minor"/>
      </rPr>
      <t>, with a duration of ca.</t>
    </r>
    <r>
      <rPr>
        <sz val="11"/>
        <color rgb="FF00B050"/>
        <rFont val="Calibri"/>
        <family val="2"/>
        <scheme val="minor"/>
      </rPr>
      <t xml:space="preserve"> 1.0 months</t>
    </r>
    <r>
      <rPr>
        <sz val="11"/>
        <color theme="1"/>
        <rFont val="Calibri"/>
        <family val="2"/>
        <scheme val="minor"/>
      </rPr>
      <t xml:space="preserve"> at a rate of USS250.00 to conduct the following: </t>
    </r>
    <r>
      <rPr>
        <sz val="11"/>
        <color rgb="FF00B050"/>
        <rFont val="Calibri"/>
        <family val="2"/>
        <scheme val="minor"/>
      </rPr>
      <t>annual document review for # of stakeholder engagement tools/mechanisms developed</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</si>
  <si>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t>Explanatory calculations</t>
  </si>
  <si>
    <t>Time (mths) [1m=22d]</t>
  </si>
  <si>
    <t>LOE
(%)</t>
  </si>
  <si>
    <t>Budget
(US$)</t>
  </si>
  <si>
    <r>
      <t xml:space="preserve">VOWD </t>
    </r>
    <r>
      <rPr>
        <b/>
        <sz val="11"/>
        <color theme="1"/>
        <rFont val="Calibri"/>
        <family val="2"/>
        <scheme val="minor"/>
      </rPr>
      <t>(100%)</t>
    </r>
    <r>
      <rPr>
        <sz val="11"/>
        <color theme="1"/>
        <rFont val="Calibri"/>
        <family val="2"/>
        <scheme val="minor"/>
      </rPr>
      <t xml:space="preserve">
(rate x time)
(US$)</t>
    </r>
  </si>
  <si>
    <t>General: Value of work done (VOWD) is calculated at 100% or 8 hours. Please see level of effort, LOE (%), for final estimation of Budget. All consultant daily rates were computed at USD250 per day. One month is computed as 22 working days. It is assumed that interrelated and directly linked activities, complementary deliverables, outputs and dats sets with cumulative LOEs under 100% may be combined/grouped to be executed as single procurement activites.</t>
  </si>
  <si>
    <r>
      <t xml:space="preserve">It is estimated that this activity will require a level of effort of ca. </t>
    </r>
    <r>
      <rPr>
        <sz val="11"/>
        <color rgb="FF00B050"/>
        <rFont val="Calibri"/>
        <family val="2"/>
        <scheme val="minor"/>
      </rPr>
      <t>60%</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 following: </t>
    </r>
    <r>
      <rPr>
        <sz val="11"/>
        <color rgb="FF00B050"/>
        <rFont val="Calibri"/>
        <family val="2"/>
        <scheme val="minor"/>
      </rPr>
      <t>Site inspections, equipment specifications, procurement reports, Contractors' installation report: Supplementary indicator 1.3: Installed renewable energy capacity (MW)</t>
    </r>
    <r>
      <rPr>
        <sz val="11"/>
        <color theme="1"/>
        <rFont val="Calibri"/>
        <family val="2"/>
        <scheme val="minor"/>
      </rPr>
      <t xml:space="preserve">, inter alia. The total budget for this activity is </t>
    </r>
    <r>
      <rPr>
        <sz val="11"/>
        <color rgb="FF00B050"/>
        <rFont val="Calibri"/>
        <family val="2"/>
        <scheme val="minor"/>
      </rPr>
      <t>USD3,500</t>
    </r>
    <r>
      <rPr>
        <sz val="11"/>
        <color theme="1"/>
        <rFont val="Calibri"/>
        <family val="2"/>
        <scheme val="minor"/>
      </rPr>
      <t>.</t>
    </r>
  </si>
  <si>
    <r>
      <t>It is estimated that this activity will require a level of effort of ca.</t>
    </r>
    <r>
      <rPr>
        <sz val="11"/>
        <color rgb="FF00B050"/>
        <rFont val="Calibri"/>
        <family val="2"/>
        <scheme val="minor"/>
      </rPr>
      <t xml:space="preserve"> 5%</t>
    </r>
    <r>
      <rPr>
        <sz val="11"/>
        <color theme="1"/>
        <rFont val="Calibri"/>
        <family val="2"/>
        <scheme val="minor"/>
      </rPr>
      <t>, with a duration of ca.</t>
    </r>
    <r>
      <rPr>
        <sz val="11"/>
        <color rgb="FF00B050"/>
        <rFont val="Calibri"/>
        <family val="2"/>
        <scheme val="minor"/>
      </rPr>
      <t xml:space="preserve"> 4.2 months</t>
    </r>
    <r>
      <rPr>
        <sz val="11"/>
        <color theme="1"/>
        <rFont val="Calibri"/>
        <family val="2"/>
        <scheme val="minor"/>
      </rPr>
      <t xml:space="preserve"> at a rate of USS250.00 to conduct they following: </t>
    </r>
    <r>
      <rPr>
        <sz val="11"/>
        <color rgb="FF00B050"/>
        <rFont val="Calibri"/>
        <family val="2"/>
        <scheme val="minor"/>
      </rPr>
      <t>sysnthesis and review of official data, information and reports to determine the # of customized trainings developed/adopted</t>
    </r>
    <r>
      <rPr>
        <sz val="11"/>
        <color theme="1"/>
        <rFont val="Calibri"/>
        <family val="2"/>
        <scheme val="minor"/>
      </rPr>
      <t xml:space="preserve">, inter alia. The total budget for this activity is </t>
    </r>
    <r>
      <rPr>
        <sz val="11"/>
        <color rgb="FF00B050"/>
        <rFont val="Calibri"/>
        <family val="2"/>
        <scheme val="minor"/>
      </rPr>
      <t>USD5,000</t>
    </r>
    <r>
      <rPr>
        <sz val="11"/>
        <color theme="1"/>
        <rFont val="Calibri"/>
        <family val="2"/>
        <scheme val="minor"/>
      </rPr>
      <t>.</t>
    </r>
  </si>
  <si>
    <r>
      <t>It is estimated that this activity will require a level of effort of ca.</t>
    </r>
    <r>
      <rPr>
        <sz val="11"/>
        <color rgb="FF00B050"/>
        <rFont val="Calibri"/>
        <family val="2"/>
        <scheme val="minor"/>
      </rPr>
      <t xml:space="preserve"> 5%</t>
    </r>
    <r>
      <rPr>
        <sz val="11"/>
        <color theme="1"/>
        <rFont val="Calibri"/>
        <family val="2"/>
        <scheme val="minor"/>
      </rPr>
      <t>, with a duration of ca.</t>
    </r>
    <r>
      <rPr>
        <sz val="11"/>
        <color rgb="FF00B050"/>
        <rFont val="Calibri"/>
        <family val="2"/>
        <scheme val="minor"/>
      </rPr>
      <t xml:space="preserve"> 4.2 months</t>
    </r>
    <r>
      <rPr>
        <sz val="11"/>
        <color theme="1"/>
        <rFont val="Calibri"/>
        <family val="2"/>
        <scheme val="minor"/>
      </rPr>
      <t xml:space="preserve"> at a rate of USS250.00 to conduct they following: </t>
    </r>
    <r>
      <rPr>
        <sz val="11"/>
        <color rgb="FF00B050"/>
        <rFont val="Calibri"/>
        <family val="2"/>
        <scheme val="minor"/>
      </rPr>
      <t>sysnthesis and review of official data, information and reports to determine the # of persons trained</t>
    </r>
    <r>
      <rPr>
        <sz val="11"/>
        <color theme="1"/>
        <rFont val="Calibri"/>
        <family val="2"/>
        <scheme val="minor"/>
      </rPr>
      <t xml:space="preserve">, inter alia. The total budget for this activity is </t>
    </r>
    <r>
      <rPr>
        <sz val="11"/>
        <color rgb="FF00B050"/>
        <rFont val="Calibri"/>
        <family val="2"/>
        <scheme val="minor"/>
      </rPr>
      <t>USD5,000</t>
    </r>
    <r>
      <rPr>
        <sz val="11"/>
        <color theme="1"/>
        <rFont val="Calibri"/>
        <family val="2"/>
        <scheme val="minor"/>
      </rPr>
      <t>.</t>
    </r>
  </si>
  <si>
    <r>
      <t xml:space="preserve">It is estimated that this activity will require a level of effort of ca. </t>
    </r>
    <r>
      <rPr>
        <sz val="11"/>
        <color rgb="FF00B050"/>
        <rFont val="Calibri"/>
        <family val="2"/>
        <scheme val="minor"/>
      </rPr>
      <t>20%</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they following: </t>
    </r>
    <r>
      <rPr>
        <sz val="11"/>
        <color rgb="FF00B050"/>
        <rFont val="Calibri"/>
        <family val="2"/>
        <scheme val="minor"/>
      </rPr>
      <t>sysnthesis and review of official data, information and reports to determine # of documents updated/developed</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</si>
  <si>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20%</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they following: </t>
    </r>
    <r>
      <rPr>
        <sz val="11"/>
        <color rgb="FF00B050"/>
        <rFont val="Calibri"/>
        <family val="2"/>
        <scheme val="minor"/>
      </rPr>
      <t>sysnthesis and review of official data, information and reports to determine # of plans completed for the replication of the brackish water RO treatment plant along the west coast corridor</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</si>
  <si>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5%</t>
    </r>
    <r>
      <rPr>
        <sz val="11"/>
        <color theme="1"/>
        <rFont val="Calibri"/>
        <family val="2"/>
        <scheme val="minor"/>
      </rPr>
      <t>, with a duration of ca.</t>
    </r>
    <r>
      <rPr>
        <sz val="11"/>
        <color rgb="FF00B050"/>
        <rFont val="Calibri"/>
        <family val="2"/>
        <scheme val="minor"/>
      </rPr>
      <t xml:space="preserve"> 2.1 months</t>
    </r>
    <r>
      <rPr>
        <sz val="11"/>
        <color theme="1"/>
        <rFont val="Calibri"/>
        <family val="2"/>
        <scheme val="minor"/>
      </rPr>
      <t xml:space="preserve"> at a rate of USS250.00 to conduct the following: </t>
    </r>
    <r>
      <rPr>
        <sz val="11"/>
        <color rgb="FF00B050"/>
        <rFont val="Calibri"/>
        <family val="2"/>
        <scheme val="minor"/>
      </rPr>
      <t>monthly document review for # of stakeholder engagement tools/mechanisms developed</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</si>
  <si>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5%</t>
    </r>
    <r>
      <rPr>
        <sz val="11"/>
        <color theme="1"/>
        <rFont val="Calibri"/>
        <family val="2"/>
        <scheme val="minor"/>
      </rPr>
      <t>, with a duration of ca.</t>
    </r>
    <r>
      <rPr>
        <sz val="11"/>
        <color rgb="FF00B050"/>
        <rFont val="Calibri"/>
        <family val="2"/>
        <scheme val="minor"/>
      </rPr>
      <t xml:space="preserve"> 2.1 months</t>
    </r>
    <r>
      <rPr>
        <sz val="11"/>
        <color theme="1"/>
        <rFont val="Calibri"/>
        <family val="2"/>
        <scheme val="minor"/>
      </rPr>
      <t xml:space="preserve"> at a rate of USS250.00 to conduct the following: </t>
    </r>
    <r>
      <rPr>
        <sz val="11"/>
        <color rgb="FF00B050"/>
        <rFont val="Calibri"/>
        <family val="2"/>
        <scheme val="minor"/>
      </rPr>
      <t>monthly document review for # of project updates available on the dedicated 3R-CReWS project webpage</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</si>
  <si>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5%</t>
    </r>
    <r>
      <rPr>
        <sz val="11"/>
        <color theme="1"/>
        <rFont val="Calibri"/>
        <family val="2"/>
        <scheme val="minor"/>
      </rPr>
      <t>, with a duration of ca.</t>
    </r>
    <r>
      <rPr>
        <sz val="11"/>
        <color rgb="FF00B050"/>
        <rFont val="Calibri"/>
        <family val="2"/>
        <scheme val="minor"/>
      </rPr>
      <t xml:space="preserve"> 2.1 months</t>
    </r>
    <r>
      <rPr>
        <sz val="11"/>
        <color theme="1"/>
        <rFont val="Calibri"/>
        <family val="2"/>
        <scheme val="minor"/>
      </rPr>
      <t xml:space="preserve"> at a rate of USS250.00 to conduct the following: </t>
    </r>
    <r>
      <rPr>
        <sz val="11"/>
        <color rgb="FF00B050"/>
        <rFont val="Calibri"/>
        <family val="2"/>
        <scheme val="minor"/>
      </rPr>
      <t>monthly document review for # of project updates available on the dedicated social media accounts</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</si>
  <si>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20%</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 following: </t>
    </r>
    <r>
      <rPr>
        <sz val="11"/>
        <color rgb="FF00B050"/>
        <rFont val="Calibri"/>
        <family val="2"/>
        <scheme val="minor"/>
      </rPr>
      <t>sysnthesis and review of official data, information and reports: quantification and disaggregation of data of Core indicator 2: direct and indirect beneficiaries reached</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</si>
  <si>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30%</t>
    </r>
    <r>
      <rPr>
        <sz val="11"/>
        <color theme="1"/>
        <rFont val="Calibri"/>
        <family val="2"/>
        <scheme val="minor"/>
      </rPr>
      <t xml:space="preserve">, with a duration of ca. </t>
    </r>
    <r>
      <rPr>
        <sz val="11"/>
        <color rgb="FF00B050"/>
        <rFont val="Calibri"/>
        <family val="2"/>
        <scheme val="minor"/>
      </rPr>
      <t>1.9</t>
    </r>
    <r>
      <rPr>
        <sz val="11"/>
        <color theme="1"/>
        <rFont val="Calibri"/>
        <family val="2"/>
        <scheme val="minor"/>
      </rPr>
      <t xml:space="preserve"> months at a rate of USS250.00 to conduct the following data and document review to support: </t>
    </r>
    <r>
      <rPr>
        <sz val="11"/>
        <color rgb="FF00B050"/>
        <rFont val="Calibri"/>
        <family val="2"/>
        <scheme val="minor"/>
      </rPr>
      <t>Supplementary indicator 2.5: Beneficiaries (female/male) adopting innovations that strengthen climate change resilience, inter alia</t>
    </r>
    <r>
      <rPr>
        <sz val="11"/>
        <color theme="1"/>
        <rFont val="Calibri"/>
        <family val="2"/>
        <scheme val="minor"/>
      </rPr>
      <t xml:space="preserve">. The total budget for this activity is </t>
    </r>
    <r>
      <rPr>
        <sz val="11"/>
        <color rgb="FF00B050"/>
        <rFont val="Calibri"/>
        <family val="2"/>
        <scheme val="minor"/>
      </rPr>
      <t>USD6,000</t>
    </r>
    <r>
      <rPr>
        <sz val="11"/>
        <color theme="1"/>
        <rFont val="Calibri"/>
        <family val="2"/>
        <scheme val="minor"/>
      </rPr>
      <t>.</t>
    </r>
  </si>
  <si>
    <r>
      <t xml:space="preserve">It is estimated that this activity will require a level of effort of ca. </t>
    </r>
    <r>
      <rPr>
        <sz val="11"/>
        <color rgb="FF00B050"/>
        <rFont val="Calibri"/>
        <family val="2"/>
        <scheme val="minor"/>
      </rPr>
      <t>45%</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 following: </t>
    </r>
    <r>
      <rPr>
        <sz val="11"/>
        <color rgb="FF00B050"/>
        <rFont val="Calibri"/>
        <family val="2"/>
        <scheme val="minor"/>
      </rPr>
      <t>field visits to obtain additional data for Core indicator 2: direct and indirect beneficiaries reached</t>
    </r>
    <r>
      <rPr>
        <sz val="11"/>
        <color theme="1"/>
        <rFont val="Calibri"/>
        <family val="2"/>
        <scheme val="minor"/>
      </rPr>
      <t xml:space="preserve">, inter alia. The total budget for this activity is </t>
    </r>
    <r>
      <rPr>
        <sz val="11"/>
        <color rgb="FF00B050"/>
        <rFont val="Calibri"/>
        <family val="2"/>
        <scheme val="minor"/>
      </rPr>
      <t>USD2,500</t>
    </r>
    <r>
      <rPr>
        <sz val="11"/>
        <color theme="1"/>
        <rFont val="Calibri"/>
        <family val="2"/>
        <scheme val="minor"/>
      </rPr>
      <t>.</t>
    </r>
  </si>
  <si>
    <r>
      <t xml:space="preserve">It is estimated that this activity will require a level of effort of ca. </t>
    </r>
    <r>
      <rPr>
        <sz val="11"/>
        <color rgb="FF00B050"/>
        <rFont val="Calibri"/>
        <family val="2"/>
        <scheme val="minor"/>
      </rPr>
      <t>20%</t>
    </r>
    <r>
      <rPr>
        <sz val="11"/>
        <color theme="1"/>
        <rFont val="Calibri"/>
        <family val="2"/>
        <scheme val="minor"/>
      </rPr>
      <t>, with a duration of ca.</t>
    </r>
    <r>
      <rPr>
        <sz val="11"/>
        <color rgb="FF00B050"/>
        <rFont val="Calibri"/>
        <family val="2"/>
        <scheme val="minor"/>
      </rPr>
      <t xml:space="preserve"> 1 month</t>
    </r>
    <r>
      <rPr>
        <sz val="11"/>
        <color theme="1"/>
        <rFont val="Calibri"/>
        <family val="2"/>
        <scheme val="minor"/>
      </rPr>
      <t xml:space="preserve"> at a rate of USS250.00 to conduct the following: </t>
    </r>
    <r>
      <rPr>
        <sz val="11"/>
        <color rgb="FF00B050"/>
        <rFont val="Calibri"/>
        <family val="2"/>
        <scheme val="minor"/>
      </rPr>
      <t>sysnthesis and review of official data, information and reports for: SDG indicator 6.3.1 Proportion of domestic and industrial wastewater flows safely treated</t>
    </r>
    <r>
      <rPr>
        <sz val="11"/>
        <color theme="1"/>
        <rFont val="Calibri"/>
        <family val="2"/>
        <scheme val="minor"/>
      </rPr>
      <t xml:space="preserve">, inter alia. The total budget for this activity is </t>
    </r>
    <r>
      <rPr>
        <sz val="11"/>
        <color rgb="FF00B050"/>
        <rFont val="Calibri"/>
        <family val="2"/>
        <scheme val="minor"/>
      </rPr>
      <t>USD1,250</t>
    </r>
    <r>
      <rPr>
        <sz val="11"/>
        <color theme="1"/>
        <rFont val="Calibri"/>
        <family val="2"/>
        <scheme val="minor"/>
      </rPr>
      <t>.</t>
    </r>
  </si>
  <si>
    <r>
      <t xml:space="preserve">It is estimated that this activity will require a level of effort of ca. </t>
    </r>
    <r>
      <rPr>
        <sz val="11"/>
        <color rgb="FF00B050"/>
        <rFont val="Calibri"/>
        <family val="2"/>
        <scheme val="minor"/>
      </rPr>
      <t>50%</t>
    </r>
    <r>
      <rPr>
        <sz val="11"/>
        <color theme="1"/>
        <rFont val="Calibri"/>
        <family val="2"/>
        <scheme val="minor"/>
      </rPr>
      <t>, with a duration of ca.</t>
    </r>
    <r>
      <rPr>
        <sz val="11"/>
        <color rgb="FF00B050"/>
        <rFont val="Calibri"/>
        <family val="2"/>
        <scheme val="minor"/>
      </rPr>
      <t xml:space="preserve"> 1.2 months</t>
    </r>
    <r>
      <rPr>
        <sz val="11"/>
        <color theme="1"/>
        <rFont val="Calibri"/>
        <family val="2"/>
        <scheme val="minor"/>
      </rPr>
      <t xml:space="preserve"> at a rate of USS250.00 to conduct the following: </t>
    </r>
    <r>
      <rPr>
        <sz val="11"/>
        <color rgb="FF00B050"/>
        <rFont val="Calibri"/>
        <family val="2"/>
        <scheme val="minor"/>
      </rPr>
      <t>sysnthesis and review of official data, information and reports for: Quantity of reclaimed water made available for non-potable use</t>
    </r>
    <r>
      <rPr>
        <sz val="11"/>
        <color theme="1"/>
        <rFont val="Calibri"/>
        <family val="2"/>
        <scheme val="minor"/>
      </rPr>
      <t xml:space="preserve">, inter alia. The total budget for this activity is </t>
    </r>
    <r>
      <rPr>
        <sz val="11"/>
        <color rgb="FF00B050"/>
        <rFont val="Calibri"/>
        <family val="2"/>
        <scheme val="minor"/>
      </rPr>
      <t>USD3,750</t>
    </r>
    <r>
      <rPr>
        <sz val="11"/>
        <color theme="1"/>
        <rFont val="Calibri"/>
        <family val="2"/>
        <scheme val="minor"/>
      </rPr>
      <t>.</t>
    </r>
  </si>
  <si>
    <r>
      <t xml:space="preserve">It is estimated that this activity will require a level of effort of ca. </t>
    </r>
    <r>
      <rPr>
        <sz val="11"/>
        <color rgb="FF00B050"/>
        <rFont val="Calibri"/>
        <family val="2"/>
        <scheme val="minor"/>
      </rPr>
      <t>20%</t>
    </r>
    <r>
      <rPr>
        <sz val="11"/>
        <color theme="1"/>
        <rFont val="Calibri"/>
        <family val="2"/>
        <scheme val="minor"/>
      </rPr>
      <t>, with a duration of ca.</t>
    </r>
    <r>
      <rPr>
        <sz val="11"/>
        <color rgb="FF00B050"/>
        <rFont val="Calibri"/>
        <family val="2"/>
        <scheme val="minor"/>
      </rPr>
      <t xml:space="preserve"> 1.9 months</t>
    </r>
    <r>
      <rPr>
        <sz val="11"/>
        <color theme="1"/>
        <rFont val="Calibri"/>
        <family val="2"/>
        <scheme val="minor"/>
      </rPr>
      <t xml:space="preserve"> at a rate of USS250.00 to conduct the following: </t>
    </r>
    <r>
      <rPr>
        <sz val="11"/>
        <color rgb="FF00B050"/>
        <rFont val="Calibri"/>
        <family val="2"/>
        <scheme val="minor"/>
      </rPr>
      <t>key interviews, lead focus groups, synthesize and review documents and reports</t>
    </r>
    <r>
      <rPr>
        <sz val="11"/>
        <color theme="1"/>
        <rFont val="Calibri"/>
        <family val="2"/>
        <scheme val="minor"/>
      </rPr>
      <t xml:space="preserve">, inter alia. The total budget for this activity is </t>
    </r>
    <r>
      <rPr>
        <sz val="11"/>
        <color rgb="FF00B050"/>
        <rFont val="Calibri"/>
        <family val="2"/>
        <scheme val="minor"/>
      </rPr>
      <t>USD4,000</t>
    </r>
    <r>
      <rPr>
        <sz val="11"/>
        <color theme="1"/>
        <rFont val="Calibri"/>
        <family val="2"/>
        <scheme val="minor"/>
      </rPr>
      <t>.</t>
    </r>
  </si>
  <si>
    <t>% of the total ground water resources extracted and used for agricultural purposes. purposes</t>
  </si>
  <si>
    <t>BWA consumption data, flow meters measuring reclaimed water produced, BWA reports, site visit and observations. On farm survey/meter readings</t>
  </si>
  <si>
    <r>
      <t>It is estimated that this activity will require a level of effort of ca.</t>
    </r>
    <r>
      <rPr>
        <sz val="11"/>
        <color rgb="FF92D050"/>
        <rFont val="Calibri"/>
        <family val="2"/>
        <scheme val="minor"/>
      </rPr>
      <t xml:space="preserve"> </t>
    </r>
    <r>
      <rPr>
        <sz val="11"/>
        <color rgb="FF00B050"/>
        <rFont val="Calibri"/>
        <family val="2"/>
        <scheme val="minor"/>
      </rPr>
      <t>40%</t>
    </r>
    <r>
      <rPr>
        <sz val="11"/>
        <color theme="1"/>
        <rFont val="Calibri"/>
        <family val="2"/>
        <scheme val="minor"/>
      </rPr>
      <t>, with a duration of ca. 1 months at a rate of USS250.00 to conduct the following data synthesis and document review to support: Two Air quality monitoring equipment estimated at US$5,000 each, key informant interviews, focus groups, Document review, questionnaire/survey</t>
    </r>
    <r>
      <rPr>
        <sz val="11"/>
        <color rgb="FF00B050"/>
        <rFont val="Calibri"/>
        <family val="2"/>
        <scheme val="minor"/>
      </rPr>
      <t>, inter alia</t>
    </r>
    <r>
      <rPr>
        <sz val="11"/>
        <color theme="1"/>
        <rFont val="Calibri"/>
        <family val="2"/>
        <scheme val="minor"/>
      </rPr>
      <t xml:space="preserve">. The total budget for this activity is </t>
    </r>
    <r>
      <rPr>
        <sz val="11"/>
        <color rgb="FF00B050"/>
        <rFont val="Calibri"/>
        <family val="2"/>
        <scheme val="minor"/>
      </rPr>
      <t>USD12,500</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</si>
</sst>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164" formatCode="0.0"/>
  </numFmts>
  <fonts count="13" x14ac:knownFonts="1">
    <font>
      <sz val="11"/>
      <color theme="1"/>
      <name val="Calibri"/>
      <family val="2"/>
      <scheme val="minor"/>
    </font>
    <font>
      <sz val="11"/>
      <color theme="1"/>
      <name val="Calibri"/>
      <family val="2"/>
      <scheme val="minor"/>
    </font>
    <font>
      <b/>
      <sz val="10"/>
      <color theme="1"/>
      <name val="Arial"/>
      <family val="2"/>
    </font>
    <font>
      <b/>
      <sz val="10"/>
      <color rgb="FF000000"/>
      <name val="Arial"/>
      <family val="2"/>
    </font>
    <font>
      <b/>
      <i/>
      <sz val="10"/>
      <color rgb="FF808080"/>
      <name val="Arial"/>
      <family val="2"/>
    </font>
    <font>
      <i/>
      <sz val="10"/>
      <color rgb="FF808080"/>
      <name val="Arial"/>
      <family val="2"/>
    </font>
    <font>
      <i/>
      <sz val="10"/>
      <color theme="1"/>
      <name val="Arial"/>
      <family val="2"/>
    </font>
    <font>
      <b/>
      <i/>
      <sz val="10"/>
      <color theme="1"/>
      <name val="Arial"/>
      <family val="2"/>
    </font>
    <font>
      <b/>
      <sz val="11"/>
      <color theme="1"/>
      <name val="Calibri"/>
      <family val="2"/>
      <scheme val="minor"/>
    </font>
    <font>
      <sz val="11"/>
      <color rgb="FF00B050"/>
      <name val="Calibri"/>
      <family val="2"/>
      <scheme val="minor"/>
    </font>
    <font>
      <sz val="11"/>
      <name val="Calibri"/>
      <family val="2"/>
      <scheme val="minor"/>
    </font>
    <font>
      <sz val="11"/>
      <color rgb="FF0000CC"/>
      <name val="Calibri"/>
      <family val="2"/>
      <scheme val="minor"/>
    </font>
    <font>
      <sz val="11"/>
      <color rgb="FF92D050"/>
      <name val="Calibri"/>
      <family val="2"/>
      <scheme val="minor"/>
    </font>
  </fonts>
  <fills count="5">
    <fill>
      <patternFill patternType="none"/>
    </fill>
    <fill>
      <patternFill patternType="gray125"/>
    </fill>
    <fill>
      <patternFill patternType="solid">
        <fgColor rgb="FFF2F2F2"/>
        <bgColor indexed="64"/>
      </patternFill>
    </fill>
    <fill>
      <patternFill patternType="solid">
        <fgColor rgb="FFFFFFFF"/>
        <bgColor indexed="64"/>
      </patternFill>
    </fill>
    <fill>
      <patternFill patternType="solid">
        <fgColor theme="0" tint="-4.9989318521683403E-2"/>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07">
    <xf numFmtId="0" fontId="0" fillId="0" borderId="0" xfId="0"/>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5" fillId="0" borderId="2" xfId="0" applyFont="1" applyBorder="1" applyAlignment="1">
      <alignment vertical="center" wrapText="1"/>
    </xf>
    <xf numFmtId="0" fontId="0" fillId="0" borderId="5" xfId="0" applyBorder="1" applyAlignment="1">
      <alignment vertical="center" wrapText="1"/>
    </xf>
    <xf numFmtId="0" fontId="6" fillId="0" borderId="5" xfId="0" applyFont="1" applyBorder="1" applyAlignment="1">
      <alignment vertical="center" wrapText="1"/>
    </xf>
    <xf numFmtId="0" fontId="5" fillId="0" borderId="5" xfId="0" applyFont="1" applyBorder="1" applyAlignment="1">
      <alignment vertical="center" wrapText="1"/>
    </xf>
    <xf numFmtId="0" fontId="5" fillId="0" borderId="8" xfId="0" applyFont="1" applyBorder="1" applyAlignment="1">
      <alignment vertical="center" wrapText="1"/>
    </xf>
    <xf numFmtId="0" fontId="6" fillId="0" borderId="9" xfId="0" applyFont="1" applyBorder="1" applyAlignment="1">
      <alignment vertical="center" wrapText="1"/>
    </xf>
    <xf numFmtId="0" fontId="5" fillId="0" borderId="9" xfId="0" applyFont="1" applyBorder="1" applyAlignment="1">
      <alignment vertical="center" wrapText="1"/>
    </xf>
    <xf numFmtId="0" fontId="0" fillId="0" borderId="9" xfId="0" applyBorder="1" applyAlignment="1">
      <alignment vertical="center" wrapText="1"/>
    </xf>
    <xf numFmtId="0" fontId="5" fillId="3" borderId="9" xfId="0" applyFont="1" applyFill="1" applyBorder="1" applyAlignment="1">
      <alignment vertical="center" wrapText="1"/>
    </xf>
    <xf numFmtId="0" fontId="5" fillId="3" borderId="4" xfId="0" applyFont="1" applyFill="1" applyBorder="1" applyAlignment="1">
      <alignment vertical="center" wrapText="1"/>
    </xf>
    <xf numFmtId="44" fontId="5" fillId="0" borderId="5" xfId="1" applyNumberFormat="1" applyFont="1" applyBorder="1" applyAlignment="1">
      <alignment vertical="center" wrapText="1"/>
    </xf>
    <xf numFmtId="44" fontId="5" fillId="0" borderId="1" xfId="1" applyFont="1" applyBorder="1" applyAlignment="1">
      <alignment vertical="center" wrapText="1"/>
    </xf>
    <xf numFmtId="44" fontId="0" fillId="0" borderId="0" xfId="0" applyNumberFormat="1"/>
    <xf numFmtId="0" fontId="5" fillId="0" borderId="7" xfId="0" applyFont="1" applyBorder="1" applyAlignment="1">
      <alignment vertical="center" wrapText="1"/>
    </xf>
    <xf numFmtId="0" fontId="5" fillId="3" borderId="10" xfId="0" applyFont="1" applyFill="1" applyBorder="1" applyAlignment="1">
      <alignment vertical="center" wrapText="1"/>
    </xf>
    <xf numFmtId="44" fontId="5" fillId="0" borderId="13" xfId="1" applyFont="1" applyBorder="1" applyAlignment="1">
      <alignment vertical="center" wrapText="1"/>
    </xf>
    <xf numFmtId="0" fontId="0" fillId="4" borderId="0" xfId="0" applyFill="1"/>
    <xf numFmtId="0" fontId="4" fillId="4" borderId="0" xfId="0" applyFont="1" applyFill="1" applyBorder="1" applyAlignment="1">
      <alignment vertical="center" wrapText="1"/>
    </xf>
    <xf numFmtId="44" fontId="5" fillId="4" borderId="0" xfId="1" applyNumberFormat="1" applyFont="1" applyFill="1" applyBorder="1" applyAlignment="1">
      <alignment vertical="center" wrapText="1"/>
    </xf>
    <xf numFmtId="44" fontId="5" fillId="4" borderId="0" xfId="1" applyFont="1" applyFill="1" applyBorder="1" applyAlignment="1">
      <alignment vertical="center" wrapText="1"/>
    </xf>
    <xf numFmtId="0" fontId="3" fillId="4" borderId="15"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0" fillId="0" borderId="19" xfId="0" applyBorder="1" applyAlignment="1">
      <alignment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0" xfId="0" applyFill="1"/>
    <xf numFmtId="0" fontId="11" fillId="0" borderId="24" xfId="0" applyFont="1" applyBorder="1" applyAlignment="1">
      <alignment vertical="center" wrapText="1"/>
    </xf>
    <xf numFmtId="0" fontId="0" fillId="0" borderId="19" xfId="0" applyBorder="1" applyAlignment="1">
      <alignment horizontal="left" wrapText="1"/>
    </xf>
    <xf numFmtId="0" fontId="0" fillId="4" borderId="19" xfId="0" applyFill="1" applyBorder="1"/>
    <xf numFmtId="0" fontId="0" fillId="4" borderId="12" xfId="0" applyFill="1" applyBorder="1"/>
    <xf numFmtId="0" fontId="0" fillId="4" borderId="20" xfId="0" applyFill="1" applyBorder="1"/>
    <xf numFmtId="0" fontId="0" fillId="0" borderId="24" xfId="0" applyBorder="1" applyAlignment="1">
      <alignment wrapText="1"/>
    </xf>
    <xf numFmtId="0" fontId="4" fillId="4" borderId="10" xfId="0" applyFont="1" applyFill="1" applyBorder="1" applyAlignment="1">
      <alignment vertical="center" wrapText="1"/>
    </xf>
    <xf numFmtId="0" fontId="0" fillId="4" borderId="11" xfId="0" applyFill="1" applyBorder="1"/>
    <xf numFmtId="0" fontId="0" fillId="0" borderId="29" xfId="0" applyBorder="1" applyAlignment="1">
      <alignment wrapText="1"/>
    </xf>
    <xf numFmtId="44" fontId="5" fillId="4" borderId="14" xfId="1" applyFont="1" applyFill="1" applyBorder="1" applyAlignment="1">
      <alignment vertical="center" wrapText="1"/>
    </xf>
    <xf numFmtId="3" fontId="5" fillId="4" borderId="14" xfId="0" applyNumberFormat="1" applyFont="1" applyFill="1" applyBorder="1" applyAlignment="1">
      <alignment vertical="center" wrapText="1"/>
    </xf>
    <xf numFmtId="44" fontId="5" fillId="4" borderId="6" xfId="1" applyNumberFormat="1" applyFont="1" applyFill="1" applyBorder="1" applyAlignment="1">
      <alignment vertical="center" wrapText="1"/>
    </xf>
    <xf numFmtId="0" fontId="0" fillId="0" borderId="21" xfId="0" applyBorder="1" applyAlignment="1">
      <alignment horizontal="left" vertical="center" wrapText="1"/>
    </xf>
    <xf numFmtId="9" fontId="10" fillId="0" borderId="12" xfId="2" applyFont="1" applyBorder="1"/>
    <xf numFmtId="164" fontId="10" fillId="0" borderId="12" xfId="0" applyNumberFormat="1" applyFont="1" applyBorder="1"/>
    <xf numFmtId="44" fontId="10" fillId="0" borderId="20" xfId="1" applyFont="1" applyBorder="1"/>
    <xf numFmtId="0" fontId="10" fillId="4" borderId="11" xfId="0" applyFont="1" applyFill="1" applyBorder="1"/>
    <xf numFmtId="0" fontId="10" fillId="4" borderId="3" xfId="0" applyFont="1" applyFill="1" applyBorder="1"/>
    <xf numFmtId="9" fontId="10" fillId="0" borderId="25" xfId="2" applyFont="1" applyBorder="1"/>
    <xf numFmtId="164" fontId="10" fillId="0" borderId="25" xfId="0" applyNumberFormat="1" applyFont="1" applyBorder="1"/>
    <xf numFmtId="44" fontId="10" fillId="0" borderId="26" xfId="1" applyFont="1" applyBorder="1"/>
    <xf numFmtId="9" fontId="10" fillId="0" borderId="30" xfId="2" applyFont="1" applyBorder="1"/>
    <xf numFmtId="164" fontId="10" fillId="0" borderId="30" xfId="0" applyNumberFormat="1" applyFont="1" applyBorder="1"/>
    <xf numFmtId="44" fontId="10" fillId="0" borderId="31" xfId="1" applyFont="1" applyBorder="1"/>
    <xf numFmtId="9" fontId="10" fillId="0" borderId="22" xfId="2" applyFont="1" applyBorder="1"/>
    <xf numFmtId="164" fontId="10" fillId="0" borderId="22" xfId="0" applyNumberFormat="1" applyFont="1" applyBorder="1"/>
    <xf numFmtId="44" fontId="10" fillId="0" borderId="23" xfId="1" applyFont="1" applyBorder="1"/>
    <xf numFmtId="0" fontId="0" fillId="0" borderId="19" xfId="0" applyBorder="1" applyAlignment="1">
      <alignment horizontal="left" vertical="center" wrapText="1"/>
    </xf>
    <xf numFmtId="0" fontId="0" fillId="0" borderId="29" xfId="0" applyBorder="1" applyAlignment="1">
      <alignment horizontal="left" vertical="center" wrapText="1"/>
    </xf>
    <xf numFmtId="0" fontId="3" fillId="2" borderId="16"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23" xfId="0" applyFont="1" applyFill="1" applyBorder="1" applyAlignment="1">
      <alignment horizontal="center" vertical="center" wrapText="1"/>
    </xf>
    <xf numFmtId="44" fontId="10" fillId="0" borderId="20" xfId="1" applyFont="1" applyBorder="1" applyAlignment="1">
      <alignment horizontal="right" vertical="center"/>
    </xf>
    <xf numFmtId="44" fontId="10" fillId="0" borderId="31" xfId="1" applyFont="1" applyBorder="1" applyAlignment="1">
      <alignment horizontal="right" vertical="center"/>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3" xfId="0" applyFont="1" applyBorder="1" applyAlignment="1">
      <alignment vertical="center" wrapText="1"/>
    </xf>
    <xf numFmtId="9" fontId="10" fillId="0" borderId="12" xfId="2" applyFont="1" applyBorder="1" applyAlignment="1">
      <alignment horizontal="right" vertical="center"/>
    </xf>
    <xf numFmtId="164" fontId="10" fillId="0" borderId="12" xfId="0" applyNumberFormat="1" applyFont="1" applyBorder="1" applyAlignment="1">
      <alignment horizontal="right" vertical="center"/>
    </xf>
    <xf numFmtId="9" fontId="10" fillId="0" borderId="30" xfId="2" applyFont="1" applyBorder="1" applyAlignment="1">
      <alignment horizontal="right" vertical="center"/>
    </xf>
    <xf numFmtId="164" fontId="10" fillId="0" borderId="30" xfId="0" applyNumberFormat="1" applyFont="1" applyBorder="1" applyAlignment="1">
      <alignment horizontal="righ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5" fillId="0" borderId="1" xfId="0" applyFont="1" applyBorder="1" applyAlignment="1">
      <alignment vertical="center" wrapText="1"/>
    </xf>
    <xf numFmtId="0" fontId="5" fillId="0" borderId="8" xfId="0" applyFont="1" applyBorder="1" applyAlignment="1">
      <alignment vertical="center" wrapText="1"/>
    </xf>
    <xf numFmtId="0" fontId="5" fillId="0" borderId="2" xfId="0" applyFont="1" applyBorder="1" applyAlignment="1">
      <alignment vertical="center" wrapText="1"/>
    </xf>
    <xf numFmtId="0" fontId="6" fillId="0" borderId="1" xfId="0" applyFont="1" applyBorder="1" applyAlignment="1">
      <alignment vertical="center" wrapText="1"/>
    </xf>
    <xf numFmtId="0" fontId="6" fillId="0" borderId="8" xfId="0" applyFont="1" applyBorder="1" applyAlignment="1">
      <alignment vertical="center" wrapText="1"/>
    </xf>
    <xf numFmtId="0" fontId="6" fillId="0" borderId="2" xfId="0" applyFont="1" applyBorder="1" applyAlignment="1">
      <alignment vertical="center" wrapText="1"/>
    </xf>
    <xf numFmtId="44" fontId="5" fillId="0" borderId="1" xfId="1" applyFont="1" applyBorder="1" applyAlignment="1">
      <alignment vertical="center" wrapText="1"/>
    </xf>
    <xf numFmtId="44" fontId="5" fillId="0" borderId="8" xfId="1" applyFont="1" applyBorder="1" applyAlignment="1">
      <alignment vertical="center" wrapText="1"/>
    </xf>
    <xf numFmtId="44" fontId="5" fillId="0" borderId="2" xfId="1"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3" xfId="0" applyFont="1" applyBorder="1" applyAlignment="1">
      <alignment vertical="center" wrapText="1"/>
    </xf>
    <xf numFmtId="44" fontId="10" fillId="0" borderId="31" xfId="1" applyFont="1" applyBorder="1" applyAlignment="1">
      <alignment horizontal="center"/>
    </xf>
    <xf numFmtId="44" fontId="10" fillId="0" borderId="32" xfId="1" applyFont="1" applyBorder="1" applyAlignment="1">
      <alignment horizontal="center"/>
    </xf>
    <xf numFmtId="44" fontId="10" fillId="0" borderId="26" xfId="1" applyFont="1" applyBorder="1" applyAlignment="1">
      <alignment horizontal="center"/>
    </xf>
    <xf numFmtId="9" fontId="10" fillId="0" borderId="30" xfId="2" applyFont="1" applyBorder="1" applyAlignment="1">
      <alignment horizontal="right"/>
    </xf>
    <xf numFmtId="9" fontId="10" fillId="0" borderId="33" xfId="2" applyFont="1" applyBorder="1" applyAlignment="1">
      <alignment horizontal="right"/>
    </xf>
    <xf numFmtId="9" fontId="10" fillId="0" borderId="25" xfId="2" applyFont="1" applyBorder="1" applyAlignment="1">
      <alignment horizontal="right"/>
    </xf>
    <xf numFmtId="164" fontId="10" fillId="0" borderId="25" xfId="0" applyNumberFormat="1" applyFont="1" applyBorder="1" applyAlignment="1">
      <alignment horizontal="center"/>
    </xf>
    <xf numFmtId="164" fontId="10" fillId="0" borderId="30" xfId="0" applyNumberFormat="1" applyFont="1" applyBorder="1" applyAlignment="1">
      <alignment horizontal="center"/>
    </xf>
    <xf numFmtId="164" fontId="10" fillId="0" borderId="33" xfId="0" applyNumberFormat="1" applyFont="1" applyBorder="1" applyAlignment="1">
      <alignment horizontal="center"/>
    </xf>
    <xf numFmtId="44" fontId="10" fillId="0" borderId="34" xfId="1" applyFont="1" applyBorder="1" applyAlignment="1">
      <alignment horizontal="center"/>
    </xf>
    <xf numFmtId="44" fontId="10" fillId="0" borderId="8" xfId="1" applyFont="1" applyBorder="1" applyAlignment="1">
      <alignment horizontal="center"/>
    </xf>
    <xf numFmtId="44" fontId="10" fillId="0" borderId="35" xfId="1" applyFont="1" applyBorder="1" applyAlignment="1">
      <alignment horizontal="center"/>
    </xf>
    <xf numFmtId="0" fontId="5" fillId="0" borderId="8" xfId="0" applyFont="1" applyBorder="1" applyAlignment="1">
      <alignment horizontal="left" vertical="center" wrapText="1"/>
    </xf>
    <xf numFmtId="0" fontId="5" fillId="0" borderId="2"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M273"/>
  <sheetViews>
    <sheetView tabSelected="1" topLeftCell="H19" zoomScaleNormal="100" workbookViewId="0">
      <selection activeCell="I29" sqref="I29"/>
    </sheetView>
  </sheetViews>
  <sheetFormatPr defaultRowHeight="14.4" x14ac:dyDescent="0.3"/>
  <cols>
    <col min="1" max="1" width="3.88671875" customWidth="1"/>
    <col min="2" max="2" width="3.6640625" customWidth="1"/>
    <col min="3" max="3" width="49.33203125" customWidth="1"/>
    <col min="4" max="4" width="42.33203125" customWidth="1"/>
    <col min="5" max="5" width="14" customWidth="1"/>
    <col min="6" max="6" width="47" customWidth="1"/>
    <col min="7" max="7" width="21.6640625" customWidth="1"/>
    <col min="8" max="8" width="4.21875" style="19" customWidth="1"/>
    <col min="9" max="9" width="150" customWidth="1"/>
    <col min="10" max="10" width="10.33203125" hidden="1" customWidth="1"/>
    <col min="11" max="11" width="12" hidden="1" customWidth="1"/>
    <col min="12" max="12" width="16.88671875" hidden="1" customWidth="1"/>
    <col min="13" max="13" width="14.33203125" hidden="1" customWidth="1"/>
  </cols>
  <sheetData>
    <row r="1" spans="3:13" ht="15" thickBot="1" x14ac:dyDescent="0.35">
      <c r="H1" s="28"/>
    </row>
    <row r="2" spans="3:13" ht="14.4" customHeight="1" x14ac:dyDescent="0.3">
      <c r="C2" s="75" t="s">
        <v>0</v>
      </c>
      <c r="D2" s="77" t="s">
        <v>1</v>
      </c>
      <c r="E2" s="77" t="s">
        <v>2</v>
      </c>
      <c r="F2" s="77" t="s">
        <v>3</v>
      </c>
      <c r="G2" s="1" t="s">
        <v>4</v>
      </c>
      <c r="H2" s="23"/>
      <c r="I2" s="58" t="s">
        <v>114</v>
      </c>
      <c r="J2" s="60" t="s">
        <v>139</v>
      </c>
      <c r="K2" s="60"/>
      <c r="L2" s="61"/>
      <c r="M2" s="62"/>
    </row>
    <row r="3" spans="3:13" ht="15" thickBot="1" x14ac:dyDescent="0.35">
      <c r="C3" s="76"/>
      <c r="D3" s="78"/>
      <c r="E3" s="78"/>
      <c r="F3" s="78"/>
      <c r="G3" s="2" t="s">
        <v>5</v>
      </c>
      <c r="H3" s="24"/>
      <c r="I3" s="59"/>
      <c r="J3" s="63"/>
      <c r="K3" s="63"/>
      <c r="L3" s="64"/>
      <c r="M3" s="65"/>
    </row>
    <row r="4" spans="3:13" ht="61.2" customHeight="1" thickBot="1" x14ac:dyDescent="0.35">
      <c r="C4" s="68" t="s">
        <v>6</v>
      </c>
      <c r="D4" s="69"/>
      <c r="E4" s="69"/>
      <c r="F4" s="69"/>
      <c r="G4" s="70"/>
      <c r="H4" s="20"/>
      <c r="I4" s="29" t="s">
        <v>144</v>
      </c>
      <c r="J4" s="26" t="s">
        <v>141</v>
      </c>
      <c r="K4" s="26" t="s">
        <v>140</v>
      </c>
      <c r="L4" s="27" t="s">
        <v>143</v>
      </c>
      <c r="M4" s="27" t="s">
        <v>142</v>
      </c>
    </row>
    <row r="5" spans="3:13" ht="35.1" customHeight="1" thickBot="1" x14ac:dyDescent="0.35">
      <c r="C5" s="3" t="s">
        <v>7</v>
      </c>
      <c r="D5" s="5" t="s">
        <v>8</v>
      </c>
      <c r="E5" s="6" t="s">
        <v>9</v>
      </c>
      <c r="F5" s="6" t="s">
        <v>10</v>
      </c>
      <c r="G5" s="13">
        <f>(4*(1.5+0.5))*500*2</f>
        <v>8000</v>
      </c>
      <c r="H5" s="21"/>
      <c r="I5" s="30" t="s">
        <v>115</v>
      </c>
      <c r="J5" s="42">
        <f>25/100</f>
        <v>0.25</v>
      </c>
      <c r="K5" s="43">
        <f>53/22</f>
        <v>2.4090909090909092</v>
      </c>
      <c r="L5" s="44">
        <f>(250*22)*K5</f>
        <v>13250</v>
      </c>
      <c r="M5" s="44">
        <f>CEILING(J5*K5*L5,100)</f>
        <v>8000</v>
      </c>
    </row>
    <row r="6" spans="3:13" ht="46.5" customHeight="1" thickBot="1" x14ac:dyDescent="0.35">
      <c r="C6" s="3" t="s">
        <v>7</v>
      </c>
      <c r="D6" s="5" t="s">
        <v>8</v>
      </c>
      <c r="E6" s="6" t="s">
        <v>9</v>
      </c>
      <c r="F6" s="6" t="s">
        <v>11</v>
      </c>
      <c r="G6" s="13">
        <f>(4*(1.5+0.5))*500*2</f>
        <v>8000</v>
      </c>
      <c r="H6" s="21"/>
      <c r="I6" s="30" t="s">
        <v>115</v>
      </c>
      <c r="J6" s="42">
        <f t="shared" ref="J6:J7" si="0">25/100</f>
        <v>0.25</v>
      </c>
      <c r="K6" s="43">
        <f>53/22</f>
        <v>2.4090909090909092</v>
      </c>
      <c r="L6" s="44">
        <f t="shared" ref="L6:L7" si="1">(250*22)*K6</f>
        <v>13250</v>
      </c>
      <c r="M6" s="44">
        <f t="shared" ref="M6:M7" si="2">CEILING(J6*K6*L6,100)</f>
        <v>8000</v>
      </c>
    </row>
    <row r="7" spans="3:13" ht="44.1" customHeight="1" thickBot="1" x14ac:dyDescent="0.35">
      <c r="C7" s="3" t="s">
        <v>7</v>
      </c>
      <c r="D7" s="5" t="s">
        <v>8</v>
      </c>
      <c r="E7" s="6" t="s">
        <v>9</v>
      </c>
      <c r="F7" s="6" t="s">
        <v>12</v>
      </c>
      <c r="G7" s="13">
        <f>(4*(1.5+0.75))*500*2</f>
        <v>9000</v>
      </c>
      <c r="H7" s="21"/>
      <c r="I7" s="30" t="s">
        <v>116</v>
      </c>
      <c r="J7" s="42">
        <f t="shared" si="0"/>
        <v>0.25</v>
      </c>
      <c r="K7" s="43">
        <f>56/22</f>
        <v>2.5454545454545454</v>
      </c>
      <c r="L7" s="44">
        <f t="shared" si="1"/>
        <v>14000</v>
      </c>
      <c r="M7" s="44">
        <f t="shared" si="2"/>
        <v>9000</v>
      </c>
    </row>
    <row r="8" spans="3:13" ht="25.05" customHeight="1" thickBot="1" x14ac:dyDescent="0.35">
      <c r="C8" s="68" t="s">
        <v>13</v>
      </c>
      <c r="D8" s="69"/>
      <c r="E8" s="69"/>
      <c r="F8" s="69"/>
      <c r="G8" s="70"/>
      <c r="H8" s="20"/>
      <c r="I8" s="31"/>
      <c r="J8" s="32"/>
      <c r="K8" s="32"/>
      <c r="L8" s="33"/>
      <c r="M8" s="33"/>
    </row>
    <row r="9" spans="3:13" ht="56.4" customHeight="1" thickBot="1" x14ac:dyDescent="0.35">
      <c r="C9" s="79" t="s">
        <v>14</v>
      </c>
      <c r="D9" s="82" t="s">
        <v>15</v>
      </c>
      <c r="E9" s="79" t="s">
        <v>16</v>
      </c>
      <c r="F9" s="9" t="s">
        <v>17</v>
      </c>
      <c r="G9" s="14">
        <f>(0.5+0.25)*500*4</f>
        <v>1500</v>
      </c>
      <c r="H9" s="22"/>
      <c r="I9" s="30" t="s">
        <v>117</v>
      </c>
      <c r="J9" s="42">
        <f>25/100</f>
        <v>0.25</v>
      </c>
      <c r="K9" s="43">
        <f>22.5/22</f>
        <v>1.0227272727272727</v>
      </c>
      <c r="L9" s="44">
        <f>(250*22)*K9</f>
        <v>5625</v>
      </c>
      <c r="M9" s="44">
        <f>CEILING(J9*K9*L9,100)</f>
        <v>1500</v>
      </c>
    </row>
    <row r="10" spans="3:13" ht="42.9" customHeight="1" thickBot="1" x14ac:dyDescent="0.35">
      <c r="C10" s="80"/>
      <c r="D10" s="83"/>
      <c r="E10" s="80"/>
      <c r="F10" s="9" t="s">
        <v>18</v>
      </c>
      <c r="G10" s="14">
        <f t="shared" ref="G10:G11" si="3">(0.5+0.25)*500*4</f>
        <v>1500</v>
      </c>
      <c r="H10" s="22"/>
      <c r="I10" s="30" t="s">
        <v>118</v>
      </c>
      <c r="J10" s="42">
        <f t="shared" ref="J10:J11" si="4">25/100</f>
        <v>0.25</v>
      </c>
      <c r="K10" s="43">
        <f t="shared" ref="K10:K11" si="5">22.5/22</f>
        <v>1.0227272727272727</v>
      </c>
      <c r="L10" s="44">
        <f t="shared" ref="L10:L14" si="6">(250*22)*K10</f>
        <v>5625</v>
      </c>
      <c r="M10" s="44">
        <f t="shared" ref="M10:M12" si="7">CEILING(J10*K10*L10,100)</f>
        <v>1500</v>
      </c>
    </row>
    <row r="11" spans="3:13" ht="50.7" customHeight="1" thickBot="1" x14ac:dyDescent="0.35">
      <c r="C11" s="81"/>
      <c r="D11" s="84"/>
      <c r="E11" s="81"/>
      <c r="F11" s="6" t="s">
        <v>19</v>
      </c>
      <c r="G11" s="14">
        <f t="shared" si="3"/>
        <v>1500</v>
      </c>
      <c r="H11" s="22"/>
      <c r="I11" s="30" t="s">
        <v>119</v>
      </c>
      <c r="J11" s="42">
        <f t="shared" si="4"/>
        <v>0.25</v>
      </c>
      <c r="K11" s="43">
        <f t="shared" si="5"/>
        <v>1.0227272727272727</v>
      </c>
      <c r="L11" s="44">
        <f t="shared" si="6"/>
        <v>5625</v>
      </c>
      <c r="M11" s="44">
        <f t="shared" si="7"/>
        <v>1500</v>
      </c>
    </row>
    <row r="12" spans="3:13" ht="51.9" customHeight="1" thickBot="1" x14ac:dyDescent="0.35">
      <c r="C12" s="3" t="s">
        <v>20</v>
      </c>
      <c r="D12" s="5" t="s">
        <v>15</v>
      </c>
      <c r="E12" s="6" t="s">
        <v>16</v>
      </c>
      <c r="F12" s="6" t="s">
        <v>21</v>
      </c>
      <c r="G12" s="14">
        <f>(4+3)*500</f>
        <v>3500</v>
      </c>
      <c r="H12" s="22"/>
      <c r="I12" s="30" t="s">
        <v>145</v>
      </c>
      <c r="J12" s="42">
        <f>60/100</f>
        <v>0.6</v>
      </c>
      <c r="K12" s="43">
        <f>22.5/22</f>
        <v>1.0227272727272727</v>
      </c>
      <c r="L12" s="44">
        <f t="shared" si="6"/>
        <v>5625</v>
      </c>
      <c r="M12" s="44">
        <f t="shared" si="7"/>
        <v>3500</v>
      </c>
    </row>
    <row r="13" spans="3:13" ht="48.3" customHeight="1" thickBot="1" x14ac:dyDescent="0.35">
      <c r="C13" s="79" t="s">
        <v>22</v>
      </c>
      <c r="D13" s="8" t="s">
        <v>23</v>
      </c>
      <c r="E13" s="79" t="s">
        <v>16</v>
      </c>
      <c r="F13" s="9" t="s">
        <v>25</v>
      </c>
      <c r="G13" s="14">
        <f>(0.5)*500*5</f>
        <v>1250</v>
      </c>
      <c r="H13" s="22"/>
      <c r="I13" s="30" t="s">
        <v>120</v>
      </c>
      <c r="J13" s="42">
        <f>20/100</f>
        <v>0.2</v>
      </c>
      <c r="K13" s="43">
        <f>23/22</f>
        <v>1.0454545454545454</v>
      </c>
      <c r="L13" s="44">
        <f t="shared" si="6"/>
        <v>5750</v>
      </c>
      <c r="M13" s="44">
        <f>CEILING(J13*K13*L13,50)</f>
        <v>1250</v>
      </c>
    </row>
    <row r="14" spans="3:13" ht="48.3" customHeight="1" thickBot="1" x14ac:dyDescent="0.35">
      <c r="C14" s="80"/>
      <c r="D14" s="8" t="s">
        <v>15</v>
      </c>
      <c r="E14" s="80"/>
      <c r="F14" s="9" t="s">
        <v>26</v>
      </c>
      <c r="G14" s="14">
        <f>(0.5)*500*5</f>
        <v>1250</v>
      </c>
      <c r="H14" s="22"/>
      <c r="I14" s="30" t="s">
        <v>153</v>
      </c>
      <c r="J14" s="42">
        <f>20/100</f>
        <v>0.2</v>
      </c>
      <c r="K14" s="43">
        <f>23/22</f>
        <v>1.0454545454545454</v>
      </c>
      <c r="L14" s="44">
        <f t="shared" si="6"/>
        <v>5750</v>
      </c>
      <c r="M14" s="44">
        <f>CEILING(J14*K14*L14,50)</f>
        <v>1250</v>
      </c>
    </row>
    <row r="15" spans="3:13" ht="48" customHeight="1" thickBot="1" x14ac:dyDescent="0.35">
      <c r="C15" s="81"/>
      <c r="D15" s="5" t="s">
        <v>24</v>
      </c>
      <c r="E15" s="81"/>
      <c r="F15" s="4"/>
      <c r="G15" s="14">
        <f>(1)*500*5</f>
        <v>2500</v>
      </c>
      <c r="H15" s="22"/>
      <c r="I15" s="30" t="s">
        <v>155</v>
      </c>
      <c r="J15" s="42">
        <f>45/100</f>
        <v>0.45</v>
      </c>
      <c r="K15" s="43">
        <f>22/22</f>
        <v>1</v>
      </c>
      <c r="L15" s="44">
        <f>(250*22)*K15</f>
        <v>5500</v>
      </c>
      <c r="M15" s="44">
        <f>CEILING(J15*K15*L15,100)</f>
        <v>2500</v>
      </c>
    </row>
    <row r="16" spans="3:13" ht="25.05" customHeight="1" x14ac:dyDescent="0.3">
      <c r="C16" s="7" t="s">
        <v>27</v>
      </c>
      <c r="D16" s="82" t="s">
        <v>30</v>
      </c>
      <c r="E16" s="79" t="s">
        <v>31</v>
      </c>
      <c r="F16" s="79" t="s">
        <v>32</v>
      </c>
      <c r="G16" s="85">
        <f>(4*3)*500</f>
        <v>6000</v>
      </c>
      <c r="H16" s="22"/>
      <c r="I16" s="56" t="s">
        <v>154</v>
      </c>
      <c r="J16" s="71">
        <f>0.3</f>
        <v>0.3</v>
      </c>
      <c r="K16" s="72">
        <f>41.7/22</f>
        <v>1.8954545454545455</v>
      </c>
      <c r="L16" s="66">
        <f>(250*22)*K16</f>
        <v>10425</v>
      </c>
      <c r="M16" s="66">
        <f>CEILING(J16*K16*L16,100)</f>
        <v>6000</v>
      </c>
    </row>
    <row r="17" spans="3:13" ht="25.05" customHeight="1" x14ac:dyDescent="0.3">
      <c r="C17" s="7" t="s">
        <v>28</v>
      </c>
      <c r="D17" s="83"/>
      <c r="E17" s="80"/>
      <c r="F17" s="80"/>
      <c r="G17" s="86"/>
      <c r="H17" s="22"/>
      <c r="I17" s="56"/>
      <c r="J17" s="71"/>
      <c r="K17" s="72"/>
      <c r="L17" s="66"/>
      <c r="M17" s="66"/>
    </row>
    <row r="18" spans="3:13" ht="25.05" customHeight="1" thickBot="1" x14ac:dyDescent="0.35">
      <c r="C18" s="3" t="s">
        <v>29</v>
      </c>
      <c r="D18" s="84"/>
      <c r="E18" s="81"/>
      <c r="F18" s="81"/>
      <c r="G18" s="87"/>
      <c r="H18" s="22"/>
      <c r="I18" s="56"/>
      <c r="J18" s="71"/>
      <c r="K18" s="72"/>
      <c r="L18" s="66"/>
      <c r="M18" s="66"/>
    </row>
    <row r="19" spans="3:13" ht="25.05" customHeight="1" x14ac:dyDescent="0.3">
      <c r="C19" s="7" t="s">
        <v>33</v>
      </c>
      <c r="D19" s="8" t="s">
        <v>23</v>
      </c>
      <c r="E19" s="79" t="s">
        <v>16</v>
      </c>
      <c r="F19" s="79" t="s">
        <v>37</v>
      </c>
      <c r="G19" s="85">
        <f>(4*(1+0.5))*5*500</f>
        <v>15000</v>
      </c>
      <c r="H19" s="22"/>
      <c r="I19" s="56" t="s">
        <v>121</v>
      </c>
      <c r="J19" s="71">
        <f>0.2</f>
        <v>0.2</v>
      </c>
      <c r="K19" s="72">
        <f>81/22</f>
        <v>3.6818181818181817</v>
      </c>
      <c r="L19" s="66">
        <f>(250*22)*K19</f>
        <v>20250</v>
      </c>
      <c r="M19" s="66">
        <f>CEILING(J19*K19*L19,100)</f>
        <v>15000</v>
      </c>
    </row>
    <row r="20" spans="3:13" ht="25.05" customHeight="1" x14ac:dyDescent="0.3">
      <c r="C20" s="7" t="s">
        <v>34</v>
      </c>
      <c r="D20" s="8" t="s">
        <v>15</v>
      </c>
      <c r="E20" s="80"/>
      <c r="F20" s="80"/>
      <c r="G20" s="86"/>
      <c r="H20" s="22"/>
      <c r="I20" s="56"/>
      <c r="J20" s="71"/>
      <c r="K20" s="72"/>
      <c r="L20" s="66"/>
      <c r="M20" s="66"/>
    </row>
    <row r="21" spans="3:13" ht="25.05" customHeight="1" x14ac:dyDescent="0.3">
      <c r="C21" s="7" t="s">
        <v>35</v>
      </c>
      <c r="D21" s="10"/>
      <c r="E21" s="80"/>
      <c r="F21" s="80"/>
      <c r="G21" s="86"/>
      <c r="H21" s="22"/>
      <c r="I21" s="56"/>
      <c r="J21" s="71"/>
      <c r="K21" s="72"/>
      <c r="L21" s="66"/>
      <c r="M21" s="66"/>
    </row>
    <row r="22" spans="3:13" ht="25.2" customHeight="1" thickBot="1" x14ac:dyDescent="0.35">
      <c r="C22" s="3" t="s">
        <v>36</v>
      </c>
      <c r="D22" s="4"/>
      <c r="E22" s="81"/>
      <c r="F22" s="81"/>
      <c r="G22" s="87"/>
      <c r="H22" s="22"/>
      <c r="I22" s="57"/>
      <c r="J22" s="73"/>
      <c r="K22" s="74"/>
      <c r="L22" s="67"/>
      <c r="M22" s="67"/>
    </row>
    <row r="23" spans="3:13" ht="36.9" customHeight="1" thickBot="1" x14ac:dyDescent="0.35">
      <c r="C23" s="68" t="s">
        <v>38</v>
      </c>
      <c r="D23" s="69"/>
      <c r="E23" s="69"/>
      <c r="F23" s="69"/>
      <c r="G23" s="69"/>
      <c r="H23" s="35"/>
      <c r="I23" s="36"/>
      <c r="J23" s="45"/>
      <c r="K23" s="45"/>
      <c r="L23" s="45"/>
      <c r="M23" s="46"/>
    </row>
    <row r="24" spans="3:13" ht="46.8" customHeight="1" thickBot="1" x14ac:dyDescent="0.35">
      <c r="C24" s="3" t="s">
        <v>39</v>
      </c>
      <c r="D24" s="5" t="s">
        <v>8</v>
      </c>
      <c r="E24" s="6" t="s">
        <v>16</v>
      </c>
      <c r="F24" s="6" t="s">
        <v>40</v>
      </c>
      <c r="G24" s="13">
        <f>(4*0.5)*500*5</f>
        <v>5000</v>
      </c>
      <c r="H24" s="21"/>
      <c r="I24" s="34" t="s">
        <v>122</v>
      </c>
      <c r="J24" s="47">
        <f>25/100</f>
        <v>0.25</v>
      </c>
      <c r="K24" s="48">
        <f>41.75/22</f>
        <v>1.8977272727272727</v>
      </c>
      <c r="L24" s="49">
        <f>(250*22)*K24</f>
        <v>10437.5</v>
      </c>
      <c r="M24" s="49">
        <f>CEILING(J24*K24*L24,100)</f>
        <v>5000</v>
      </c>
    </row>
    <row r="25" spans="3:13" ht="38.4" customHeight="1" thickBot="1" x14ac:dyDescent="0.35">
      <c r="C25" s="3" t="s">
        <v>41</v>
      </c>
      <c r="D25" s="5" t="s">
        <v>8</v>
      </c>
      <c r="E25" s="6" t="s">
        <v>16</v>
      </c>
      <c r="F25" s="6" t="s">
        <v>42</v>
      </c>
      <c r="G25" s="13">
        <f>(4*0.5)*500*5</f>
        <v>5000</v>
      </c>
      <c r="H25" s="21"/>
      <c r="I25" s="25" t="s">
        <v>122</v>
      </c>
      <c r="J25" s="42">
        <f t="shared" ref="J25:J27" si="8">25/100</f>
        <v>0.25</v>
      </c>
      <c r="K25" s="43">
        <f t="shared" ref="K25:K27" si="9">41.75/22</f>
        <v>1.8977272727272727</v>
      </c>
      <c r="L25" s="44">
        <f t="shared" ref="L25:L36" si="10">(250*22)*K25</f>
        <v>10437.5</v>
      </c>
      <c r="M25" s="44">
        <f t="shared" ref="M25:M30" si="11">CEILING(J25*K25*L25,100)</f>
        <v>5000</v>
      </c>
    </row>
    <row r="26" spans="3:13" ht="36.9" customHeight="1" thickBot="1" x14ac:dyDescent="0.35">
      <c r="C26" s="3" t="s">
        <v>43</v>
      </c>
      <c r="D26" s="5" t="s">
        <v>44</v>
      </c>
      <c r="E26" s="6" t="s">
        <v>16</v>
      </c>
      <c r="F26" s="6" t="s">
        <v>45</v>
      </c>
      <c r="G26" s="13">
        <f t="shared" ref="G26:G27" si="12">(4*0.5)*500*5</f>
        <v>5000</v>
      </c>
      <c r="H26" s="21"/>
      <c r="I26" s="25" t="s">
        <v>122</v>
      </c>
      <c r="J26" s="42">
        <f t="shared" si="8"/>
        <v>0.25</v>
      </c>
      <c r="K26" s="43">
        <f t="shared" si="9"/>
        <v>1.8977272727272727</v>
      </c>
      <c r="L26" s="44">
        <f t="shared" si="10"/>
        <v>10437.5</v>
      </c>
      <c r="M26" s="44">
        <f t="shared" si="11"/>
        <v>5000</v>
      </c>
    </row>
    <row r="27" spans="3:13" ht="35.4" customHeight="1" thickBot="1" x14ac:dyDescent="0.35">
      <c r="C27" s="3" t="s">
        <v>46</v>
      </c>
      <c r="D27" s="5" t="s">
        <v>44</v>
      </c>
      <c r="E27" s="6" t="s">
        <v>16</v>
      </c>
      <c r="F27" s="6" t="s">
        <v>47</v>
      </c>
      <c r="G27" s="13">
        <f t="shared" si="12"/>
        <v>5000</v>
      </c>
      <c r="H27" s="21"/>
      <c r="I27" s="37" t="s">
        <v>122</v>
      </c>
      <c r="J27" s="50">
        <f t="shared" si="8"/>
        <v>0.25</v>
      </c>
      <c r="K27" s="51">
        <f t="shared" si="9"/>
        <v>1.8977272727272727</v>
      </c>
      <c r="L27" s="52">
        <f t="shared" si="10"/>
        <v>10437.5</v>
      </c>
      <c r="M27" s="52">
        <f t="shared" si="11"/>
        <v>5000</v>
      </c>
    </row>
    <row r="28" spans="3:13" ht="25.05" customHeight="1" thickBot="1" x14ac:dyDescent="0.35">
      <c r="C28" s="68" t="s">
        <v>48</v>
      </c>
      <c r="D28" s="69"/>
      <c r="E28" s="69"/>
      <c r="F28" s="69"/>
      <c r="G28" s="69"/>
      <c r="H28" s="35"/>
      <c r="I28" s="36"/>
      <c r="J28" s="45"/>
      <c r="K28" s="45"/>
      <c r="L28" s="45"/>
      <c r="M28" s="46"/>
    </row>
    <row r="29" spans="3:13" ht="42.9" customHeight="1" thickBot="1" x14ac:dyDescent="0.35">
      <c r="C29" s="3" t="s">
        <v>49</v>
      </c>
      <c r="D29" s="5" t="s">
        <v>15</v>
      </c>
      <c r="E29" s="6" t="s">
        <v>16</v>
      </c>
      <c r="F29" s="11" t="s">
        <v>50</v>
      </c>
      <c r="G29" s="13">
        <f>(4*(0.5*1/2)*500*5)</f>
        <v>2500</v>
      </c>
      <c r="H29" s="21"/>
      <c r="I29" s="34" t="s">
        <v>123</v>
      </c>
      <c r="J29" s="47">
        <f>0.4</f>
        <v>0.4</v>
      </c>
      <c r="K29" s="48">
        <f>23/22</f>
        <v>1.0454545454545454</v>
      </c>
      <c r="L29" s="49">
        <f t="shared" si="10"/>
        <v>5750</v>
      </c>
      <c r="M29" s="49">
        <f t="shared" si="11"/>
        <v>2500</v>
      </c>
    </row>
    <row r="30" spans="3:13" ht="36.9" customHeight="1" thickBot="1" x14ac:dyDescent="0.35">
      <c r="C30" s="3" t="s">
        <v>51</v>
      </c>
      <c r="D30" s="5" t="s">
        <v>15</v>
      </c>
      <c r="E30" s="6" t="s">
        <v>52</v>
      </c>
      <c r="F30" s="12" t="s">
        <v>53</v>
      </c>
      <c r="G30" s="13">
        <f>(4*(0.25+0.25)*500*5)</f>
        <v>5000</v>
      </c>
      <c r="H30" s="21"/>
      <c r="I30" s="25" t="s">
        <v>128</v>
      </c>
      <c r="J30" s="42">
        <f>0.05</f>
        <v>0.05</v>
      </c>
      <c r="K30" s="43">
        <f>93/22</f>
        <v>4.2272727272727275</v>
      </c>
      <c r="L30" s="44">
        <f t="shared" si="10"/>
        <v>23250</v>
      </c>
      <c r="M30" s="44">
        <f t="shared" si="11"/>
        <v>5000</v>
      </c>
    </row>
    <row r="31" spans="3:13" ht="39" customHeight="1" thickBot="1" x14ac:dyDescent="0.35">
      <c r="C31" s="3" t="s">
        <v>54</v>
      </c>
      <c r="D31" s="5" t="s">
        <v>55</v>
      </c>
      <c r="E31" s="6" t="s">
        <v>16</v>
      </c>
      <c r="F31" s="12" t="s">
        <v>56</v>
      </c>
      <c r="G31" s="14">
        <f>(1+0.5)*500*5</f>
        <v>3750</v>
      </c>
      <c r="H31" s="22"/>
      <c r="I31" s="25" t="s">
        <v>129</v>
      </c>
      <c r="J31" s="42">
        <f>0.5</f>
        <v>0.5</v>
      </c>
      <c r="K31" s="43">
        <f>25.55/22</f>
        <v>1.1613636363636364</v>
      </c>
      <c r="L31" s="44">
        <f t="shared" si="10"/>
        <v>6387.5</v>
      </c>
      <c r="M31" s="44">
        <f>CEILING(J31*K31*L31,50)</f>
        <v>3750</v>
      </c>
    </row>
    <row r="32" spans="3:13" ht="47.4" customHeight="1" thickBot="1" x14ac:dyDescent="0.35">
      <c r="C32" s="3" t="s">
        <v>57</v>
      </c>
      <c r="D32" s="5" t="s">
        <v>58</v>
      </c>
      <c r="E32" s="6" t="s">
        <v>52</v>
      </c>
      <c r="F32" s="12" t="s">
        <v>59</v>
      </c>
      <c r="G32" s="14">
        <f>(1+0.5)*500*5</f>
        <v>3750</v>
      </c>
      <c r="H32" s="22"/>
      <c r="I32" s="25" t="s">
        <v>126</v>
      </c>
      <c r="J32" s="42">
        <f>0.05</f>
        <v>0.05</v>
      </c>
      <c r="K32" s="43">
        <f>81/22</f>
        <v>3.6818181818181817</v>
      </c>
      <c r="L32" s="44">
        <f t="shared" si="10"/>
        <v>20250</v>
      </c>
      <c r="M32" s="44">
        <f t="shared" ref="M32:M36" si="13">CEILING(J32*K32*L32,50)</f>
        <v>3750</v>
      </c>
    </row>
    <row r="33" spans="3:13" ht="49.5" customHeight="1" thickBot="1" x14ac:dyDescent="0.35">
      <c r="C33" s="3" t="s">
        <v>60</v>
      </c>
      <c r="D33" s="5" t="s">
        <v>58</v>
      </c>
      <c r="E33" s="6" t="s">
        <v>52</v>
      </c>
      <c r="F33" s="12" t="s">
        <v>61</v>
      </c>
      <c r="G33" s="14">
        <f>(1+0.5)*500*5</f>
        <v>3750</v>
      </c>
      <c r="H33" s="22"/>
      <c r="I33" s="25" t="s">
        <v>127</v>
      </c>
      <c r="J33" s="42">
        <f>0.05</f>
        <v>0.05</v>
      </c>
      <c r="K33" s="43">
        <f>81/22</f>
        <v>3.6818181818181817</v>
      </c>
      <c r="L33" s="44">
        <f t="shared" si="10"/>
        <v>20250</v>
      </c>
      <c r="M33" s="44">
        <f t="shared" si="13"/>
        <v>3750</v>
      </c>
    </row>
    <row r="34" spans="3:13" ht="44.4" customHeight="1" thickBot="1" x14ac:dyDescent="0.35">
      <c r="C34" s="3" t="s">
        <v>62</v>
      </c>
      <c r="D34" s="5" t="s">
        <v>15</v>
      </c>
      <c r="E34" s="6" t="s">
        <v>16</v>
      </c>
      <c r="F34" s="12" t="s">
        <v>63</v>
      </c>
      <c r="G34" s="14">
        <f>(0.5)*500*5</f>
        <v>1250</v>
      </c>
      <c r="H34" s="22"/>
      <c r="I34" s="25" t="s">
        <v>132</v>
      </c>
      <c r="J34" s="42">
        <f>0.2</f>
        <v>0.2</v>
      </c>
      <c r="K34" s="43">
        <f>23/22</f>
        <v>1.0454545454545454</v>
      </c>
      <c r="L34" s="44">
        <f t="shared" si="10"/>
        <v>5750</v>
      </c>
      <c r="M34" s="44">
        <f t="shared" si="13"/>
        <v>1250</v>
      </c>
    </row>
    <row r="35" spans="3:13" ht="40.799999999999997" customHeight="1" thickBot="1" x14ac:dyDescent="0.35">
      <c r="C35" s="3" t="s">
        <v>64</v>
      </c>
      <c r="D35" s="5" t="s">
        <v>55</v>
      </c>
      <c r="E35" s="6" t="s">
        <v>16</v>
      </c>
      <c r="F35" s="12" t="s">
        <v>65</v>
      </c>
      <c r="G35" s="14">
        <f>(1+0.5)*500*5</f>
        <v>3750</v>
      </c>
      <c r="H35" s="22"/>
      <c r="I35" s="25" t="s">
        <v>125</v>
      </c>
      <c r="J35" s="42">
        <f>0.3</f>
        <v>0.3</v>
      </c>
      <c r="K35" s="43">
        <f>33/22</f>
        <v>1.5</v>
      </c>
      <c r="L35" s="44">
        <f t="shared" si="10"/>
        <v>8250</v>
      </c>
      <c r="M35" s="44">
        <f t="shared" si="13"/>
        <v>3750</v>
      </c>
    </row>
    <row r="36" spans="3:13" ht="40.5" customHeight="1" thickBot="1" x14ac:dyDescent="0.35">
      <c r="C36" s="3" t="s">
        <v>66</v>
      </c>
      <c r="D36" s="5" t="s">
        <v>67</v>
      </c>
      <c r="E36" s="16" t="s">
        <v>16</v>
      </c>
      <c r="F36" s="17" t="s">
        <v>68</v>
      </c>
      <c r="G36" s="18">
        <f>(1+0.5)*500*5</f>
        <v>3750</v>
      </c>
      <c r="H36" s="22"/>
      <c r="I36" s="37" t="s">
        <v>124</v>
      </c>
      <c r="J36" s="50">
        <f>0.3</f>
        <v>0.3</v>
      </c>
      <c r="K36" s="51">
        <f>33/22</f>
        <v>1.5</v>
      </c>
      <c r="L36" s="52">
        <f t="shared" si="10"/>
        <v>8250</v>
      </c>
      <c r="M36" s="52">
        <f t="shared" si="13"/>
        <v>3750</v>
      </c>
    </row>
    <row r="37" spans="3:13" ht="25.05" customHeight="1" thickBot="1" x14ac:dyDescent="0.35">
      <c r="C37" s="88" t="s">
        <v>69</v>
      </c>
      <c r="D37" s="89"/>
      <c r="E37" s="89"/>
      <c r="F37" s="89"/>
      <c r="G37" s="89"/>
      <c r="H37" s="35"/>
      <c r="I37" s="36"/>
      <c r="J37" s="45"/>
      <c r="K37" s="45"/>
      <c r="L37" s="45"/>
      <c r="M37" s="46"/>
    </row>
    <row r="38" spans="3:13" ht="56.7" customHeight="1" thickBot="1" x14ac:dyDescent="0.35">
      <c r="C38" s="3" t="s">
        <v>70</v>
      </c>
      <c r="D38" s="5" t="s">
        <v>15</v>
      </c>
      <c r="E38" s="6" t="s">
        <v>16</v>
      </c>
      <c r="F38" s="6" t="s">
        <v>71</v>
      </c>
      <c r="G38" s="14">
        <f>(0.5)*500*5</f>
        <v>1250</v>
      </c>
      <c r="H38" s="22"/>
      <c r="I38" s="34" t="s">
        <v>133</v>
      </c>
      <c r="J38" s="47">
        <f>0.2</f>
        <v>0.2</v>
      </c>
      <c r="K38" s="48">
        <f>23/22</f>
        <v>1.0454545454545454</v>
      </c>
      <c r="L38" s="49">
        <f>(250*22)*K38</f>
        <v>5750</v>
      </c>
      <c r="M38" s="49">
        <f>CEILING(J38*K38*L38,50)</f>
        <v>1250</v>
      </c>
    </row>
    <row r="39" spans="3:13" ht="47.4" customHeight="1" thickBot="1" x14ac:dyDescent="0.35">
      <c r="C39" s="3" t="s">
        <v>72</v>
      </c>
      <c r="D39" s="5" t="s">
        <v>15</v>
      </c>
      <c r="E39" s="6" t="s">
        <v>16</v>
      </c>
      <c r="F39" s="6" t="s">
        <v>73</v>
      </c>
      <c r="G39" s="14">
        <f>(0.5)*500*5</f>
        <v>1250</v>
      </c>
      <c r="H39" s="22"/>
      <c r="I39" s="25" t="s">
        <v>134</v>
      </c>
      <c r="J39" s="42">
        <f>0.2</f>
        <v>0.2</v>
      </c>
      <c r="K39" s="43">
        <f>23/22</f>
        <v>1.0454545454545454</v>
      </c>
      <c r="L39" s="44">
        <f t="shared" ref="L39:L40" si="14">(250*22)*K39</f>
        <v>5750</v>
      </c>
      <c r="M39" s="44">
        <f t="shared" ref="M39:M56" si="15">CEILING(J39*K39*L39,50)</f>
        <v>1250</v>
      </c>
    </row>
    <row r="40" spans="3:13" ht="31.8" customHeight="1" thickBot="1" x14ac:dyDescent="0.35">
      <c r="C40" s="3" t="s">
        <v>60</v>
      </c>
      <c r="D40" s="5" t="s">
        <v>74</v>
      </c>
      <c r="E40" s="6" t="s">
        <v>16</v>
      </c>
      <c r="F40" s="6" t="s">
        <v>75</v>
      </c>
      <c r="G40" s="13">
        <f>(4*1)*500</f>
        <v>2000</v>
      </c>
      <c r="H40" s="21"/>
      <c r="I40" s="25" t="s">
        <v>135</v>
      </c>
      <c r="J40" s="42">
        <f>0.35</f>
        <v>0.35</v>
      </c>
      <c r="K40" s="43">
        <f>22.2/22</f>
        <v>1.009090909090909</v>
      </c>
      <c r="L40" s="44">
        <f t="shared" si="14"/>
        <v>5550</v>
      </c>
      <c r="M40" s="44">
        <f t="shared" si="15"/>
        <v>2000</v>
      </c>
    </row>
    <row r="41" spans="3:13" ht="25.05" customHeight="1" thickBot="1" x14ac:dyDescent="0.35">
      <c r="C41" s="68" t="s">
        <v>76</v>
      </c>
      <c r="D41" s="69"/>
      <c r="E41" s="69"/>
      <c r="F41" s="69"/>
      <c r="G41" s="70"/>
      <c r="H41" s="35"/>
      <c r="I41" s="36"/>
      <c r="J41" s="45"/>
      <c r="K41" s="45"/>
      <c r="L41" s="45"/>
      <c r="M41" s="46"/>
    </row>
    <row r="42" spans="3:13" ht="43.8" customHeight="1" thickBot="1" x14ac:dyDescent="0.35">
      <c r="C42" s="3" t="s">
        <v>77</v>
      </c>
      <c r="D42" s="5" t="s">
        <v>15</v>
      </c>
      <c r="E42" s="6" t="s">
        <v>16</v>
      </c>
      <c r="F42" s="6" t="s">
        <v>78</v>
      </c>
      <c r="G42" s="14">
        <f>(0.5)*500*5</f>
        <v>1250</v>
      </c>
      <c r="H42" s="22"/>
      <c r="I42" s="25" t="s">
        <v>136</v>
      </c>
      <c r="J42" s="42">
        <f>0.2</f>
        <v>0.2</v>
      </c>
      <c r="K42" s="43">
        <f>23/22</f>
        <v>1.0454545454545454</v>
      </c>
      <c r="L42" s="44">
        <f>(250*22)*K42</f>
        <v>5750</v>
      </c>
      <c r="M42" s="44">
        <f t="shared" si="15"/>
        <v>1250</v>
      </c>
    </row>
    <row r="43" spans="3:13" ht="52.2" customHeight="1" thickBot="1" x14ac:dyDescent="0.35">
      <c r="C43" s="3" t="s">
        <v>79</v>
      </c>
      <c r="D43" s="5" t="s">
        <v>15</v>
      </c>
      <c r="E43" s="6" t="s">
        <v>80</v>
      </c>
      <c r="F43" s="6" t="s">
        <v>81</v>
      </c>
      <c r="G43" s="14">
        <f>(4*0.5)*500*5</f>
        <v>5000</v>
      </c>
      <c r="H43" s="22"/>
      <c r="I43" s="25" t="s">
        <v>146</v>
      </c>
      <c r="J43" s="42">
        <f>0.05</f>
        <v>0.05</v>
      </c>
      <c r="K43" s="43">
        <f>93/22</f>
        <v>4.2272727272727275</v>
      </c>
      <c r="L43" s="44">
        <f t="shared" ref="L43:L56" si="16">(250*22)*K43</f>
        <v>23250</v>
      </c>
      <c r="M43" s="44">
        <f>CEILING(J43*K43*L43,100)</f>
        <v>5000</v>
      </c>
    </row>
    <row r="44" spans="3:13" ht="39.299999999999997" customHeight="1" thickBot="1" x14ac:dyDescent="0.35">
      <c r="C44" s="3" t="s">
        <v>82</v>
      </c>
      <c r="D44" s="5" t="s">
        <v>15</v>
      </c>
      <c r="E44" s="6" t="s">
        <v>80</v>
      </c>
      <c r="F44" s="6" t="s">
        <v>83</v>
      </c>
      <c r="G44" s="14">
        <f>(4*0.5)*500*5</f>
        <v>5000</v>
      </c>
      <c r="H44" s="22"/>
      <c r="I44" s="25" t="s">
        <v>147</v>
      </c>
      <c r="J44" s="42">
        <f>0.05</f>
        <v>0.05</v>
      </c>
      <c r="K44" s="43">
        <f>93/22</f>
        <v>4.2272727272727275</v>
      </c>
      <c r="L44" s="44">
        <f t="shared" si="16"/>
        <v>23250</v>
      </c>
      <c r="M44" s="44">
        <f>CEILING(J44*K44*L44,100)</f>
        <v>5000</v>
      </c>
    </row>
    <row r="45" spans="3:13" ht="25.05" customHeight="1" thickBot="1" x14ac:dyDescent="0.35">
      <c r="C45" s="3" t="s">
        <v>84</v>
      </c>
      <c r="D45" s="5" t="s">
        <v>15</v>
      </c>
      <c r="E45" s="6" t="s">
        <v>16</v>
      </c>
      <c r="F45" s="6" t="s">
        <v>85</v>
      </c>
      <c r="G45" s="14">
        <f t="shared" ref="G45:G46" si="17">(0.5)*500*5</f>
        <v>1250</v>
      </c>
      <c r="H45" s="22"/>
      <c r="I45" s="25" t="s">
        <v>148</v>
      </c>
      <c r="J45" s="42">
        <f>0.2</f>
        <v>0.2</v>
      </c>
      <c r="K45" s="43">
        <f>23/22</f>
        <v>1.0454545454545454</v>
      </c>
      <c r="L45" s="44">
        <f t="shared" si="16"/>
        <v>5750</v>
      </c>
      <c r="M45" s="44">
        <f t="shared" si="15"/>
        <v>1250</v>
      </c>
    </row>
    <row r="46" spans="3:13" ht="25.05" customHeight="1" thickBot="1" x14ac:dyDescent="0.35">
      <c r="C46" s="3" t="s">
        <v>86</v>
      </c>
      <c r="D46" s="5" t="s">
        <v>15</v>
      </c>
      <c r="E46" s="6" t="s">
        <v>16</v>
      </c>
      <c r="F46" s="6" t="s">
        <v>87</v>
      </c>
      <c r="G46" s="14">
        <f t="shared" si="17"/>
        <v>1250</v>
      </c>
      <c r="H46" s="22"/>
      <c r="I46" s="25" t="s">
        <v>149</v>
      </c>
      <c r="J46" s="42">
        <f>0.2</f>
        <v>0.2</v>
      </c>
      <c r="K46" s="43">
        <f>23/22</f>
        <v>1.0454545454545454</v>
      </c>
      <c r="L46" s="44">
        <f t="shared" si="16"/>
        <v>5750</v>
      </c>
      <c r="M46" s="44">
        <f t="shared" si="15"/>
        <v>1250</v>
      </c>
    </row>
    <row r="47" spans="3:13" ht="25.05" customHeight="1" thickBot="1" x14ac:dyDescent="0.35">
      <c r="C47" s="68" t="s">
        <v>88</v>
      </c>
      <c r="D47" s="69"/>
      <c r="E47" s="69"/>
      <c r="F47" s="69"/>
      <c r="G47" s="70"/>
      <c r="H47" s="35"/>
      <c r="I47" s="36"/>
      <c r="J47" s="45"/>
      <c r="K47" s="45"/>
      <c r="L47" s="45"/>
      <c r="M47" s="46"/>
    </row>
    <row r="48" spans="3:13" ht="49.5" customHeight="1" thickBot="1" x14ac:dyDescent="0.35">
      <c r="C48" s="3" t="s">
        <v>89</v>
      </c>
      <c r="D48" s="5" t="s">
        <v>74</v>
      </c>
      <c r="E48" s="6" t="s">
        <v>16</v>
      </c>
      <c r="F48" s="6" t="s">
        <v>90</v>
      </c>
      <c r="G48" s="14">
        <f>(1+0.5)*500*5</f>
        <v>3750</v>
      </c>
      <c r="H48" s="22"/>
      <c r="I48" s="25" t="s">
        <v>130</v>
      </c>
      <c r="J48" s="42">
        <f>0.5</f>
        <v>0.5</v>
      </c>
      <c r="K48" s="43">
        <f>25.55/22</f>
        <v>1.1613636363636364</v>
      </c>
      <c r="L48" s="44">
        <f t="shared" si="16"/>
        <v>6387.5</v>
      </c>
      <c r="M48" s="44">
        <f t="shared" si="15"/>
        <v>3750</v>
      </c>
    </row>
    <row r="49" spans="3:13" ht="45.3" customHeight="1" thickBot="1" x14ac:dyDescent="0.35">
      <c r="C49" s="3" t="s">
        <v>91</v>
      </c>
      <c r="D49" s="5" t="s">
        <v>74</v>
      </c>
      <c r="E49" s="6" t="s">
        <v>16</v>
      </c>
      <c r="F49" s="6" t="s">
        <v>92</v>
      </c>
      <c r="G49" s="14">
        <f>(1+0.5)*500*5</f>
        <v>3750</v>
      </c>
      <c r="H49" s="22"/>
      <c r="I49" s="25" t="s">
        <v>131</v>
      </c>
      <c r="J49" s="42">
        <f>0.5</f>
        <v>0.5</v>
      </c>
      <c r="K49" s="43">
        <f>25.55/22</f>
        <v>1.1613636363636364</v>
      </c>
      <c r="L49" s="44">
        <f t="shared" si="16"/>
        <v>6387.5</v>
      </c>
      <c r="M49" s="44">
        <f t="shared" si="15"/>
        <v>3750</v>
      </c>
    </row>
    <row r="50" spans="3:13" ht="34.5" customHeight="1" thickBot="1" x14ac:dyDescent="0.35">
      <c r="C50" s="3" t="s">
        <v>93</v>
      </c>
      <c r="D50" s="5" t="s">
        <v>15</v>
      </c>
      <c r="E50" s="6" t="s">
        <v>16</v>
      </c>
      <c r="F50" s="6" t="s">
        <v>94</v>
      </c>
      <c r="G50" s="14">
        <f>(0.5)*500*5</f>
        <v>1250</v>
      </c>
      <c r="H50" s="22"/>
      <c r="I50" s="25" t="s">
        <v>137</v>
      </c>
      <c r="J50" s="42">
        <f>0.2</f>
        <v>0.2</v>
      </c>
      <c r="K50" s="43">
        <f>23/22</f>
        <v>1.0454545454545454</v>
      </c>
      <c r="L50" s="44">
        <f>(250*22)*K50</f>
        <v>5750</v>
      </c>
      <c r="M50" s="44">
        <f t="shared" si="15"/>
        <v>1250</v>
      </c>
    </row>
    <row r="51" spans="3:13" ht="46.5" customHeight="1" thickBot="1" x14ac:dyDescent="0.35">
      <c r="C51" s="3" t="s">
        <v>95</v>
      </c>
      <c r="D51" s="5" t="s">
        <v>15</v>
      </c>
      <c r="E51" s="6" t="s">
        <v>16</v>
      </c>
      <c r="F51" s="6" t="s">
        <v>96</v>
      </c>
      <c r="G51" s="14">
        <f>(0.5)*500*5</f>
        <v>1250</v>
      </c>
      <c r="H51" s="22"/>
      <c r="I51" s="25" t="s">
        <v>138</v>
      </c>
      <c r="J51" s="42">
        <f>0.2</f>
        <v>0.2</v>
      </c>
      <c r="K51" s="43">
        <f>23/22</f>
        <v>1.0454545454545454</v>
      </c>
      <c r="L51" s="44">
        <f t="shared" si="16"/>
        <v>5750</v>
      </c>
      <c r="M51" s="44">
        <f t="shared" si="15"/>
        <v>1250</v>
      </c>
    </row>
    <row r="52" spans="3:13" ht="40.5" customHeight="1" thickBot="1" x14ac:dyDescent="0.35">
      <c r="C52" s="3" t="s">
        <v>97</v>
      </c>
      <c r="D52" s="5" t="s">
        <v>15</v>
      </c>
      <c r="E52" s="6" t="s">
        <v>98</v>
      </c>
      <c r="F52" s="6" t="s">
        <v>99</v>
      </c>
      <c r="G52" s="14">
        <f t="shared" ref="G52:G57" si="18">(0.5)*500*5</f>
        <v>1250</v>
      </c>
      <c r="H52" s="22"/>
      <c r="I52" s="25" t="s">
        <v>150</v>
      </c>
      <c r="J52" s="42">
        <f>0.05</f>
        <v>0.05</v>
      </c>
      <c r="K52" s="43">
        <f>46/22</f>
        <v>2.0909090909090908</v>
      </c>
      <c r="L52" s="44">
        <f t="shared" si="16"/>
        <v>11500</v>
      </c>
      <c r="M52" s="44">
        <f t="shared" si="15"/>
        <v>1250</v>
      </c>
    </row>
    <row r="53" spans="3:13" ht="36.6" customHeight="1" thickBot="1" x14ac:dyDescent="0.35">
      <c r="C53" s="3" t="s">
        <v>100</v>
      </c>
      <c r="D53" s="5" t="s">
        <v>15</v>
      </c>
      <c r="E53" s="6" t="s">
        <v>98</v>
      </c>
      <c r="F53" s="6" t="s">
        <v>101</v>
      </c>
      <c r="G53" s="14">
        <f t="shared" si="18"/>
        <v>1250</v>
      </c>
      <c r="H53" s="22"/>
      <c r="I53" s="25" t="s">
        <v>151</v>
      </c>
      <c r="J53" s="42">
        <f>0.05</f>
        <v>0.05</v>
      </c>
      <c r="K53" s="43">
        <f t="shared" ref="K53:K54" si="19">46/22</f>
        <v>2.0909090909090908</v>
      </c>
      <c r="L53" s="44">
        <f t="shared" si="16"/>
        <v>11500</v>
      </c>
      <c r="M53" s="44">
        <f t="shared" si="15"/>
        <v>1250</v>
      </c>
    </row>
    <row r="54" spans="3:13" ht="36" customHeight="1" thickBot="1" x14ac:dyDescent="0.35">
      <c r="C54" s="3" t="s">
        <v>102</v>
      </c>
      <c r="D54" s="5" t="s">
        <v>15</v>
      </c>
      <c r="E54" s="6" t="s">
        <v>98</v>
      </c>
      <c r="F54" s="6" t="s">
        <v>103</v>
      </c>
      <c r="G54" s="14">
        <f t="shared" si="18"/>
        <v>1250</v>
      </c>
      <c r="H54" s="22"/>
      <c r="I54" s="25" t="s">
        <v>152</v>
      </c>
      <c r="J54" s="42">
        <f>0.05</f>
        <v>0.05</v>
      </c>
      <c r="K54" s="43">
        <f t="shared" si="19"/>
        <v>2.0909090909090908</v>
      </c>
      <c r="L54" s="44">
        <f t="shared" si="16"/>
        <v>11500</v>
      </c>
      <c r="M54" s="44">
        <f t="shared" si="15"/>
        <v>1250</v>
      </c>
    </row>
    <row r="55" spans="3:13" ht="25.05" customHeight="1" thickBot="1" x14ac:dyDescent="0.35">
      <c r="C55" s="90" t="s">
        <v>104</v>
      </c>
      <c r="D55" s="91"/>
      <c r="E55" s="91"/>
      <c r="F55" s="91"/>
      <c r="G55" s="92"/>
      <c r="H55" s="35"/>
      <c r="I55" s="36"/>
      <c r="J55" s="45"/>
      <c r="K55" s="45"/>
      <c r="L55" s="45"/>
      <c r="M55" s="46"/>
    </row>
    <row r="56" spans="3:13" ht="39" customHeight="1" thickBot="1" x14ac:dyDescent="0.35">
      <c r="C56" s="3" t="s">
        <v>160</v>
      </c>
      <c r="D56" s="5" t="s">
        <v>105</v>
      </c>
      <c r="E56" s="6" t="s">
        <v>16</v>
      </c>
      <c r="F56" s="6" t="s">
        <v>159</v>
      </c>
      <c r="G56" s="14">
        <f>(1+0.5)*500*5</f>
        <v>3750</v>
      </c>
      <c r="H56" s="38"/>
      <c r="I56" s="25" t="s">
        <v>157</v>
      </c>
      <c r="J56" s="42">
        <f>0.5</f>
        <v>0.5</v>
      </c>
      <c r="K56" s="43">
        <f>25.55/22</f>
        <v>1.1613636363636364</v>
      </c>
      <c r="L56" s="44">
        <f t="shared" si="16"/>
        <v>6387.5</v>
      </c>
      <c r="M56" s="44">
        <f t="shared" si="15"/>
        <v>3750</v>
      </c>
    </row>
    <row r="57" spans="3:13" ht="35.4" customHeight="1" thickBot="1" x14ac:dyDescent="0.35">
      <c r="C57" s="3" t="s">
        <v>106</v>
      </c>
      <c r="D57" s="5" t="s">
        <v>15</v>
      </c>
      <c r="E57" s="6" t="s">
        <v>16</v>
      </c>
      <c r="F57" s="6" t="s">
        <v>107</v>
      </c>
      <c r="G57" s="14">
        <f t="shared" si="18"/>
        <v>1250</v>
      </c>
      <c r="H57" s="38"/>
      <c r="I57" s="25" t="s">
        <v>156</v>
      </c>
      <c r="J57" s="42">
        <f>0.2</f>
        <v>0.2</v>
      </c>
      <c r="K57" s="43">
        <f>23/22</f>
        <v>1.0454545454545454</v>
      </c>
      <c r="L57" s="44">
        <f>(250*22)*K57</f>
        <v>5750</v>
      </c>
      <c r="M57" s="44">
        <f>CEILING(J57*K57*L57,50)</f>
        <v>1250</v>
      </c>
    </row>
    <row r="58" spans="3:13" ht="25.05" customHeight="1" x14ac:dyDescent="0.3">
      <c r="C58" s="79" t="s">
        <v>108</v>
      </c>
      <c r="D58" s="82" t="s">
        <v>109</v>
      </c>
      <c r="E58" s="79" t="s">
        <v>16</v>
      </c>
      <c r="F58" s="9" t="s">
        <v>110</v>
      </c>
      <c r="G58" s="85">
        <f>7500+(4*0.5*500)*5</f>
        <v>12500</v>
      </c>
      <c r="H58" s="39"/>
      <c r="I58" s="56" t="s">
        <v>161</v>
      </c>
      <c r="J58" s="96">
        <f t="shared" ref="J58" si="20">0.4</f>
        <v>0.4</v>
      </c>
      <c r="K58" s="100">
        <f t="shared" ref="K58" si="21">23/22</f>
        <v>1.0454545454545454</v>
      </c>
      <c r="L58" s="93">
        <f>(250*22)*K58</f>
        <v>5750</v>
      </c>
      <c r="M58" s="102">
        <f>CEILING(J58*K58*L58,100)+10000</f>
        <v>12500</v>
      </c>
    </row>
    <row r="59" spans="3:13" ht="25.05" customHeight="1" x14ac:dyDescent="0.3">
      <c r="C59" s="80"/>
      <c r="D59" s="83"/>
      <c r="E59" s="80"/>
      <c r="F59" s="105" t="s">
        <v>111</v>
      </c>
      <c r="G59" s="86"/>
      <c r="H59" s="39"/>
      <c r="I59" s="56"/>
      <c r="J59" s="97"/>
      <c r="K59" s="101"/>
      <c r="L59" s="94"/>
      <c r="M59" s="103"/>
    </row>
    <row r="60" spans="3:13" ht="28.8" customHeight="1" thickBot="1" x14ac:dyDescent="0.35">
      <c r="C60" s="81"/>
      <c r="D60" s="84"/>
      <c r="E60" s="81"/>
      <c r="F60" s="106"/>
      <c r="G60" s="87"/>
      <c r="H60" s="39"/>
      <c r="I60" s="56"/>
      <c r="J60" s="98"/>
      <c r="K60" s="99"/>
      <c r="L60" s="95"/>
      <c r="M60" s="104"/>
    </row>
    <row r="61" spans="3:13" ht="45" customHeight="1" thickBot="1" x14ac:dyDescent="0.35">
      <c r="C61" s="3" t="s">
        <v>112</v>
      </c>
      <c r="D61" s="5" t="s">
        <v>44</v>
      </c>
      <c r="E61" s="6" t="s">
        <v>16</v>
      </c>
      <c r="F61" s="6" t="s">
        <v>113</v>
      </c>
      <c r="G61" s="13">
        <f>(4*0.5)*500*4</f>
        <v>4000</v>
      </c>
      <c r="H61" s="40"/>
      <c r="I61" s="41" t="s">
        <v>158</v>
      </c>
      <c r="J61" s="53">
        <f>0.2</f>
        <v>0.2</v>
      </c>
      <c r="K61" s="54">
        <f>41.5/22</f>
        <v>1.8863636363636365</v>
      </c>
      <c r="L61" s="55">
        <f>(250*22)*K61</f>
        <v>10375</v>
      </c>
      <c r="M61" s="55">
        <f>CEILING(J61*K61*L61,100)</f>
        <v>4000</v>
      </c>
    </row>
    <row r="62" spans="3:13" x14ac:dyDescent="0.3">
      <c r="H62" s="28"/>
    </row>
    <row r="63" spans="3:13" x14ac:dyDescent="0.3">
      <c r="H63" s="28"/>
    </row>
    <row r="64" spans="3:13" x14ac:dyDescent="0.3">
      <c r="H64" s="28"/>
    </row>
    <row r="65" spans="8:13" x14ac:dyDescent="0.3">
      <c r="H65" s="28"/>
      <c r="M65" s="15"/>
    </row>
    <row r="66" spans="8:13" x14ac:dyDescent="0.3">
      <c r="H66" s="28"/>
    </row>
    <row r="67" spans="8:13" x14ac:dyDescent="0.3">
      <c r="H67" s="28"/>
    </row>
    <row r="68" spans="8:13" x14ac:dyDescent="0.3">
      <c r="H68" s="28"/>
    </row>
    <row r="69" spans="8:13" x14ac:dyDescent="0.3">
      <c r="H69" s="28"/>
    </row>
    <row r="70" spans="8:13" x14ac:dyDescent="0.3">
      <c r="H70" s="28"/>
    </row>
    <row r="71" spans="8:13" x14ac:dyDescent="0.3">
      <c r="H71" s="28"/>
    </row>
    <row r="72" spans="8:13" x14ac:dyDescent="0.3">
      <c r="H72" s="28"/>
    </row>
    <row r="73" spans="8:13" x14ac:dyDescent="0.3">
      <c r="H73" s="28"/>
    </row>
    <row r="74" spans="8:13" x14ac:dyDescent="0.3">
      <c r="H74" s="28"/>
    </row>
    <row r="75" spans="8:13" x14ac:dyDescent="0.3">
      <c r="H75" s="28"/>
    </row>
    <row r="76" spans="8:13" x14ac:dyDescent="0.3">
      <c r="H76" s="28"/>
    </row>
    <row r="77" spans="8:13" x14ac:dyDescent="0.3">
      <c r="H77" s="28"/>
    </row>
    <row r="78" spans="8:13" x14ac:dyDescent="0.3">
      <c r="H78" s="28"/>
    </row>
    <row r="79" spans="8:13" x14ac:dyDescent="0.3">
      <c r="H79" s="28"/>
    </row>
    <row r="80" spans="8:13" x14ac:dyDescent="0.3">
      <c r="H80" s="28"/>
    </row>
    <row r="81" spans="7:9" x14ac:dyDescent="0.3">
      <c r="H81" s="28"/>
    </row>
    <row r="82" spans="7:9" x14ac:dyDescent="0.3">
      <c r="H82" s="28"/>
    </row>
    <row r="83" spans="7:9" x14ac:dyDescent="0.3">
      <c r="H83" s="28"/>
    </row>
    <row r="84" spans="7:9" x14ac:dyDescent="0.3">
      <c r="H84" s="28"/>
    </row>
    <row r="85" spans="7:9" x14ac:dyDescent="0.3">
      <c r="H85" s="28"/>
    </row>
    <row r="86" spans="7:9" x14ac:dyDescent="0.3">
      <c r="H86" s="28"/>
    </row>
    <row r="87" spans="7:9" x14ac:dyDescent="0.3">
      <c r="H87" s="28"/>
    </row>
    <row r="88" spans="7:9" x14ac:dyDescent="0.3">
      <c r="H88" s="28"/>
    </row>
    <row r="89" spans="7:9" x14ac:dyDescent="0.3">
      <c r="H89" s="28"/>
    </row>
    <row r="90" spans="7:9" x14ac:dyDescent="0.3">
      <c r="H90" s="28"/>
    </row>
    <row r="91" spans="7:9" x14ac:dyDescent="0.3">
      <c r="H91" s="28"/>
    </row>
    <row r="92" spans="7:9" x14ac:dyDescent="0.3">
      <c r="G92" s="28"/>
      <c r="H92" s="28"/>
      <c r="I92" s="28"/>
    </row>
    <row r="93" spans="7:9" x14ac:dyDescent="0.3">
      <c r="G93" s="28"/>
      <c r="H93" s="28"/>
      <c r="I93" s="28"/>
    </row>
    <row r="94" spans="7:9" x14ac:dyDescent="0.3">
      <c r="G94" s="28"/>
      <c r="H94" s="28"/>
      <c r="I94" s="28"/>
    </row>
    <row r="95" spans="7:9" x14ac:dyDescent="0.3">
      <c r="G95" s="28"/>
      <c r="H95" s="28"/>
      <c r="I95" s="28"/>
    </row>
    <row r="96" spans="7:9" x14ac:dyDescent="0.3">
      <c r="G96" s="28"/>
      <c r="H96" s="28"/>
      <c r="I96" s="28"/>
    </row>
    <row r="97" spans="7:9" x14ac:dyDescent="0.3">
      <c r="G97" s="28"/>
      <c r="H97" s="28"/>
      <c r="I97" s="28"/>
    </row>
    <row r="98" spans="7:9" x14ac:dyDescent="0.3">
      <c r="G98" s="28"/>
      <c r="H98" s="28"/>
      <c r="I98" s="28"/>
    </row>
    <row r="99" spans="7:9" x14ac:dyDescent="0.3">
      <c r="G99" s="28"/>
      <c r="H99" s="28"/>
      <c r="I99" s="28"/>
    </row>
    <row r="100" spans="7:9" x14ac:dyDescent="0.3">
      <c r="G100" s="28"/>
      <c r="H100" s="28"/>
      <c r="I100" s="28"/>
    </row>
    <row r="101" spans="7:9" x14ac:dyDescent="0.3">
      <c r="G101" s="28"/>
      <c r="H101" s="28"/>
      <c r="I101" s="28"/>
    </row>
    <row r="102" spans="7:9" x14ac:dyDescent="0.3">
      <c r="G102" s="28"/>
      <c r="H102" s="28"/>
      <c r="I102" s="28"/>
    </row>
    <row r="103" spans="7:9" x14ac:dyDescent="0.3">
      <c r="G103" s="28"/>
      <c r="H103" s="28"/>
      <c r="I103" s="28"/>
    </row>
    <row r="104" spans="7:9" x14ac:dyDescent="0.3">
      <c r="G104" s="28"/>
      <c r="H104" s="28"/>
      <c r="I104" s="28"/>
    </row>
    <row r="105" spans="7:9" x14ac:dyDescent="0.3">
      <c r="G105" s="28"/>
      <c r="H105" s="28"/>
      <c r="I105" s="28"/>
    </row>
    <row r="106" spans="7:9" x14ac:dyDescent="0.3">
      <c r="G106" s="28"/>
      <c r="H106" s="28"/>
      <c r="I106" s="28"/>
    </row>
    <row r="107" spans="7:9" x14ac:dyDescent="0.3">
      <c r="G107" s="28"/>
      <c r="H107" s="28"/>
      <c r="I107" s="28"/>
    </row>
    <row r="108" spans="7:9" x14ac:dyDescent="0.3">
      <c r="G108" s="28"/>
      <c r="H108" s="28"/>
      <c r="I108" s="28"/>
    </row>
    <row r="109" spans="7:9" x14ac:dyDescent="0.3">
      <c r="G109" s="28"/>
      <c r="H109" s="28"/>
      <c r="I109" s="28"/>
    </row>
    <row r="110" spans="7:9" x14ac:dyDescent="0.3">
      <c r="G110" s="28"/>
      <c r="H110" s="28"/>
      <c r="I110" s="28"/>
    </row>
    <row r="111" spans="7:9" x14ac:dyDescent="0.3">
      <c r="G111" s="28"/>
      <c r="H111" s="28"/>
      <c r="I111" s="28"/>
    </row>
    <row r="112" spans="7:9" x14ac:dyDescent="0.3">
      <c r="G112" s="28"/>
      <c r="H112" s="28"/>
      <c r="I112" s="28"/>
    </row>
    <row r="113" spans="7:9" x14ac:dyDescent="0.3">
      <c r="G113" s="28"/>
      <c r="H113" s="28"/>
      <c r="I113" s="28"/>
    </row>
    <row r="114" spans="7:9" x14ac:dyDescent="0.3">
      <c r="G114" s="28"/>
      <c r="H114" s="28"/>
      <c r="I114" s="28"/>
    </row>
    <row r="115" spans="7:9" x14ac:dyDescent="0.3">
      <c r="G115" s="28"/>
      <c r="H115" s="28"/>
      <c r="I115" s="28"/>
    </row>
    <row r="116" spans="7:9" x14ac:dyDescent="0.3">
      <c r="G116" s="28"/>
      <c r="H116" s="28"/>
      <c r="I116" s="28"/>
    </row>
    <row r="117" spans="7:9" x14ac:dyDescent="0.3">
      <c r="G117" s="28"/>
      <c r="H117" s="28"/>
      <c r="I117" s="28"/>
    </row>
    <row r="118" spans="7:9" x14ac:dyDescent="0.3">
      <c r="G118" s="28"/>
      <c r="H118" s="28"/>
      <c r="I118" s="28"/>
    </row>
    <row r="119" spans="7:9" x14ac:dyDescent="0.3">
      <c r="G119" s="28"/>
      <c r="H119" s="28"/>
      <c r="I119" s="28"/>
    </row>
    <row r="120" spans="7:9" x14ac:dyDescent="0.3">
      <c r="G120" s="28"/>
      <c r="H120" s="28"/>
      <c r="I120" s="28"/>
    </row>
    <row r="121" spans="7:9" x14ac:dyDescent="0.3">
      <c r="G121" s="28"/>
      <c r="H121" s="28"/>
      <c r="I121" s="28"/>
    </row>
    <row r="122" spans="7:9" x14ac:dyDescent="0.3">
      <c r="G122" s="28"/>
      <c r="H122" s="28"/>
      <c r="I122" s="28"/>
    </row>
    <row r="123" spans="7:9" x14ac:dyDescent="0.3">
      <c r="G123" s="28"/>
      <c r="H123" s="28"/>
      <c r="I123" s="28"/>
    </row>
    <row r="124" spans="7:9" x14ac:dyDescent="0.3">
      <c r="G124" s="28"/>
      <c r="H124" s="28"/>
      <c r="I124" s="28"/>
    </row>
    <row r="125" spans="7:9" x14ac:dyDescent="0.3">
      <c r="G125" s="28"/>
      <c r="H125" s="28"/>
      <c r="I125" s="28"/>
    </row>
    <row r="126" spans="7:9" x14ac:dyDescent="0.3">
      <c r="G126" s="28"/>
      <c r="H126" s="28"/>
      <c r="I126" s="28"/>
    </row>
    <row r="127" spans="7:9" x14ac:dyDescent="0.3">
      <c r="G127" s="28"/>
      <c r="H127" s="28"/>
      <c r="I127" s="28"/>
    </row>
    <row r="128" spans="7:9" x14ac:dyDescent="0.3">
      <c r="G128" s="28"/>
      <c r="H128" s="28"/>
      <c r="I128" s="28"/>
    </row>
    <row r="129" spans="7:9" x14ac:dyDescent="0.3">
      <c r="G129" s="28"/>
      <c r="H129" s="28"/>
      <c r="I129" s="28"/>
    </row>
    <row r="130" spans="7:9" x14ac:dyDescent="0.3">
      <c r="G130" s="28"/>
      <c r="H130" s="28"/>
      <c r="I130" s="28"/>
    </row>
    <row r="131" spans="7:9" x14ac:dyDescent="0.3">
      <c r="G131" s="28"/>
      <c r="H131" s="28"/>
      <c r="I131" s="28"/>
    </row>
    <row r="132" spans="7:9" x14ac:dyDescent="0.3">
      <c r="G132" s="28"/>
      <c r="H132" s="28"/>
      <c r="I132" s="28"/>
    </row>
    <row r="133" spans="7:9" x14ac:dyDescent="0.3">
      <c r="G133" s="28"/>
      <c r="H133" s="28"/>
      <c r="I133" s="28"/>
    </row>
    <row r="134" spans="7:9" x14ac:dyDescent="0.3">
      <c r="G134" s="28"/>
      <c r="H134" s="28"/>
      <c r="I134" s="28"/>
    </row>
    <row r="135" spans="7:9" x14ac:dyDescent="0.3">
      <c r="G135" s="28"/>
      <c r="H135" s="28"/>
      <c r="I135" s="28"/>
    </row>
    <row r="136" spans="7:9" x14ac:dyDescent="0.3">
      <c r="G136" s="28"/>
      <c r="H136" s="28"/>
      <c r="I136" s="28"/>
    </row>
    <row r="137" spans="7:9" x14ac:dyDescent="0.3">
      <c r="G137" s="28"/>
      <c r="H137" s="28"/>
      <c r="I137" s="28"/>
    </row>
    <row r="138" spans="7:9" x14ac:dyDescent="0.3">
      <c r="G138" s="28"/>
      <c r="H138" s="28"/>
      <c r="I138" s="28"/>
    </row>
    <row r="139" spans="7:9" x14ac:dyDescent="0.3">
      <c r="G139" s="28"/>
      <c r="H139" s="28"/>
      <c r="I139" s="28"/>
    </row>
    <row r="140" spans="7:9" x14ac:dyDescent="0.3">
      <c r="G140" s="28"/>
      <c r="H140" s="28"/>
      <c r="I140" s="28"/>
    </row>
    <row r="141" spans="7:9" x14ac:dyDescent="0.3">
      <c r="G141" s="28"/>
      <c r="H141" s="28"/>
      <c r="I141" s="28"/>
    </row>
    <row r="142" spans="7:9" x14ac:dyDescent="0.3">
      <c r="G142" s="28"/>
      <c r="H142" s="28"/>
      <c r="I142" s="28"/>
    </row>
    <row r="143" spans="7:9" x14ac:dyDescent="0.3">
      <c r="G143" s="28"/>
      <c r="H143" s="28"/>
      <c r="I143" s="28"/>
    </row>
    <row r="144" spans="7:9" x14ac:dyDescent="0.3">
      <c r="G144" s="28"/>
      <c r="H144" s="28"/>
      <c r="I144" s="28"/>
    </row>
    <row r="145" spans="7:9" x14ac:dyDescent="0.3">
      <c r="G145" s="28"/>
      <c r="H145" s="28"/>
      <c r="I145" s="28"/>
    </row>
    <row r="146" spans="7:9" x14ac:dyDescent="0.3">
      <c r="G146" s="28"/>
      <c r="H146" s="28"/>
      <c r="I146" s="28"/>
    </row>
    <row r="147" spans="7:9" x14ac:dyDescent="0.3">
      <c r="G147" s="28"/>
      <c r="H147" s="28"/>
      <c r="I147" s="28"/>
    </row>
    <row r="148" spans="7:9" x14ac:dyDescent="0.3">
      <c r="G148" s="28"/>
      <c r="H148" s="28"/>
      <c r="I148" s="28"/>
    </row>
    <row r="149" spans="7:9" x14ac:dyDescent="0.3">
      <c r="G149" s="28"/>
      <c r="H149" s="28"/>
      <c r="I149" s="28"/>
    </row>
    <row r="150" spans="7:9" x14ac:dyDescent="0.3">
      <c r="G150" s="28"/>
      <c r="H150" s="28"/>
      <c r="I150" s="28"/>
    </row>
    <row r="151" spans="7:9" x14ac:dyDescent="0.3">
      <c r="G151" s="28"/>
      <c r="H151" s="28"/>
      <c r="I151" s="28"/>
    </row>
    <row r="152" spans="7:9" x14ac:dyDescent="0.3">
      <c r="G152" s="28"/>
      <c r="H152" s="28"/>
      <c r="I152" s="28"/>
    </row>
    <row r="153" spans="7:9" x14ac:dyDescent="0.3">
      <c r="G153" s="28"/>
      <c r="H153" s="28"/>
      <c r="I153" s="28"/>
    </row>
    <row r="154" spans="7:9" x14ac:dyDescent="0.3">
      <c r="G154" s="28"/>
      <c r="H154" s="28"/>
      <c r="I154" s="28"/>
    </row>
    <row r="155" spans="7:9" x14ac:dyDescent="0.3">
      <c r="G155" s="28"/>
      <c r="H155" s="28"/>
      <c r="I155" s="28"/>
    </row>
    <row r="156" spans="7:9" x14ac:dyDescent="0.3">
      <c r="G156" s="28"/>
      <c r="H156" s="28"/>
      <c r="I156" s="28"/>
    </row>
    <row r="157" spans="7:9" x14ac:dyDescent="0.3">
      <c r="G157" s="28"/>
      <c r="H157" s="28"/>
      <c r="I157" s="28"/>
    </row>
    <row r="158" spans="7:9" x14ac:dyDescent="0.3">
      <c r="G158" s="28"/>
      <c r="H158" s="28"/>
      <c r="I158" s="28"/>
    </row>
    <row r="159" spans="7:9" x14ac:dyDescent="0.3">
      <c r="G159" s="28"/>
      <c r="H159" s="28"/>
      <c r="I159" s="28"/>
    </row>
    <row r="160" spans="7:9" x14ac:dyDescent="0.3">
      <c r="G160" s="28"/>
      <c r="H160" s="28"/>
      <c r="I160" s="28"/>
    </row>
    <row r="161" spans="7:9" x14ac:dyDescent="0.3">
      <c r="G161" s="28"/>
      <c r="H161" s="28"/>
      <c r="I161" s="28"/>
    </row>
    <row r="162" spans="7:9" x14ac:dyDescent="0.3">
      <c r="G162" s="28"/>
      <c r="H162" s="28"/>
      <c r="I162" s="28"/>
    </row>
    <row r="163" spans="7:9" x14ac:dyDescent="0.3">
      <c r="G163" s="28"/>
      <c r="H163" s="28"/>
      <c r="I163" s="28"/>
    </row>
    <row r="164" spans="7:9" x14ac:dyDescent="0.3">
      <c r="G164" s="28"/>
      <c r="H164" s="28"/>
      <c r="I164" s="28"/>
    </row>
    <row r="165" spans="7:9" x14ac:dyDescent="0.3">
      <c r="G165" s="28"/>
      <c r="H165" s="28"/>
      <c r="I165" s="28"/>
    </row>
    <row r="166" spans="7:9" x14ac:dyDescent="0.3">
      <c r="G166" s="28"/>
      <c r="H166" s="28"/>
      <c r="I166" s="28"/>
    </row>
    <row r="167" spans="7:9" x14ac:dyDescent="0.3">
      <c r="G167" s="28"/>
      <c r="H167" s="28"/>
      <c r="I167" s="28"/>
    </row>
    <row r="168" spans="7:9" x14ac:dyDescent="0.3">
      <c r="G168" s="28"/>
      <c r="H168" s="28"/>
      <c r="I168" s="28"/>
    </row>
    <row r="169" spans="7:9" x14ac:dyDescent="0.3">
      <c r="G169" s="28"/>
      <c r="H169" s="28"/>
      <c r="I169" s="28"/>
    </row>
    <row r="170" spans="7:9" x14ac:dyDescent="0.3">
      <c r="G170" s="28"/>
      <c r="H170" s="28"/>
      <c r="I170" s="28"/>
    </row>
    <row r="171" spans="7:9" x14ac:dyDescent="0.3">
      <c r="G171" s="28"/>
      <c r="H171" s="28"/>
      <c r="I171" s="28"/>
    </row>
    <row r="172" spans="7:9" x14ac:dyDescent="0.3">
      <c r="G172" s="28"/>
      <c r="H172" s="28"/>
      <c r="I172" s="28"/>
    </row>
    <row r="173" spans="7:9" x14ac:dyDescent="0.3">
      <c r="G173" s="28"/>
      <c r="H173" s="28"/>
      <c r="I173" s="28"/>
    </row>
    <row r="174" spans="7:9" x14ac:dyDescent="0.3">
      <c r="G174" s="28"/>
      <c r="H174" s="28"/>
      <c r="I174" s="28"/>
    </row>
    <row r="175" spans="7:9" x14ac:dyDescent="0.3">
      <c r="G175" s="28"/>
      <c r="H175" s="28"/>
      <c r="I175" s="28"/>
    </row>
    <row r="176" spans="7:9" x14ac:dyDescent="0.3">
      <c r="G176" s="28"/>
      <c r="H176" s="28"/>
      <c r="I176" s="28"/>
    </row>
    <row r="177" spans="7:9" x14ac:dyDescent="0.3">
      <c r="G177" s="28"/>
      <c r="H177" s="28"/>
      <c r="I177" s="28"/>
    </row>
    <row r="178" spans="7:9" x14ac:dyDescent="0.3">
      <c r="G178" s="28"/>
      <c r="H178" s="28"/>
      <c r="I178" s="28"/>
    </row>
    <row r="179" spans="7:9" x14ac:dyDescent="0.3">
      <c r="G179" s="28"/>
      <c r="H179" s="28"/>
      <c r="I179" s="28"/>
    </row>
    <row r="180" spans="7:9" x14ac:dyDescent="0.3">
      <c r="G180" s="28"/>
      <c r="H180" s="28"/>
      <c r="I180" s="28"/>
    </row>
    <row r="181" spans="7:9" x14ac:dyDescent="0.3">
      <c r="G181" s="28"/>
      <c r="H181" s="28"/>
      <c r="I181" s="28"/>
    </row>
    <row r="182" spans="7:9" x14ac:dyDescent="0.3">
      <c r="G182" s="28"/>
      <c r="H182" s="28"/>
      <c r="I182" s="28"/>
    </row>
    <row r="183" spans="7:9" x14ac:dyDescent="0.3">
      <c r="G183" s="28"/>
      <c r="H183" s="28"/>
      <c r="I183" s="28"/>
    </row>
    <row r="184" spans="7:9" x14ac:dyDescent="0.3">
      <c r="G184" s="28"/>
      <c r="H184" s="28"/>
      <c r="I184" s="28"/>
    </row>
    <row r="185" spans="7:9" x14ac:dyDescent="0.3">
      <c r="G185" s="28"/>
      <c r="H185" s="28"/>
      <c r="I185" s="28"/>
    </row>
    <row r="186" spans="7:9" x14ac:dyDescent="0.3">
      <c r="G186" s="28"/>
      <c r="H186" s="28"/>
      <c r="I186" s="28"/>
    </row>
    <row r="187" spans="7:9" x14ac:dyDescent="0.3">
      <c r="G187" s="28"/>
      <c r="H187" s="28"/>
      <c r="I187" s="28"/>
    </row>
    <row r="188" spans="7:9" x14ac:dyDescent="0.3">
      <c r="G188" s="28"/>
      <c r="H188" s="28"/>
      <c r="I188" s="28"/>
    </row>
    <row r="189" spans="7:9" x14ac:dyDescent="0.3">
      <c r="G189" s="28"/>
      <c r="H189" s="28"/>
      <c r="I189" s="28"/>
    </row>
    <row r="190" spans="7:9" x14ac:dyDescent="0.3">
      <c r="G190" s="28"/>
      <c r="H190" s="28"/>
      <c r="I190" s="28"/>
    </row>
    <row r="191" spans="7:9" x14ac:dyDescent="0.3">
      <c r="G191" s="28"/>
      <c r="H191" s="28"/>
      <c r="I191" s="28"/>
    </row>
    <row r="192" spans="7:9" x14ac:dyDescent="0.3">
      <c r="G192" s="28"/>
      <c r="H192" s="28"/>
      <c r="I192" s="28"/>
    </row>
    <row r="193" spans="7:9" x14ac:dyDescent="0.3">
      <c r="G193" s="28"/>
      <c r="H193" s="28"/>
      <c r="I193" s="28"/>
    </row>
    <row r="194" spans="7:9" x14ac:dyDescent="0.3">
      <c r="G194" s="28"/>
      <c r="H194" s="28"/>
      <c r="I194" s="28"/>
    </row>
    <row r="195" spans="7:9" x14ac:dyDescent="0.3">
      <c r="G195" s="28"/>
      <c r="H195" s="28"/>
      <c r="I195" s="28"/>
    </row>
    <row r="196" spans="7:9" x14ac:dyDescent="0.3">
      <c r="G196" s="28"/>
      <c r="H196" s="28"/>
      <c r="I196" s="28"/>
    </row>
    <row r="197" spans="7:9" x14ac:dyDescent="0.3">
      <c r="G197" s="28"/>
      <c r="H197" s="28"/>
      <c r="I197" s="28"/>
    </row>
    <row r="198" spans="7:9" x14ac:dyDescent="0.3">
      <c r="G198" s="28"/>
      <c r="H198" s="28"/>
      <c r="I198" s="28"/>
    </row>
    <row r="199" spans="7:9" x14ac:dyDescent="0.3">
      <c r="G199" s="28"/>
      <c r="H199" s="28"/>
      <c r="I199" s="28"/>
    </row>
    <row r="200" spans="7:9" x14ac:dyDescent="0.3">
      <c r="G200" s="28"/>
      <c r="H200" s="28"/>
      <c r="I200" s="28"/>
    </row>
    <row r="201" spans="7:9" x14ac:dyDescent="0.3">
      <c r="G201" s="28"/>
      <c r="H201" s="28"/>
      <c r="I201" s="28"/>
    </row>
    <row r="202" spans="7:9" x14ac:dyDescent="0.3">
      <c r="G202" s="28"/>
      <c r="H202" s="28"/>
      <c r="I202" s="28"/>
    </row>
    <row r="203" spans="7:9" x14ac:dyDescent="0.3">
      <c r="G203" s="28"/>
      <c r="H203" s="28"/>
      <c r="I203" s="28"/>
    </row>
    <row r="204" spans="7:9" x14ac:dyDescent="0.3">
      <c r="G204" s="28"/>
      <c r="H204" s="28"/>
      <c r="I204" s="28"/>
    </row>
    <row r="205" spans="7:9" x14ac:dyDescent="0.3">
      <c r="G205" s="28"/>
      <c r="H205" s="28"/>
      <c r="I205" s="28"/>
    </row>
    <row r="206" spans="7:9" x14ac:dyDescent="0.3">
      <c r="G206" s="28"/>
      <c r="H206" s="28"/>
      <c r="I206" s="28"/>
    </row>
    <row r="207" spans="7:9" x14ac:dyDescent="0.3">
      <c r="G207" s="28"/>
      <c r="H207" s="28"/>
      <c r="I207" s="28"/>
    </row>
    <row r="208" spans="7:9" x14ac:dyDescent="0.3">
      <c r="G208" s="28"/>
      <c r="H208" s="28"/>
      <c r="I208" s="28"/>
    </row>
    <row r="209" spans="7:9" x14ac:dyDescent="0.3">
      <c r="G209" s="28"/>
      <c r="H209" s="28"/>
      <c r="I209" s="28"/>
    </row>
    <row r="210" spans="7:9" x14ac:dyDescent="0.3">
      <c r="G210" s="28"/>
      <c r="H210" s="28"/>
      <c r="I210" s="28"/>
    </row>
    <row r="211" spans="7:9" x14ac:dyDescent="0.3">
      <c r="G211" s="28"/>
      <c r="H211" s="28"/>
      <c r="I211" s="28"/>
    </row>
    <row r="212" spans="7:9" x14ac:dyDescent="0.3">
      <c r="G212" s="28"/>
      <c r="H212" s="28"/>
      <c r="I212" s="28"/>
    </row>
    <row r="213" spans="7:9" x14ac:dyDescent="0.3">
      <c r="G213" s="28"/>
      <c r="H213" s="28"/>
      <c r="I213" s="28"/>
    </row>
    <row r="214" spans="7:9" x14ac:dyDescent="0.3">
      <c r="G214" s="28"/>
      <c r="H214" s="28"/>
      <c r="I214" s="28"/>
    </row>
    <row r="215" spans="7:9" x14ac:dyDescent="0.3">
      <c r="G215" s="28"/>
      <c r="H215" s="28"/>
      <c r="I215" s="28"/>
    </row>
    <row r="216" spans="7:9" x14ac:dyDescent="0.3">
      <c r="G216" s="28"/>
      <c r="H216" s="28"/>
      <c r="I216" s="28"/>
    </row>
    <row r="217" spans="7:9" x14ac:dyDescent="0.3">
      <c r="G217" s="28"/>
      <c r="H217" s="28"/>
      <c r="I217" s="28"/>
    </row>
    <row r="218" spans="7:9" x14ac:dyDescent="0.3">
      <c r="G218" s="28"/>
      <c r="H218" s="28"/>
      <c r="I218" s="28"/>
    </row>
    <row r="219" spans="7:9" x14ac:dyDescent="0.3">
      <c r="G219" s="28"/>
      <c r="H219" s="28"/>
      <c r="I219" s="28"/>
    </row>
    <row r="220" spans="7:9" x14ac:dyDescent="0.3">
      <c r="G220" s="28"/>
      <c r="H220" s="28"/>
      <c r="I220" s="28"/>
    </row>
    <row r="221" spans="7:9" x14ac:dyDescent="0.3">
      <c r="G221" s="28"/>
      <c r="H221" s="28"/>
      <c r="I221" s="28"/>
    </row>
    <row r="222" spans="7:9" x14ac:dyDescent="0.3">
      <c r="G222" s="28"/>
      <c r="H222" s="28"/>
      <c r="I222" s="28"/>
    </row>
    <row r="223" spans="7:9" x14ac:dyDescent="0.3">
      <c r="G223" s="28"/>
      <c r="H223" s="28"/>
      <c r="I223" s="28"/>
    </row>
    <row r="224" spans="7:9" x14ac:dyDescent="0.3">
      <c r="G224" s="28"/>
      <c r="H224" s="28"/>
      <c r="I224" s="28"/>
    </row>
    <row r="225" spans="7:9" x14ac:dyDescent="0.3">
      <c r="G225" s="28"/>
      <c r="H225" s="28"/>
      <c r="I225" s="28"/>
    </row>
    <row r="226" spans="7:9" x14ac:dyDescent="0.3">
      <c r="G226" s="28"/>
      <c r="H226" s="28"/>
      <c r="I226" s="28"/>
    </row>
    <row r="227" spans="7:9" x14ac:dyDescent="0.3">
      <c r="G227" s="28"/>
      <c r="H227" s="28"/>
      <c r="I227" s="28"/>
    </row>
    <row r="228" spans="7:9" x14ac:dyDescent="0.3">
      <c r="G228" s="28"/>
      <c r="H228" s="28"/>
      <c r="I228" s="28"/>
    </row>
    <row r="229" spans="7:9" x14ac:dyDescent="0.3">
      <c r="G229" s="28"/>
      <c r="H229" s="28"/>
      <c r="I229" s="28"/>
    </row>
    <row r="230" spans="7:9" x14ac:dyDescent="0.3">
      <c r="G230" s="28"/>
      <c r="H230" s="28"/>
      <c r="I230" s="28"/>
    </row>
    <row r="231" spans="7:9" x14ac:dyDescent="0.3">
      <c r="G231" s="28"/>
      <c r="H231" s="28"/>
      <c r="I231" s="28"/>
    </row>
    <row r="232" spans="7:9" x14ac:dyDescent="0.3">
      <c r="G232" s="28"/>
      <c r="H232" s="28"/>
      <c r="I232" s="28"/>
    </row>
    <row r="233" spans="7:9" x14ac:dyDescent="0.3">
      <c r="G233" s="28"/>
      <c r="H233" s="28"/>
      <c r="I233" s="28"/>
    </row>
    <row r="234" spans="7:9" x14ac:dyDescent="0.3">
      <c r="G234" s="28"/>
      <c r="H234" s="28"/>
      <c r="I234" s="28"/>
    </row>
    <row r="235" spans="7:9" x14ac:dyDescent="0.3">
      <c r="G235" s="28"/>
      <c r="H235" s="28"/>
      <c r="I235" s="28"/>
    </row>
    <row r="236" spans="7:9" x14ac:dyDescent="0.3">
      <c r="G236" s="28"/>
      <c r="H236" s="28"/>
      <c r="I236" s="28"/>
    </row>
    <row r="237" spans="7:9" x14ac:dyDescent="0.3">
      <c r="G237" s="28"/>
      <c r="H237" s="28"/>
      <c r="I237" s="28"/>
    </row>
    <row r="238" spans="7:9" x14ac:dyDescent="0.3">
      <c r="G238" s="28"/>
      <c r="H238" s="28"/>
      <c r="I238" s="28"/>
    </row>
    <row r="239" spans="7:9" x14ac:dyDescent="0.3">
      <c r="G239" s="28"/>
      <c r="H239" s="28"/>
      <c r="I239" s="28"/>
    </row>
    <row r="240" spans="7:9" x14ac:dyDescent="0.3">
      <c r="G240" s="28"/>
      <c r="H240" s="28"/>
      <c r="I240" s="28"/>
    </row>
    <row r="241" spans="7:9" x14ac:dyDescent="0.3">
      <c r="G241" s="28"/>
      <c r="H241" s="28"/>
      <c r="I241" s="28"/>
    </row>
    <row r="242" spans="7:9" x14ac:dyDescent="0.3">
      <c r="G242" s="28"/>
      <c r="H242" s="28"/>
      <c r="I242" s="28"/>
    </row>
    <row r="243" spans="7:9" x14ac:dyDescent="0.3">
      <c r="G243" s="28"/>
      <c r="H243" s="28"/>
      <c r="I243" s="28"/>
    </row>
    <row r="244" spans="7:9" x14ac:dyDescent="0.3">
      <c r="G244" s="28"/>
      <c r="H244" s="28"/>
      <c r="I244" s="28"/>
    </row>
    <row r="245" spans="7:9" x14ac:dyDescent="0.3">
      <c r="G245" s="28"/>
      <c r="H245" s="28"/>
      <c r="I245" s="28"/>
    </row>
    <row r="246" spans="7:9" x14ac:dyDescent="0.3">
      <c r="G246" s="28"/>
      <c r="H246" s="28"/>
      <c r="I246" s="28"/>
    </row>
    <row r="247" spans="7:9" x14ac:dyDescent="0.3">
      <c r="G247" s="28"/>
      <c r="H247" s="28"/>
      <c r="I247" s="28"/>
    </row>
    <row r="248" spans="7:9" x14ac:dyDescent="0.3">
      <c r="G248" s="28"/>
      <c r="H248" s="28"/>
      <c r="I248" s="28"/>
    </row>
    <row r="249" spans="7:9" x14ac:dyDescent="0.3">
      <c r="G249" s="28"/>
      <c r="H249" s="28"/>
      <c r="I249" s="28"/>
    </row>
    <row r="250" spans="7:9" x14ac:dyDescent="0.3">
      <c r="G250" s="28"/>
      <c r="H250" s="28"/>
      <c r="I250" s="28"/>
    </row>
    <row r="251" spans="7:9" x14ac:dyDescent="0.3">
      <c r="G251" s="28"/>
      <c r="H251" s="28"/>
      <c r="I251" s="28"/>
    </row>
    <row r="252" spans="7:9" x14ac:dyDescent="0.3">
      <c r="G252" s="28"/>
      <c r="H252" s="28"/>
      <c r="I252" s="28"/>
    </row>
    <row r="253" spans="7:9" x14ac:dyDescent="0.3">
      <c r="G253" s="28"/>
      <c r="H253" s="28"/>
      <c r="I253" s="28"/>
    </row>
    <row r="254" spans="7:9" x14ac:dyDescent="0.3">
      <c r="G254" s="28"/>
      <c r="H254" s="28"/>
      <c r="I254" s="28"/>
    </row>
    <row r="255" spans="7:9" x14ac:dyDescent="0.3">
      <c r="G255" s="28"/>
      <c r="H255" s="28"/>
      <c r="I255" s="28"/>
    </row>
    <row r="256" spans="7:9" x14ac:dyDescent="0.3">
      <c r="G256" s="28"/>
      <c r="H256" s="28"/>
      <c r="I256" s="28"/>
    </row>
    <row r="257" spans="7:9" x14ac:dyDescent="0.3">
      <c r="G257" s="28"/>
      <c r="H257" s="28"/>
      <c r="I257" s="28"/>
    </row>
    <row r="258" spans="7:9" x14ac:dyDescent="0.3">
      <c r="G258" s="28"/>
      <c r="H258" s="28"/>
      <c r="I258" s="28"/>
    </row>
    <row r="259" spans="7:9" x14ac:dyDescent="0.3">
      <c r="G259" s="28"/>
      <c r="H259" s="28"/>
      <c r="I259" s="28"/>
    </row>
    <row r="260" spans="7:9" x14ac:dyDescent="0.3">
      <c r="G260" s="28"/>
      <c r="H260" s="28"/>
      <c r="I260" s="28"/>
    </row>
    <row r="261" spans="7:9" x14ac:dyDescent="0.3">
      <c r="G261" s="28"/>
      <c r="H261" s="28"/>
      <c r="I261" s="28"/>
    </row>
    <row r="262" spans="7:9" x14ac:dyDescent="0.3">
      <c r="G262" s="28"/>
      <c r="H262" s="28"/>
      <c r="I262" s="28"/>
    </row>
    <row r="263" spans="7:9" x14ac:dyDescent="0.3">
      <c r="G263" s="28"/>
      <c r="H263" s="28"/>
      <c r="I263" s="28"/>
    </row>
    <row r="264" spans="7:9" x14ac:dyDescent="0.3">
      <c r="G264" s="28"/>
      <c r="H264" s="28"/>
      <c r="I264" s="28"/>
    </row>
    <row r="265" spans="7:9" x14ac:dyDescent="0.3">
      <c r="G265" s="28"/>
      <c r="H265" s="28"/>
      <c r="I265" s="28"/>
    </row>
    <row r="266" spans="7:9" x14ac:dyDescent="0.3">
      <c r="G266" s="28"/>
      <c r="H266" s="28"/>
      <c r="I266" s="28"/>
    </row>
    <row r="267" spans="7:9" x14ac:dyDescent="0.3">
      <c r="G267" s="28"/>
      <c r="H267" s="28"/>
      <c r="I267" s="28"/>
    </row>
    <row r="268" spans="7:9" x14ac:dyDescent="0.3">
      <c r="G268" s="28"/>
      <c r="H268" s="28"/>
      <c r="I268" s="28"/>
    </row>
    <row r="269" spans="7:9" x14ac:dyDescent="0.3">
      <c r="G269" s="28"/>
      <c r="H269" s="28"/>
      <c r="I269" s="28"/>
    </row>
    <row r="270" spans="7:9" x14ac:dyDescent="0.3">
      <c r="G270" s="28"/>
      <c r="H270" s="28"/>
      <c r="I270" s="28"/>
    </row>
    <row r="271" spans="7:9" x14ac:dyDescent="0.3">
      <c r="G271" s="28"/>
      <c r="H271" s="28"/>
      <c r="I271" s="28"/>
    </row>
    <row r="272" spans="7:9" x14ac:dyDescent="0.3">
      <c r="G272" s="28"/>
      <c r="H272" s="28"/>
      <c r="I272" s="28"/>
    </row>
    <row r="273" spans="7:9" x14ac:dyDescent="0.3">
      <c r="G273" s="28"/>
      <c r="H273" s="28"/>
      <c r="I273" s="28"/>
    </row>
  </sheetData>
  <mergeCells count="46">
    <mergeCell ref="E19:E22"/>
    <mergeCell ref="F19:F22"/>
    <mergeCell ref="G19:G22"/>
    <mergeCell ref="C58:C60"/>
    <mergeCell ref="D58:D60"/>
    <mergeCell ref="E58:E60"/>
    <mergeCell ref="G58:G60"/>
    <mergeCell ref="C23:G23"/>
    <mergeCell ref="C28:G28"/>
    <mergeCell ref="C37:G37"/>
    <mergeCell ref="C41:G41"/>
    <mergeCell ref="C47:G47"/>
    <mergeCell ref="C55:G55"/>
    <mergeCell ref="F59:F60"/>
    <mergeCell ref="C2:C3"/>
    <mergeCell ref="D2:D3"/>
    <mergeCell ref="E2:E3"/>
    <mergeCell ref="F2:F3"/>
    <mergeCell ref="C4:G4"/>
    <mergeCell ref="C8:G8"/>
    <mergeCell ref="J16:J18"/>
    <mergeCell ref="K16:K18"/>
    <mergeCell ref="M16:M18"/>
    <mergeCell ref="J19:J22"/>
    <mergeCell ref="K19:K22"/>
    <mergeCell ref="M19:M22"/>
    <mergeCell ref="C9:C11"/>
    <mergeCell ref="D9:D11"/>
    <mergeCell ref="E9:E11"/>
    <mergeCell ref="C13:C15"/>
    <mergeCell ref="E13:E15"/>
    <mergeCell ref="D16:D18"/>
    <mergeCell ref="E16:E18"/>
    <mergeCell ref="F16:F18"/>
    <mergeCell ref="G16:G18"/>
    <mergeCell ref="I58:I60"/>
    <mergeCell ref="I16:I18"/>
    <mergeCell ref="I19:I22"/>
    <mergeCell ref="I2:I3"/>
    <mergeCell ref="J2:M3"/>
    <mergeCell ref="L16:L18"/>
    <mergeCell ref="L19:L22"/>
    <mergeCell ref="J58:J60"/>
    <mergeCell ref="K58:K60"/>
    <mergeCell ref="M58:M60"/>
    <mergeCell ref="L58:L6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TaxCatchAll xmlns="50c9b839-8b53-4ddb-9b24-b96221f2bda6" xsi:nil="true"/>
    <file_x0020_ xmlns="366ae72f-6d51-4737-8f6b-a9169c366b64" xsi:nil="true"/>
    <lcf76f155ced4ddcb4097134ff3c332f xmlns="366ae72f-6d51-4737-8f6b-a9169c366b6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2D38F99-431E-4554-8C0B-EC0B51F54E76}"/>
</file>

<file path=customXml/itemProps2.xml><?xml version="1.0" encoding="utf-8"?>
<ds:datastoreItem xmlns:ds="http://schemas.openxmlformats.org/officeDocument/2006/customXml" ds:itemID="{98CDEF6A-5223-4F77-8AB5-A696D3C0A31C}"/>
</file>

<file path=customXml/itemProps3.xml><?xml version="1.0" encoding="utf-8"?>
<ds:datastoreItem xmlns:ds="http://schemas.openxmlformats.org/officeDocument/2006/customXml" ds:itemID="{26B852CF-5126-46CC-907A-F5ED8DA082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Sheet1!_Hlk88825686</vt:lpstr>
      <vt:lpstr>Sheet1!_Hlk90321922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Elon Cadogan</dc:creator>
  <cp:lastModifiedBy>Author</cp:lastModifiedBy>
  <cp:lastPrinted>2022-07-29T01:10:13Z</cp:lastPrinted>
  <dcterms:created xsi:type="dcterms:W3CDTF">2022-07-28T23:30:52Z</dcterms:created>
  <dcterms:modified xsi:type="dcterms:W3CDTF">2022-08-09T04:02:42Z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