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nfao-my.sharepoint.com/personal/rosalie_lehel_fao_org/Documents/The Gambia/round 2 interdivisional rview comments/"/>
    </mc:Choice>
  </mc:AlternateContent>
  <bookViews>
    <workbookView xWindow="0" yWindow="450" windowWidth="38400" windowHeight="19800" tabRatio="835"/>
  </bookViews>
  <sheets>
    <sheet name="Aggregation" sheetId="8" r:id="rId1"/>
    <sheet name="SensitivityAnalysis" sheetId="11" r:id="rId2"/>
    <sheet name="Summary tables" sheetId="9" r:id="rId3"/>
    <sheet name="Artisanal Catches" sheetId="13" r:id="rId4"/>
    <sheet name="GHG Reduction Output 1.1" sheetId="14" r:id="rId5"/>
    <sheet name="Eco Analysis Infrastructure" sheetId="1" r:id="rId6"/>
    <sheet name="Output 2.1 Costs" sheetId="2" r:id="rId7"/>
    <sheet name="Output2.2 Costs" sheetId="4" r:id="rId8"/>
    <sheet name="Aquaculture Package 1" sheetId="3" r:id="rId9"/>
    <sheet name="Aquaculture Package 2" sheetId="5" r:id="rId10"/>
    <sheet name="Aquaculture Package 3" sheetId="6" r:id="rId11"/>
    <sheet name="Aquaculture Package 4" sheetId="7" r:id="rId12"/>
    <sheet name="Eco Analysis Infrastructure v2 " sheetId="12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cf1">'[1]Conversion factors'!$E$5</definedName>
    <definedName name="_cf3">'[1]Conversion factors'!$E$7</definedName>
    <definedName name="_cf4">'[1]Conversion factors'!$E$8</definedName>
    <definedName name="_cf5">'[1]Conversion factors'!$E$9</definedName>
    <definedName name="_xlnm._FilterDatabase" localSheetId="3" hidden="1">'Artisanal Catches'!$A$3:$O$85</definedName>
    <definedName name="A1r42" localSheetId="1">#REF!</definedName>
    <definedName name="A1r42">#REF!</definedName>
    <definedName name="aa" localSheetId="1">#REF!</definedName>
    <definedName name="aa">#REF!</definedName>
    <definedName name="acre" localSheetId="1">'[2]PRice list'!$B$5</definedName>
    <definedName name="acre">'[3]4.Price assumptions'!$B$49</definedName>
    <definedName name="adopt">[4]Prices!$M$39</definedName>
    <definedName name="banq">#N/A</definedName>
    <definedName name="banq_an1">#N/A</definedName>
    <definedName name="bouchon_2dl">'[5]Invariants - commentaire'!$B$88</definedName>
    <definedName name="Bouchon_5dl">'[5]Invariants - commentaire'!$B$89</definedName>
    <definedName name="Btlle_2dl">'[5]Invariants - commentaire'!$B$90</definedName>
    <definedName name="btlle_5dl">'[5]Invariants - commentaire'!$B$91</definedName>
    <definedName name="Carton_6de2dl">'[5]Invariants - commentaire'!$B$93</definedName>
    <definedName name="Carton_6de5dl">'[5]Invariants - commentaire'!$B$94</definedName>
    <definedName name="Carton_BiB">'[5]Invariants - commentaire'!$B$92</definedName>
    <definedName name="change" localSheetId="1">'[6]6. Pink Sheet nov 08'!#REF!</definedName>
    <definedName name="change">'[7]6. Pink Sheet nov 08'!#REF!</definedName>
    <definedName name="chn" localSheetId="1">'[8]6. Pink Sheet nov 08'!#REF!</definedName>
    <definedName name="chn">'[8]6. Pink Sheet nov 08'!#REF!</definedName>
    <definedName name="climate">'[9]1.Description'!$C$11</definedName>
    <definedName name="cocoaprice" localSheetId="1">'[10]PRice list'!$G$56</definedName>
    <definedName name="cocoaprice">'[3]4.Price assumptions'!#REF!</definedName>
    <definedName name="cocoaseed" localSheetId="1">'[10]PRice list'!$G$58</definedName>
    <definedName name="cocoaseed">'[3]4.Price assumptions'!$C$10</definedName>
    <definedName name="cocoatools">'[3]4.Price assumptions'!$E$32</definedName>
    <definedName name="Condition_2dl">'[5]Invariants - commentaire'!$B$96</definedName>
    <definedName name="Condition_5dl">'[5]Invariants - commentaire'!$B$97</definedName>
    <definedName name="Condition_BiB">'[5]Invariants - commentaire'!$B$95</definedName>
    <definedName name="continent">'[11]1.Description'!$Q$8</definedName>
    <definedName name="country_selected">'[11]1.Description'!$Q$9</definedName>
    <definedName name="cyc">5</definedName>
    <definedName name="d" localSheetId="1">#REF!</definedName>
    <definedName name="d">#REF!</definedName>
    <definedName name="DLX1.EMG" localSheetId="1">#REF!</definedName>
    <definedName name="DLX1.EMG">#REF!</definedName>
    <definedName name="douar_an1">#N/A</definedName>
    <definedName name="douar_an2">#N/A</definedName>
    <definedName name="douar_an3">#N/A</definedName>
    <definedName name="douar_an4">#N/A</definedName>
    <definedName name="douar_an5">#N/A</definedName>
    <definedName name="douar_an6">#N/A</definedName>
    <definedName name="DRPrice" localSheetId="1">'[2]PRice list'!$G$19</definedName>
    <definedName name="DRPrice">'[3]4.Price assumptions'!#REF!</definedName>
    <definedName name="EcoExRate" localSheetId="1">[12]SER!$P$19</definedName>
    <definedName name="EcoExRate">[12]SER!$P$19</definedName>
    <definedName name="ES">[13]HIV!$F$4</definedName>
    <definedName name="Etiquette_2dl">'[5]Invariants - commentaire'!$B$99</definedName>
    <definedName name="Etiquette_5dl">'[5]Invariants - commentaire'!$B$100</definedName>
    <definedName name="Etiquette_BiB">'[5]Invariants - commentaire'!$B$98</definedName>
    <definedName name="eurotousd" localSheetId="1">#REF!</definedName>
    <definedName name="eurotousd">#REF!</definedName>
    <definedName name="eurousd" localSheetId="1">#REF!</definedName>
    <definedName name="eurousd">#REF!</definedName>
    <definedName name="exchangerate">[14]Prices!$E$2</definedName>
    <definedName name="f" localSheetId="1">#REF!</definedName>
    <definedName name="f">#REF!</definedName>
    <definedName name="Fam_Lab">'[15]APP 1_Financial Prices'!$C$56</definedName>
    <definedName name="Fert">'[16]WP-2-Ap 1-Prices'!$F$29</definedName>
    <definedName name="fertcocoa" localSheetId="1">'[3]4.Price assumptions'!#REF!</definedName>
    <definedName name="fertcocoa">'[3]4.Price assumptions'!#REF!</definedName>
    <definedName name="fertpric" localSheetId="1">'[2]PRice list'!$G$11</definedName>
    <definedName name="fertpric">'[3]4.Price assumptions'!#REF!</definedName>
    <definedName name="ffbatmill" localSheetId="1">'[3]4.Price assumptions'!#REF!</definedName>
    <definedName name="ffbatmill">'[3]4.Price assumptions'!#REF!</definedName>
    <definedName name="ffbhigh" localSheetId="1">'[10]PRice list'!$G$73</definedName>
    <definedName name="ffbhigh">'[3]4.Price assumptions'!#REF!</definedName>
    <definedName name="ffblow" localSheetId="1">'[10]PRice list'!$G$75</definedName>
    <definedName name="ffblow">'[3]4.Price assumptions'!#REF!</definedName>
    <definedName name="FMan" localSheetId="1">[17]base!$C$30</definedName>
    <definedName name="FMan">[18]base!$C$30</definedName>
    <definedName name="formic" localSheetId="1">'[2]PRice list'!$G$22</definedName>
    <definedName name="formic">'[3]4.Price assumptions'!#REF!</definedName>
    <definedName name="formiuc" localSheetId="1">'[3]4.Price assumptions'!#REF!</definedName>
    <definedName name="formiuc">'[3]4.Price assumptions'!#REF!</definedName>
    <definedName name="fungcocoa">'[3]4.Price assumptions'!$C$23</definedName>
    <definedName name="fungprice" localSheetId="1">'[2]PRice list'!$G$12</definedName>
    <definedName name="fungprice">'[3]4.Price assumptions'!#REF!</definedName>
    <definedName name="FXdollar" localSheetId="1">#REF!</definedName>
    <definedName name="FXdollar">#REF!</definedName>
    <definedName name="FXUSD" localSheetId="1">#REF!</definedName>
    <definedName name="FXUSD">#REF!</definedName>
    <definedName name="GVT" localSheetId="1">'[19]Synthèse des Coûts'!#REF!</definedName>
    <definedName name="GVT">#REF!</definedName>
    <definedName name="gvtt" localSheetId="1">'[19]Synthèse des Coûts'!#REF!</definedName>
    <definedName name="gvtt">'[20]Synthèse des Coûts'!#REF!</definedName>
    <definedName name="h" localSheetId="1">'[21]1 - formationCU'!#REF!</definedName>
    <definedName name="h">'[21]1 - formationCU'!#REF!</definedName>
    <definedName name="Harvestday" localSheetId="1">'[2]PRice list'!$B$47</definedName>
    <definedName name="Harvestday">'[3]4.Price assumptions'!#REF!</definedName>
    <definedName name="harvesthigh" localSheetId="1">'[2]PRice list'!$B$49</definedName>
    <definedName name="harvesthigh">'[3]4.Price assumptions'!#REF!</definedName>
    <definedName name="HIVII">[13]HIV!$B$2:$B$7</definedName>
    <definedName name="HIVOI">[13]HIV!$D$2:$D$13</definedName>
    <definedName name="HIVSDA">[13]HIV!$A$2:$A$34</definedName>
    <definedName name="HIVSource">[13]HIV!$E$2:$E$19</definedName>
    <definedName name="HIVTT">[13]HIV!#REF!</definedName>
    <definedName name="hon" localSheetId="1">#REF!</definedName>
    <definedName name="hon">#REF!</definedName>
    <definedName name="honanim" localSheetId="1">'[22]1 - formationCU'!#REF!</definedName>
    <definedName name="honanim">'[23]5-12 formationCU'!#REF!</definedName>
    <definedName name="honcons" localSheetId="1">'[24]4 - Unit Costs'!#REF!</definedName>
    <definedName name="honcons">'[25]3-9 C.U.'!$C$23</definedName>
    <definedName name="honform" localSheetId="1">'[24]4 - Unit Costs'!#REF!</definedName>
    <definedName name="honform">'[24]4 - Unit Costs'!#REF!</definedName>
    <definedName name="hongest" localSheetId="1">#REF!</definedName>
    <definedName name="hongest">#REF!</definedName>
    <definedName name="honmaitre" localSheetId="1">#REF!</definedName>
    <definedName name="honmaitre">#REF!</definedName>
    <definedName name="honspe" localSheetId="1">'[24]4 - Unit Costs'!#REF!</definedName>
    <definedName name="honspe">'[24]4 - Unit Costs'!#REF!</definedName>
    <definedName name="HSSII">[13]HSS!$B$2:$B$20</definedName>
    <definedName name="HSSOI">[13]HSS!$C$2:$C$24</definedName>
    <definedName name="HSSSDA">[13]HSS!$A$2:$A$18</definedName>
    <definedName name="HSSSource">[13]HSS!$D$2:$D$31</definedName>
    <definedName name="INV_honor_Administratif">'[5]Invariants - commentaire'!$B$82</definedName>
    <definedName name="INV_honoraire_production">'[5]Invariants - commentaire'!$B$81</definedName>
    <definedName name="Inv_kWh">'[5]Invariants - commentaire'!$B$54</definedName>
    <definedName name="l" localSheetId="1">'[21]1 - formationCU'!#REF!</definedName>
    <definedName name="l">'[21]1 - formationCU'!#REF!</definedName>
    <definedName name="L_Goat">'[15]APP 1_Financial Prices'!$C$29</definedName>
    <definedName name="labourPrice" localSheetId="1">'[2]PRice list'!$G$10</definedName>
    <definedName name="labourPrice">'[3]4.Price assumptions'!#REF!</definedName>
    <definedName name="landtax">'[26]1.Teff'!$H$73</definedName>
    <definedName name="livre" localSheetId="1">'[24]4 - Unit Costs'!#REF!</definedName>
    <definedName name="livre">'[24]4 - Unit Costs'!#REF!</definedName>
    <definedName name="logben" localSheetId="1">'[24]4 - Unit Costs'!#REF!</definedName>
    <definedName name="logben">'[24]4 - Unit Costs'!#REF!</definedName>
    <definedName name="logben1" localSheetId="1">'[24]4 - Unit Costs'!#REF!</definedName>
    <definedName name="logben1">'[24]4 - Unit Costs'!#REF!</definedName>
    <definedName name="logben2" localSheetId="1">'[22]1 - formationCU'!#REF!</definedName>
    <definedName name="logben2">'[23]5-12 formationCU'!#REF!</definedName>
    <definedName name="logop" localSheetId="1">'[24]4 - Unit Costs'!#REF!</definedName>
    <definedName name="logop">'[24]4 - Unit Costs'!#REF!</definedName>
    <definedName name="lsh">'[27]Hypotheses &amp; Prices'!$N$29</definedName>
    <definedName name="m" localSheetId="1">#REF!</definedName>
    <definedName name="m">#REF!</definedName>
    <definedName name="maitre" localSheetId="1">#REF!</definedName>
    <definedName name="maitre">#REF!</definedName>
    <definedName name="MalariaII">[13]Malaria!$B$2:$B$11</definedName>
    <definedName name="MalariaOI">[13]Malaria!$D$2:$D$11</definedName>
    <definedName name="MalariaSDA">[13]Malaria!$A$2:$A$29</definedName>
    <definedName name="MalariaSource">[13]Malaria!$E$2:$E$20</definedName>
    <definedName name="manuel" localSheetId="1">'[24]4 - Unit Costs'!#REF!</definedName>
    <definedName name="manuel">'[24]4 - Unit Costs'!#REF!</definedName>
    <definedName name="mat" localSheetId="1">'[24]4 - Unit Costs'!#REF!</definedName>
    <definedName name="mat">'[24]4 - Unit Costs'!#REF!</definedName>
    <definedName name="MBPC">'[28]14.BudgetsCultureECO'!$J$35</definedName>
    <definedName name="MBPD">'[28]14.BudgetsCultureECO'!$J$48</definedName>
    <definedName name="MBPI">'[28]14.BudgetsCultureECO'!$J$45</definedName>
    <definedName name="MBPL">'[28]14.BudgetsCultureECO'!$J$38</definedName>
    <definedName name="MBPR">'[28]14.BudgetsCultureECO'!$J$41</definedName>
    <definedName name="MBSC">'[28]14.BudgetsCultureECO'!$I$35</definedName>
    <definedName name="MBSD">'[28]14.BudgetsCultureECO'!$I$48</definedName>
    <definedName name="MBSI">'[28]14.BudgetsCultureECO'!$I$45</definedName>
    <definedName name="MBSL">'[28]14.BudgetsCultureECO'!$I$38</definedName>
    <definedName name="MBSR">'[28]14.BudgetsCultureECO'!$I$41</definedName>
    <definedName name="methane">'[11]1.Description'!$G$26</definedName>
    <definedName name="mm" localSheetId="1">#REF!</definedName>
    <definedName name="mm">#REF!</definedName>
    <definedName name="mmData" localSheetId="1">#REF!</definedName>
    <definedName name="mmData">#REF!</definedName>
    <definedName name="mmIndextable" localSheetId="1">#REF!</definedName>
    <definedName name="mmIndextable">#REF!</definedName>
    <definedName name="mmmi" localSheetId="1">#REF!</definedName>
    <definedName name="mmmi">#REF!</definedName>
    <definedName name="moist_type">'[9]1.Description'!$C$12</definedName>
    <definedName name="ND_2017_1_Summary">[13]HIV!#REF!</definedName>
    <definedName name="Nitrous">'[11]1.Description'!$G$27</definedName>
    <definedName name="nm" localSheetId="1">#REF!</definedName>
    <definedName name="nm">#REF!</definedName>
    <definedName name="nmBlankCell" localSheetId="1">#REF!</definedName>
    <definedName name="nmBlankCell">#REF!</definedName>
    <definedName name="nmBlankRow" localSheetId="1">#REF!</definedName>
    <definedName name="nmBlankRow">#REF!</definedName>
    <definedName name="nmColumnHeader" localSheetId="1">#REF!</definedName>
    <definedName name="nmColumnHeader">#REF!</definedName>
    <definedName name="nmData" localSheetId="1">#REF!</definedName>
    <definedName name="nmData">#REF!</definedName>
    <definedName name="nmIndexTable" localSheetId="1">#REF!</definedName>
    <definedName name="nmIndexTable">#REF!</definedName>
    <definedName name="nmRowHeader" localSheetId="1">#REF!</definedName>
    <definedName name="nmRowHeader">#REF!</definedName>
    <definedName name="nourben" localSheetId="1">#REF!</definedName>
    <definedName name="nourben">#REF!</definedName>
    <definedName name="nourben2" localSheetId="1">'[22]1 - formationCU'!#REF!</definedName>
    <definedName name="nourben2">'[23]5-12 formationCU'!#REF!</definedName>
    <definedName name="nourop" localSheetId="1">'[24]4 - Unit Costs'!#REF!</definedName>
    <definedName name="nourop">'[24]4 - Unit Costs'!#REF!</definedName>
    <definedName name="NPK" localSheetId="1">#REF!</definedName>
    <definedName name="NPK">#REF!</definedName>
    <definedName name="nr_country">OFFSET([29]validation_geo!$B$4, 0, 0, 1, COUNTA([29]validation_geo!$B$4:$XFD$4))</definedName>
    <definedName name="nr_geo">[29]validation_geo!$B$5:$XFD$40</definedName>
    <definedName name="nr_irrigation_validation">[29]validation!$B$4:$B$5</definedName>
    <definedName name="nr_variable_validation">[29]validation!$D$4:$D$6</definedName>
    <definedName name="nr_year_numbers">[29]years_numbers!$A$1:$BD$1</definedName>
    <definedName name="OPprice" localSheetId="1">'[10]PRice list'!$G$72</definedName>
    <definedName name="OPprice">'[3]4.Price assumptions'!#REF!</definedName>
    <definedName name="OPseed" localSheetId="1">'[10]PRice list'!$G$74</definedName>
    <definedName name="OPseed">'[3]4.Price assumptions'!#REF!</definedName>
    <definedName name="Outre_BiB5l">'[5]Invariants - commentaire'!$B$101</definedName>
    <definedName name="PNGT2" localSheetId="1">'[19]Synthèse des Coûts'!#REF!</definedName>
    <definedName name="PNGT2">#REF!</definedName>
    <definedName name="Price">Aggregation!$AB$10</definedName>
    <definedName name="_xlnm.Print_Area" localSheetId="1">SensitivityAnalysis!$A$2:$X$40</definedName>
    <definedName name="_xlnm.Print_Area">#N/A</definedName>
    <definedName name="PS">[13]HIV!$F$5</definedName>
    <definedName name="q_country_index">[29]query_helpers!$B$15</definedName>
    <definedName name="q_first_year_index">[29]query_helpers!$B$25</definedName>
    <definedName name="q_invalid_second_year">[29]query_helpers!$B$6</definedName>
    <definedName name="q_possible_second_years">[29]query_helpers!$B$5</definedName>
    <definedName name="q_region_count">[29]query_helpers!$B$4</definedName>
    <definedName name="region">'[9]1.Description'!$C$9</definedName>
    <definedName name="RSC">'[28]14.BudgetsCultureECO'!$C$35</definedName>
    <definedName name="rubberseedling" localSheetId="1">'[30]Price list'!#REF!</definedName>
    <definedName name="rubberseedling">'[30]Price list'!#REF!</definedName>
    <definedName name="salle" localSheetId="1">'[24]4 - Unit Costs'!#REF!</definedName>
    <definedName name="salle">'[24]4 - Unit Costs'!#REF!</definedName>
    <definedName name="seedlingcost" localSheetId="1">'[2]PRice list'!$D$42</definedName>
    <definedName name="seedlingcost">'[3]4.Price assumptions'!#REF!</definedName>
    <definedName name="select">'[9]0.Start'!$R$14</definedName>
    <definedName name="soil">'[9]1.Description'!$C$15</definedName>
    <definedName name="SRIadopt">[4]Yields!$G$12</definedName>
    <definedName name="tappingeq" localSheetId="1">'[3]4.Price assumptions'!#REF!</definedName>
    <definedName name="tappingeq">'[3]4.Price assumptions'!#REF!</definedName>
    <definedName name="taux_EURO_CFA">[31]Invariants!$B$40</definedName>
    <definedName name="TBII">[13]TB!$B$2:$B$5</definedName>
    <definedName name="TBOI">[13]TB!$D$2:$D$4</definedName>
    <definedName name="TBSDA">[13]TB!$A$2:$A$31</definedName>
    <definedName name="TBSource">[13]TB!$E$2:$E$16</definedName>
    <definedName name="TC_eco" localSheetId="1">[12]SER!$P$19</definedName>
    <definedName name="TC_Eco">'[32]Bénéf. totaux'!$C$12</definedName>
    <definedName name="TC_Fin">345</definedName>
    <definedName name="Thermo_2dl">'[5]Invariants - commentaire'!$B$102</definedName>
    <definedName name="Thermo_5dl">'[5]Invariants - commentaire'!$B$103</definedName>
    <definedName name="Thir" localSheetId="1">[17]base!$C$34</definedName>
    <definedName name="Thir">[18]base!$C$34</definedName>
    <definedName name="time">'[11]1.Description'!$T$13</definedName>
    <definedName name="time_cap">'[11]1.Description'!$T$14</definedName>
    <definedName name="time_tot">'[9]1.Description'!$E$20</definedName>
    <definedName name="title">'[9]1.Description'!$C$7</definedName>
    <definedName name="tools" localSheetId="1">'[10]PRice list'!$G$63</definedName>
    <definedName name="tools">'[3]4.Price assumptions'!$E$32</definedName>
    <definedName name="totdouar">#N/A</definedName>
    <definedName name="transben1" localSheetId="1">'[22]1 - formationCU'!#REF!</definedName>
    <definedName name="transben1">'[23]5-12 formationCU'!#REF!</definedName>
    <definedName name="transben2" localSheetId="1">'[24]4 - Unit Costs'!#REF!</definedName>
    <definedName name="transben2">'[24]4 - Unit Costs'!#REF!</definedName>
    <definedName name="transben3" localSheetId="1">'[24]4 - Unit Costs'!#REF!</definedName>
    <definedName name="transben3">'[24]4 - Unit Costs'!#REF!</definedName>
    <definedName name="transop" localSheetId="1">'[24]4 - Unit Costs'!#REF!</definedName>
    <definedName name="transop">'[24]4 - Unit Costs'!#REF!</definedName>
    <definedName name="transop2" localSheetId="1">'[24]4 - Unit Costs'!#REF!</definedName>
    <definedName name="transop2">'[25]3-9 C.U.'!$C$28</definedName>
    <definedName name="transop3" localSheetId="1">'[24]4 - Unit Costs'!#REF!</definedName>
    <definedName name="transop3">'[24]4 - Unit Costs'!#REF!</definedName>
    <definedName name="transp" localSheetId="1">'[24]4 - Unit Costs'!#REF!</definedName>
    <definedName name="transp">'[24]4 - Unit Costs'!#REF!</definedName>
    <definedName name="transp0" localSheetId="1">'[24]4 - Unit Costs'!#REF!</definedName>
    <definedName name="transp0">'[24]4 - Unit Costs'!#REF!</definedName>
    <definedName name="treeeq" localSheetId="1">'[3]4.Price assumptions'!#REF!</definedName>
    <definedName name="treeeq">'[3]4.Price assumptions'!#REF!</definedName>
    <definedName name="TT">[13]HIV!#REF!</definedName>
    <definedName name="us" localSheetId="1">#REF!</definedName>
    <definedName name="us">#REF!</definedName>
    <definedName name="usd" localSheetId="1">#REF!</definedName>
    <definedName name="USD">'[23]5-12 formationCU'!$B$1</definedName>
    <definedName name="V_an_vinaigre_kg">'[33]Recette et formulation'!$C$73</definedName>
    <definedName name="x" localSheetId="1">'[34]5-12 formationCU'!#REF!</definedName>
    <definedName name="x">'[35]5-12 formationCU'!#REF!</definedName>
    <definedName name="xe">'[36]General Info'!$D$27</definedName>
    <definedName name="xxx" localSheetId="1">#REF!</definedName>
    <definedName name="xx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8" l="1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E49" i="8"/>
  <c r="E44" i="8"/>
  <c r="I6" i="11" l="1"/>
  <c r="W39" i="11"/>
  <c r="AD34" i="11" s="1"/>
  <c r="I7" i="11" l="1"/>
  <c r="X24" i="14"/>
  <c r="O37" i="14" l="1"/>
  <c r="O36" i="14"/>
  <c r="O35" i="14"/>
  <c r="N30" i="14"/>
  <c r="N36" i="14" s="1"/>
  <c r="M30" i="14"/>
  <c r="N35" i="14" s="1"/>
  <c r="I30" i="14"/>
  <c r="I31" i="14" s="1"/>
  <c r="I32" i="14" s="1"/>
  <c r="D30" i="14"/>
  <c r="D31" i="14" s="1"/>
  <c r="D32" i="14" s="1"/>
  <c r="C30" i="14"/>
  <c r="C31" i="14" s="1"/>
  <c r="C32" i="14" s="1"/>
  <c r="F28" i="14"/>
  <c r="K30" i="14"/>
  <c r="K31" i="14" s="1"/>
  <c r="K32" i="14" s="1"/>
  <c r="F26" i="14"/>
  <c r="F25" i="14"/>
  <c r="F24" i="14"/>
  <c r="F23" i="14"/>
  <c r="F22" i="14"/>
  <c r="F21" i="14"/>
  <c r="F20" i="14"/>
  <c r="F18" i="14"/>
  <c r="F17" i="14"/>
  <c r="O30" i="14"/>
  <c r="N37" i="14" s="1"/>
  <c r="H30" i="14"/>
  <c r="H31" i="14" s="1"/>
  <c r="H32" i="14" s="1"/>
  <c r="G30" i="14"/>
  <c r="G31" i="14" s="1"/>
  <c r="G32" i="14" s="1"/>
  <c r="F16" i="14"/>
  <c r="E30" i="14"/>
  <c r="E31" i="14" s="1"/>
  <c r="E32" i="14" s="1"/>
  <c r="F58" i="14"/>
  <c r="G58" i="14"/>
  <c r="H58" i="14"/>
  <c r="I58" i="14"/>
  <c r="J58" i="14"/>
  <c r="K58" i="14"/>
  <c r="L58" i="14"/>
  <c r="M58" i="14"/>
  <c r="N58" i="14"/>
  <c r="O58" i="14"/>
  <c r="P58" i="14"/>
  <c r="Q58" i="14"/>
  <c r="R58" i="14"/>
  <c r="S58" i="14"/>
  <c r="T58" i="14"/>
  <c r="U58" i="14"/>
  <c r="V58" i="14"/>
  <c r="W58" i="14"/>
  <c r="X58" i="14"/>
  <c r="E59" i="14"/>
  <c r="E58" i="14"/>
  <c r="X55" i="14"/>
  <c r="W55" i="14"/>
  <c r="V55" i="14"/>
  <c r="U55" i="14"/>
  <c r="T55" i="14"/>
  <c r="S55" i="14"/>
  <c r="R55" i="14"/>
  <c r="Q55" i="14"/>
  <c r="P55" i="14"/>
  <c r="O55" i="14"/>
  <c r="N55" i="14"/>
  <c r="M55" i="14"/>
  <c r="L55" i="14"/>
  <c r="K55" i="14"/>
  <c r="J55" i="14"/>
  <c r="I55" i="14"/>
  <c r="H55" i="14"/>
  <c r="G55" i="14"/>
  <c r="F55" i="14"/>
  <c r="E55" i="14"/>
  <c r="E50" i="14" l="1"/>
  <c r="F19" i="14"/>
  <c r="J30" i="14" l="1"/>
  <c r="J31" i="14" s="1"/>
  <c r="J32" i="14" s="1"/>
  <c r="E51" i="14" l="1"/>
  <c r="E10" i="5" l="1"/>
  <c r="E28" i="5"/>
  <c r="E27" i="5"/>
  <c r="O16" i="5"/>
  <c r="G15" i="5"/>
  <c r="G16" i="5"/>
  <c r="I9" i="5"/>
  <c r="J9" i="5" s="1"/>
  <c r="K9" i="5" s="1"/>
  <c r="L9" i="5" s="1"/>
  <c r="M9" i="5" s="1"/>
  <c r="N9" i="5" s="1"/>
  <c r="H9" i="5"/>
  <c r="F3" i="5"/>
  <c r="G3" i="5"/>
  <c r="E3" i="5"/>
  <c r="E15" i="5"/>
  <c r="E16" i="5" s="1"/>
  <c r="E23" i="6"/>
  <c r="E16" i="6"/>
  <c r="F11" i="3"/>
  <c r="E11" i="3"/>
  <c r="E19" i="3"/>
  <c r="E18" i="3"/>
  <c r="F15" i="5"/>
  <c r="F16" i="5" s="1"/>
  <c r="D32" i="3" l="1"/>
  <c r="D31" i="3"/>
  <c r="D38" i="6"/>
  <c r="D37" i="6"/>
  <c r="D23" i="7"/>
  <c r="D21" i="7"/>
  <c r="D26" i="6"/>
  <c r="D28" i="5"/>
  <c r="D27" i="5"/>
  <c r="D16" i="7"/>
  <c r="D21" i="5"/>
  <c r="X37" i="11"/>
  <c r="X38" i="11"/>
  <c r="X39" i="11"/>
  <c r="X40" i="11"/>
  <c r="W37" i="11"/>
  <c r="W38" i="11"/>
  <c r="W40" i="11"/>
  <c r="R6" i="11"/>
  <c r="R8" i="11" s="1"/>
  <c r="S6" i="11"/>
  <c r="S7" i="11" s="1"/>
  <c r="T6" i="11"/>
  <c r="T8" i="11" s="1"/>
  <c r="U6" i="11"/>
  <c r="U7" i="11" s="1"/>
  <c r="V6" i="11"/>
  <c r="V8" i="11" s="1"/>
  <c r="T9" i="11"/>
  <c r="I71" i="8"/>
  <c r="G71" i="8"/>
  <c r="E71" i="8"/>
  <c r="I11" i="9"/>
  <c r="I12" i="9"/>
  <c r="I13" i="9"/>
  <c r="I14" i="9"/>
  <c r="I15" i="9"/>
  <c r="I16" i="9"/>
  <c r="AD67" i="1"/>
  <c r="AE67" i="1"/>
  <c r="AF67" i="1"/>
  <c r="AD68" i="1"/>
  <c r="AE68" i="1"/>
  <c r="AF68" i="1"/>
  <c r="AD69" i="1"/>
  <c r="AE69" i="1"/>
  <c r="AF69" i="1"/>
  <c r="AD70" i="1"/>
  <c r="AE70" i="1"/>
  <c r="AF70" i="1"/>
  <c r="AD71" i="1"/>
  <c r="AE71" i="1"/>
  <c r="AF71" i="1"/>
  <c r="AD72" i="1"/>
  <c r="AE72" i="1"/>
  <c r="AF72" i="1"/>
  <c r="D23" i="3"/>
  <c r="F49" i="7"/>
  <c r="G49" i="7"/>
  <c r="H49" i="7"/>
  <c r="I49" i="7"/>
  <c r="J49" i="7"/>
  <c r="E48" i="7"/>
  <c r="F47" i="7"/>
  <c r="G47" i="7"/>
  <c r="H47" i="7"/>
  <c r="I47" i="7"/>
  <c r="J47" i="7"/>
  <c r="E47" i="7"/>
  <c r="E46" i="7"/>
  <c r="F36" i="7"/>
  <c r="G36" i="7"/>
  <c r="H36" i="7"/>
  <c r="I36" i="7"/>
  <c r="J36" i="7"/>
  <c r="E36" i="7"/>
  <c r="F65" i="6"/>
  <c r="G65" i="6"/>
  <c r="H65" i="6"/>
  <c r="I65" i="6"/>
  <c r="J65" i="6"/>
  <c r="E65" i="6"/>
  <c r="F54" i="6"/>
  <c r="G54" i="6"/>
  <c r="H54" i="6"/>
  <c r="I54" i="6"/>
  <c r="J54" i="6"/>
  <c r="J55" i="6" s="1"/>
  <c r="E54" i="6"/>
  <c r="E35" i="7"/>
  <c r="E66" i="6"/>
  <c r="J67" i="6"/>
  <c r="J64" i="6"/>
  <c r="E64" i="6"/>
  <c r="J53" i="6"/>
  <c r="F53" i="6"/>
  <c r="G53" i="6" s="1"/>
  <c r="H53" i="6" s="1"/>
  <c r="I53" i="6" s="1"/>
  <c r="E53" i="6"/>
  <c r="E55" i="5"/>
  <c r="E53" i="5"/>
  <c r="E42" i="5"/>
  <c r="F42" i="5" s="1"/>
  <c r="F65" i="3"/>
  <c r="G65" i="3"/>
  <c r="H65" i="3"/>
  <c r="I65" i="3"/>
  <c r="E65" i="3"/>
  <c r="E64" i="3"/>
  <c r="E62" i="3"/>
  <c r="F53" i="3"/>
  <c r="G53" i="3"/>
  <c r="H53" i="3"/>
  <c r="I53" i="3"/>
  <c r="E53" i="3"/>
  <c r="F51" i="3"/>
  <c r="E51" i="3"/>
  <c r="V7" i="11" l="1"/>
  <c r="T7" i="11"/>
  <c r="V9" i="11"/>
  <c r="S8" i="11"/>
  <c r="R9" i="11"/>
  <c r="R7" i="11"/>
  <c r="S9" i="11"/>
  <c r="U9" i="11"/>
  <c r="U8" i="11"/>
  <c r="F35" i="7"/>
  <c r="F46" i="7"/>
  <c r="F64" i="6"/>
  <c r="F53" i="5"/>
  <c r="G42" i="5"/>
  <c r="F62" i="3"/>
  <c r="G51" i="3"/>
  <c r="T47" i="8"/>
  <c r="U47" i="8" s="1"/>
  <c r="T36" i="8"/>
  <c r="U36" i="8"/>
  <c r="V36" i="8" s="1"/>
  <c r="W36" i="8" s="1"/>
  <c r="X36" i="8" s="1"/>
  <c r="AD33" i="1"/>
  <c r="AE33" i="1"/>
  <c r="AF33" i="1"/>
  <c r="AD34" i="1"/>
  <c r="AE34" i="1"/>
  <c r="AF34" i="1"/>
  <c r="AD35" i="1"/>
  <c r="AE35" i="1"/>
  <c r="AF35" i="1"/>
  <c r="AD36" i="1"/>
  <c r="AE36" i="1"/>
  <c r="AF36" i="1"/>
  <c r="AD37" i="1"/>
  <c r="AE37" i="1"/>
  <c r="AF37" i="1"/>
  <c r="AD38" i="1"/>
  <c r="AE38" i="1"/>
  <c r="AF38" i="1"/>
  <c r="W4" i="8"/>
  <c r="W6" i="8" s="1"/>
  <c r="X4" i="8"/>
  <c r="W5" i="8"/>
  <c r="X5" i="8"/>
  <c r="X6" i="8" s="1"/>
  <c r="R2" i="7"/>
  <c r="S2" i="6"/>
  <c r="S2" i="5"/>
  <c r="T4" i="3"/>
  <c r="B57" i="8"/>
  <c r="C57" i="8"/>
  <c r="D57" i="8"/>
  <c r="G35" i="7" l="1"/>
  <c r="G46" i="7"/>
  <c r="G64" i="6"/>
  <c r="G53" i="5"/>
  <c r="H42" i="5"/>
  <c r="G62" i="3"/>
  <c r="H51" i="3"/>
  <c r="V47" i="8"/>
  <c r="V4" i="8"/>
  <c r="U4" i="8"/>
  <c r="T4" i="8"/>
  <c r="J62" i="14" l="1"/>
  <c r="J59" i="8" s="1"/>
  <c r="J61" i="14"/>
  <c r="J58" i="8" s="1"/>
  <c r="H46" i="7"/>
  <c r="H35" i="7"/>
  <c r="H64" i="6"/>
  <c r="G43" i="5"/>
  <c r="G44" i="5" s="1"/>
  <c r="H43" i="5"/>
  <c r="H44" i="5" s="1"/>
  <c r="I42" i="5"/>
  <c r="E43" i="5" s="1"/>
  <c r="E44" i="5" s="1"/>
  <c r="H53" i="5"/>
  <c r="H62" i="3"/>
  <c r="E52" i="3"/>
  <c r="I51" i="3"/>
  <c r="W47" i="8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O15" i="12"/>
  <c r="O12" i="12"/>
  <c r="O4" i="13"/>
  <c r="O5" i="13"/>
  <c r="O6" i="13"/>
  <c r="O7" i="13"/>
  <c r="O8" i="13"/>
  <c r="O9" i="13"/>
  <c r="O10" i="13"/>
  <c r="O11" i="13"/>
  <c r="O12" i="13"/>
  <c r="O13" i="13"/>
  <c r="O14" i="13"/>
  <c r="O15" i="13"/>
  <c r="O16" i="13"/>
  <c r="O17" i="13"/>
  <c r="O18" i="13"/>
  <c r="O19" i="13"/>
  <c r="O20" i="13"/>
  <c r="O21" i="13"/>
  <c r="O22" i="13"/>
  <c r="O23" i="13"/>
  <c r="O24" i="13"/>
  <c r="O25" i="13"/>
  <c r="O26" i="13"/>
  <c r="O27" i="13"/>
  <c r="O28" i="13"/>
  <c r="O29" i="13"/>
  <c r="O30" i="13"/>
  <c r="O31" i="13"/>
  <c r="O32" i="13"/>
  <c r="O33" i="13"/>
  <c r="O34" i="13"/>
  <c r="O35" i="13"/>
  <c r="O36" i="13"/>
  <c r="O37" i="13"/>
  <c r="O38" i="13"/>
  <c r="O39" i="13"/>
  <c r="O40" i="13"/>
  <c r="O41" i="13"/>
  <c r="O42" i="13"/>
  <c r="O43" i="13"/>
  <c r="O44" i="13"/>
  <c r="O45" i="13"/>
  <c r="O46" i="13"/>
  <c r="O47" i="13"/>
  <c r="O48" i="13"/>
  <c r="O49" i="13"/>
  <c r="O50" i="13"/>
  <c r="O51" i="13"/>
  <c r="O52" i="13"/>
  <c r="O53" i="13"/>
  <c r="O54" i="13"/>
  <c r="O55" i="13"/>
  <c r="O56" i="13"/>
  <c r="O57" i="13"/>
  <c r="O58" i="13"/>
  <c r="O59" i="13"/>
  <c r="O60" i="13"/>
  <c r="O61" i="13"/>
  <c r="O62" i="13"/>
  <c r="O63" i="13"/>
  <c r="O64" i="13"/>
  <c r="O65" i="13"/>
  <c r="O66" i="13"/>
  <c r="O67" i="13"/>
  <c r="O68" i="13"/>
  <c r="O69" i="13"/>
  <c r="O70" i="13"/>
  <c r="O71" i="13"/>
  <c r="O72" i="13"/>
  <c r="O73" i="13"/>
  <c r="O74" i="13"/>
  <c r="O75" i="13"/>
  <c r="O76" i="13"/>
  <c r="O77" i="13"/>
  <c r="O78" i="13"/>
  <c r="O79" i="13"/>
  <c r="O80" i="13"/>
  <c r="D86" i="13"/>
  <c r="E86" i="13"/>
  <c r="F86" i="13"/>
  <c r="F87" i="13" s="1"/>
  <c r="G86" i="13"/>
  <c r="H86" i="13"/>
  <c r="H87" i="13" s="1"/>
  <c r="I86" i="13"/>
  <c r="J86" i="13"/>
  <c r="J87" i="13" s="1"/>
  <c r="K86" i="13"/>
  <c r="L86" i="13"/>
  <c r="L87" i="13" s="1"/>
  <c r="M86" i="13"/>
  <c r="E87" i="13"/>
  <c r="O87" i="13" s="1"/>
  <c r="G87" i="13"/>
  <c r="I87" i="13"/>
  <c r="K87" i="13"/>
  <c r="M87" i="13"/>
  <c r="N72" i="12"/>
  <c r="M72" i="12"/>
  <c r="N71" i="12"/>
  <c r="M71" i="12"/>
  <c r="N70" i="12"/>
  <c r="M70" i="12"/>
  <c r="N69" i="12"/>
  <c r="M69" i="12"/>
  <c r="N68" i="12"/>
  <c r="M68" i="12"/>
  <c r="N67" i="12"/>
  <c r="M67" i="12"/>
  <c r="AC66" i="12"/>
  <c r="AB66" i="12"/>
  <c r="AA66" i="12"/>
  <c r="Z66" i="12"/>
  <c r="Y66" i="12"/>
  <c r="X66" i="12"/>
  <c r="W66" i="12"/>
  <c r="V66" i="12"/>
  <c r="U66" i="12"/>
  <c r="T66" i="12"/>
  <c r="S66" i="12"/>
  <c r="Q66" i="12"/>
  <c r="P66" i="12"/>
  <c r="O66" i="12"/>
  <c r="N66" i="12"/>
  <c r="F46" i="12"/>
  <c r="G44" i="12" s="1"/>
  <c r="G45" i="12"/>
  <c r="F45" i="12"/>
  <c r="F44" i="12"/>
  <c r="I42" i="12"/>
  <c r="H42" i="12"/>
  <c r="F42" i="12"/>
  <c r="G42" i="12" s="1"/>
  <c r="I41" i="12"/>
  <c r="H41" i="12"/>
  <c r="F41" i="12"/>
  <c r="G41" i="12" s="1"/>
  <c r="I40" i="12"/>
  <c r="H40" i="12"/>
  <c r="F40" i="12"/>
  <c r="G40" i="12" s="1"/>
  <c r="D39" i="12"/>
  <c r="F39" i="12" s="1"/>
  <c r="I38" i="12"/>
  <c r="H38" i="12"/>
  <c r="G38" i="12"/>
  <c r="F38" i="12"/>
  <c r="J38" i="12" s="1"/>
  <c r="I37" i="12"/>
  <c r="H37" i="12"/>
  <c r="F37" i="12"/>
  <c r="J37" i="12" s="1"/>
  <c r="I36" i="12"/>
  <c r="H36" i="12"/>
  <c r="F36" i="12"/>
  <c r="G36" i="12" s="1"/>
  <c r="I35" i="12"/>
  <c r="H35" i="12"/>
  <c r="F35" i="12"/>
  <c r="G35" i="12" s="1"/>
  <c r="I34" i="12"/>
  <c r="H34" i="12"/>
  <c r="G34" i="12"/>
  <c r="F34" i="12"/>
  <c r="J34" i="12" s="1"/>
  <c r="R32" i="12"/>
  <c r="R66" i="12" s="1"/>
  <c r="D28" i="12"/>
  <c r="D27" i="12"/>
  <c r="D26" i="12"/>
  <c r="E26" i="12" s="1"/>
  <c r="F26" i="12" s="1"/>
  <c r="G26" i="12" s="1"/>
  <c r="D25" i="12"/>
  <c r="D24" i="12"/>
  <c r="T23" i="12"/>
  <c r="R23" i="12"/>
  <c r="E23" i="12"/>
  <c r="F23" i="12" s="1"/>
  <c r="D23" i="12"/>
  <c r="G23" i="12" s="1"/>
  <c r="E22" i="12"/>
  <c r="F22" i="12" s="1"/>
  <c r="D22" i="12"/>
  <c r="E25" i="12" s="1"/>
  <c r="F25" i="12" s="1"/>
  <c r="G25" i="12" s="1"/>
  <c r="W21" i="12"/>
  <c r="V21" i="12"/>
  <c r="U21" i="12"/>
  <c r="Q21" i="12"/>
  <c r="Q23" i="12" s="1"/>
  <c r="P21" i="12"/>
  <c r="P23" i="12" s="1"/>
  <c r="O21" i="12"/>
  <c r="O23" i="12" s="1"/>
  <c r="D21" i="12"/>
  <c r="D29" i="12" s="1"/>
  <c r="U20" i="12"/>
  <c r="T20" i="12"/>
  <c r="S20" i="12"/>
  <c r="S23" i="12" s="1"/>
  <c r="AE35" i="11"/>
  <c r="AD35" i="11"/>
  <c r="AE37" i="11"/>
  <c r="AE36" i="11"/>
  <c r="AD36" i="11"/>
  <c r="L47" i="8"/>
  <c r="M47" i="8" s="1"/>
  <c r="N47" i="8" s="1"/>
  <c r="O47" i="8" s="1"/>
  <c r="P47" i="8" s="1"/>
  <c r="Q47" i="8" s="1"/>
  <c r="R47" i="8" s="1"/>
  <c r="S47" i="8" s="1"/>
  <c r="AB10" i="8"/>
  <c r="AE34" i="11"/>
  <c r="J21" i="8"/>
  <c r="I21" i="8"/>
  <c r="H21" i="8"/>
  <c r="G21" i="8"/>
  <c r="F21" i="8"/>
  <c r="E21" i="8"/>
  <c r="I15" i="8"/>
  <c r="H15" i="8"/>
  <c r="G15" i="8"/>
  <c r="F15" i="8"/>
  <c r="E15" i="8"/>
  <c r="J8" i="8"/>
  <c r="I8" i="8"/>
  <c r="H8" i="8"/>
  <c r="G8" i="8"/>
  <c r="F8" i="8"/>
  <c r="E8" i="8"/>
  <c r="AB9" i="8"/>
  <c r="B32" i="11"/>
  <c r="B31" i="11"/>
  <c r="B30" i="11"/>
  <c r="B29" i="11"/>
  <c r="B28" i="11"/>
  <c r="B27" i="11"/>
  <c r="B26" i="11"/>
  <c r="B25" i="11"/>
  <c r="B24" i="11"/>
  <c r="V22" i="8" l="1"/>
  <c r="W22" i="8"/>
  <c r="X22" i="8"/>
  <c r="T22" i="8"/>
  <c r="U22" i="8"/>
  <c r="V23" i="8"/>
  <c r="W23" i="8"/>
  <c r="X23" i="8"/>
  <c r="U23" i="8"/>
  <c r="T23" i="8"/>
  <c r="T24" i="8"/>
  <c r="U24" i="8"/>
  <c r="V24" i="8"/>
  <c r="W24" i="8"/>
  <c r="X24" i="8"/>
  <c r="U19" i="8"/>
  <c r="T12" i="8"/>
  <c r="X32" i="8"/>
  <c r="T19" i="8"/>
  <c r="U12" i="8"/>
  <c r="W32" i="8"/>
  <c r="V12" i="8"/>
  <c r="U32" i="8"/>
  <c r="X12" i="8"/>
  <c r="T32" i="8"/>
  <c r="V32" i="8"/>
  <c r="W12" i="8"/>
  <c r="X19" i="8"/>
  <c r="W19" i="8"/>
  <c r="V19" i="8"/>
  <c r="W25" i="8"/>
  <c r="X25" i="8"/>
  <c r="T25" i="8"/>
  <c r="U25" i="8"/>
  <c r="V25" i="8"/>
  <c r="X29" i="8"/>
  <c r="T16" i="8"/>
  <c r="W29" i="8"/>
  <c r="W33" i="8" s="1"/>
  <c r="T9" i="8"/>
  <c r="X9" i="8"/>
  <c r="V29" i="8"/>
  <c r="U9" i="8"/>
  <c r="T29" i="8"/>
  <c r="X16" i="8"/>
  <c r="X20" i="8" s="1"/>
  <c r="U29" i="8"/>
  <c r="V9" i="8"/>
  <c r="W9" i="8"/>
  <c r="W13" i="8" s="1"/>
  <c r="W16" i="8"/>
  <c r="V16" i="8"/>
  <c r="U16" i="8"/>
  <c r="W17" i="8"/>
  <c r="V10" i="8"/>
  <c r="V17" i="8"/>
  <c r="W10" i="8"/>
  <c r="T10" i="8"/>
  <c r="T13" i="8" s="1"/>
  <c r="X17" i="8"/>
  <c r="U10" i="8"/>
  <c r="U17" i="8"/>
  <c r="X10" i="8"/>
  <c r="X13" i="8" s="1"/>
  <c r="U30" i="8"/>
  <c r="T30" i="8"/>
  <c r="X30" i="8"/>
  <c r="T17" i="8"/>
  <c r="W30" i="8"/>
  <c r="V30" i="8"/>
  <c r="V31" i="8"/>
  <c r="U31" i="8"/>
  <c r="T31" i="8"/>
  <c r="X18" i="8"/>
  <c r="U18" i="8"/>
  <c r="V11" i="8"/>
  <c r="T18" i="8"/>
  <c r="W11" i="8"/>
  <c r="X11" i="8"/>
  <c r="W18" i="8"/>
  <c r="T11" i="8"/>
  <c r="V18" i="8"/>
  <c r="U11" i="8"/>
  <c r="X31" i="8"/>
  <c r="W31" i="8"/>
  <c r="M61" i="14"/>
  <c r="M58" i="8" s="1"/>
  <c r="M62" i="14"/>
  <c r="M59" i="8" s="1"/>
  <c r="Y55" i="14"/>
  <c r="E62" i="14"/>
  <c r="E59" i="8" s="1"/>
  <c r="E61" i="14"/>
  <c r="Q62" i="14"/>
  <c r="Q59" i="8" s="1"/>
  <c r="Q61" i="14"/>
  <c r="Q58" i="8" s="1"/>
  <c r="I62" i="14"/>
  <c r="I59" i="8" s="1"/>
  <c r="I61" i="14"/>
  <c r="I58" i="8" s="1"/>
  <c r="G61" i="14"/>
  <c r="G58" i="8" s="1"/>
  <c r="G62" i="14"/>
  <c r="G59" i="8" s="1"/>
  <c r="R62" i="14"/>
  <c r="R59" i="8" s="1"/>
  <c r="R61" i="14"/>
  <c r="R58" i="8" s="1"/>
  <c r="L62" i="14"/>
  <c r="L59" i="8" s="1"/>
  <c r="L61" i="14"/>
  <c r="L58" i="8" s="1"/>
  <c r="X62" i="14"/>
  <c r="X59" i="8" s="1"/>
  <c r="X61" i="14"/>
  <c r="X58" i="8" s="1"/>
  <c r="U61" i="14"/>
  <c r="U58" i="8" s="1"/>
  <c r="U62" i="14"/>
  <c r="U59" i="8" s="1"/>
  <c r="F61" i="14"/>
  <c r="F58" i="8" s="1"/>
  <c r="F62" i="14"/>
  <c r="K61" i="14"/>
  <c r="K58" i="8" s="1"/>
  <c r="K62" i="14"/>
  <c r="K59" i="8" s="1"/>
  <c r="T61" i="14"/>
  <c r="T58" i="8" s="1"/>
  <c r="T62" i="14"/>
  <c r="T59" i="8" s="1"/>
  <c r="N61" i="14"/>
  <c r="N58" i="8" s="1"/>
  <c r="N62" i="14"/>
  <c r="N59" i="8" s="1"/>
  <c r="W61" i="14"/>
  <c r="W58" i="8" s="1"/>
  <c r="W62" i="14"/>
  <c r="W59" i="8" s="1"/>
  <c r="H62" i="14"/>
  <c r="H59" i="8" s="1"/>
  <c r="H61" i="14"/>
  <c r="H58" i="8" s="1"/>
  <c r="V61" i="14"/>
  <c r="V58" i="8" s="1"/>
  <c r="V62" i="14"/>
  <c r="V59" i="8" s="1"/>
  <c r="O62" i="14"/>
  <c r="O59" i="8" s="1"/>
  <c r="O61" i="14"/>
  <c r="O58" i="8" s="1"/>
  <c r="P62" i="14"/>
  <c r="P59" i="8" s="1"/>
  <c r="P61" i="14"/>
  <c r="P58" i="8" s="1"/>
  <c r="S61" i="14"/>
  <c r="S58" i="8" s="1"/>
  <c r="S62" i="14"/>
  <c r="S59" i="8" s="1"/>
  <c r="I46" i="7"/>
  <c r="I35" i="7"/>
  <c r="E37" i="7" s="1"/>
  <c r="H55" i="6"/>
  <c r="I64" i="6"/>
  <c r="G67" i="6" s="1"/>
  <c r="F67" i="6"/>
  <c r="F43" i="5"/>
  <c r="F44" i="5" s="1"/>
  <c r="I43" i="5"/>
  <c r="I44" i="5" s="1"/>
  <c r="I53" i="5"/>
  <c r="F54" i="5" s="1"/>
  <c r="F56" i="5" s="1"/>
  <c r="I62" i="3"/>
  <c r="H63" i="3" s="1"/>
  <c r="I52" i="3"/>
  <c r="G52" i="3"/>
  <c r="F52" i="3"/>
  <c r="H52" i="3"/>
  <c r="X47" i="8"/>
  <c r="K37" i="12"/>
  <c r="Q28" i="12" s="1"/>
  <c r="Q44" i="12" s="1"/>
  <c r="K38" i="12"/>
  <c r="P63" i="12" s="1"/>
  <c r="N52" i="13"/>
  <c r="O86" i="13"/>
  <c r="AA36" i="12"/>
  <c r="AA70" i="12" s="1"/>
  <c r="W36" i="12"/>
  <c r="W70" i="12" s="1"/>
  <c r="S36" i="12"/>
  <c r="S70" i="12" s="1"/>
  <c r="O36" i="12"/>
  <c r="O70" i="12" s="1"/>
  <c r="Z36" i="12"/>
  <c r="Z70" i="12" s="1"/>
  <c r="V36" i="12"/>
  <c r="V70" i="12" s="1"/>
  <c r="R36" i="12"/>
  <c r="R70" i="12" s="1"/>
  <c r="AC36" i="12"/>
  <c r="AC70" i="12" s="1"/>
  <c r="Y36" i="12"/>
  <c r="Y70" i="12" s="1"/>
  <c r="U36" i="12"/>
  <c r="U70" i="12" s="1"/>
  <c r="Q36" i="12"/>
  <c r="Q70" i="12" s="1"/>
  <c r="AB36" i="12"/>
  <c r="AB70" i="12" s="1"/>
  <c r="X36" i="12"/>
  <c r="X70" i="12" s="1"/>
  <c r="T36" i="12"/>
  <c r="T70" i="12" s="1"/>
  <c r="P36" i="12"/>
  <c r="P70" i="12" s="1"/>
  <c r="AC34" i="12"/>
  <c r="AC68" i="12" s="1"/>
  <c r="Y34" i="12"/>
  <c r="Y68" i="12" s="1"/>
  <c r="U34" i="12"/>
  <c r="U68" i="12" s="1"/>
  <c r="Q34" i="12"/>
  <c r="Q68" i="12" s="1"/>
  <c r="AB34" i="12"/>
  <c r="AB68" i="12" s="1"/>
  <c r="X34" i="12"/>
  <c r="X68" i="12" s="1"/>
  <c r="T34" i="12"/>
  <c r="T68" i="12" s="1"/>
  <c r="P34" i="12"/>
  <c r="P68" i="12" s="1"/>
  <c r="AA34" i="12"/>
  <c r="AA68" i="12" s="1"/>
  <c r="W34" i="12"/>
  <c r="W68" i="12" s="1"/>
  <c r="S34" i="12"/>
  <c r="S68" i="12" s="1"/>
  <c r="O34" i="12"/>
  <c r="O68" i="12" s="1"/>
  <c r="Z34" i="12"/>
  <c r="Z68" i="12" s="1"/>
  <c r="V34" i="12"/>
  <c r="V68" i="12" s="1"/>
  <c r="R34" i="12"/>
  <c r="R68" i="12" s="1"/>
  <c r="X21" i="12"/>
  <c r="S63" i="12"/>
  <c r="G39" i="12"/>
  <c r="J39" i="12"/>
  <c r="K39" i="12" s="1"/>
  <c r="V20" i="12"/>
  <c r="W20" i="12" s="1"/>
  <c r="X20" i="12" s="1"/>
  <c r="Y20" i="12" s="1"/>
  <c r="Z20" i="12" s="1"/>
  <c r="AA20" i="12" s="1"/>
  <c r="AB20" i="12" s="1"/>
  <c r="AC20" i="12" s="1"/>
  <c r="U23" i="12"/>
  <c r="V23" i="12"/>
  <c r="Z37" i="12"/>
  <c r="Z71" i="12" s="1"/>
  <c r="V37" i="12"/>
  <c r="V71" i="12" s="1"/>
  <c r="R37" i="12"/>
  <c r="R71" i="12" s="1"/>
  <c r="AC37" i="12"/>
  <c r="AC71" i="12" s="1"/>
  <c r="Y37" i="12"/>
  <c r="Y71" i="12" s="1"/>
  <c r="U37" i="12"/>
  <c r="U71" i="12" s="1"/>
  <c r="Q37" i="12"/>
  <c r="Q71" i="12" s="1"/>
  <c r="AB37" i="12"/>
  <c r="AB71" i="12" s="1"/>
  <c r="X37" i="12"/>
  <c r="X71" i="12" s="1"/>
  <c r="T37" i="12"/>
  <c r="T71" i="12" s="1"/>
  <c r="P37" i="12"/>
  <c r="P71" i="12" s="1"/>
  <c r="AA37" i="12"/>
  <c r="AA71" i="12" s="1"/>
  <c r="W37" i="12"/>
  <c r="W71" i="12" s="1"/>
  <c r="S37" i="12"/>
  <c r="S71" i="12" s="1"/>
  <c r="O37" i="12"/>
  <c r="O71" i="12" s="1"/>
  <c r="K34" i="12"/>
  <c r="J35" i="12"/>
  <c r="K35" i="12" s="1"/>
  <c r="H39" i="12"/>
  <c r="J40" i="12"/>
  <c r="E27" i="12"/>
  <c r="F27" i="12" s="1"/>
  <c r="G27" i="12" s="1"/>
  <c r="J36" i="12"/>
  <c r="K36" i="12" s="1"/>
  <c r="E39" i="12"/>
  <c r="I39" i="12" s="1"/>
  <c r="J41" i="12"/>
  <c r="J42" i="12"/>
  <c r="F43" i="12"/>
  <c r="G43" i="12" s="1"/>
  <c r="G46" i="12"/>
  <c r="G22" i="12"/>
  <c r="E24" i="12"/>
  <c r="F24" i="12" s="1"/>
  <c r="G24" i="12" s="1"/>
  <c r="G37" i="12"/>
  <c r="AD37" i="11"/>
  <c r="Q62" i="12" l="1"/>
  <c r="X26" i="8"/>
  <c r="O62" i="12"/>
  <c r="V28" i="12"/>
  <c r="U33" i="8"/>
  <c r="T20" i="8"/>
  <c r="V26" i="8"/>
  <c r="V13" i="8"/>
  <c r="T28" i="12"/>
  <c r="T44" i="12" s="1"/>
  <c r="Z28" i="12"/>
  <c r="T62" i="12"/>
  <c r="AB28" i="12"/>
  <c r="X35" i="8"/>
  <c r="X37" i="8" s="1"/>
  <c r="X40" i="8" s="1"/>
  <c r="X42" i="8" s="1"/>
  <c r="V11" i="11" s="1"/>
  <c r="T33" i="8"/>
  <c r="P62" i="12"/>
  <c r="U28" i="12"/>
  <c r="O28" i="12"/>
  <c r="O44" i="12" s="1"/>
  <c r="U20" i="8"/>
  <c r="T35" i="8"/>
  <c r="T37" i="8" s="1"/>
  <c r="X33" i="8"/>
  <c r="AC28" i="12"/>
  <c r="S28" i="12"/>
  <c r="S44" i="12" s="1"/>
  <c r="U13" i="8"/>
  <c r="V20" i="8"/>
  <c r="V33" i="8"/>
  <c r="T26" i="8"/>
  <c r="W26" i="8"/>
  <c r="W35" i="8"/>
  <c r="W37" i="8" s="1"/>
  <c r="W40" i="8" s="1"/>
  <c r="W42" i="8" s="1"/>
  <c r="U11" i="11" s="1"/>
  <c r="R62" i="12"/>
  <c r="R78" i="12" s="1"/>
  <c r="R28" i="12"/>
  <c r="R44" i="12" s="1"/>
  <c r="AA28" i="12"/>
  <c r="W20" i="8"/>
  <c r="U26" i="8"/>
  <c r="Y61" i="14"/>
  <c r="E58" i="8"/>
  <c r="Y62" i="14"/>
  <c r="F59" i="8"/>
  <c r="E49" i="7"/>
  <c r="H37" i="7"/>
  <c r="I37" i="7"/>
  <c r="J35" i="7"/>
  <c r="G37" i="7" s="1"/>
  <c r="J46" i="7"/>
  <c r="H67" i="6"/>
  <c r="I55" i="6"/>
  <c r="G55" i="6"/>
  <c r="I67" i="6"/>
  <c r="E67" i="6"/>
  <c r="F55" i="6"/>
  <c r="E55" i="6"/>
  <c r="E54" i="5"/>
  <c r="E56" i="5" s="1"/>
  <c r="H54" i="5"/>
  <c r="H56" i="5" s="1"/>
  <c r="G54" i="5"/>
  <c r="G56" i="5" s="1"/>
  <c r="I54" i="5"/>
  <c r="I56" i="5" s="1"/>
  <c r="F63" i="3"/>
  <c r="G63" i="3"/>
  <c r="I63" i="3"/>
  <c r="E63" i="3"/>
  <c r="S62" i="12"/>
  <c r="S78" i="12" s="1"/>
  <c r="Y28" i="12"/>
  <c r="X28" i="12"/>
  <c r="P28" i="12"/>
  <c r="P44" i="12" s="1"/>
  <c r="W28" i="12"/>
  <c r="Q25" i="12"/>
  <c r="U25" i="12"/>
  <c r="Y25" i="12"/>
  <c r="AC25" i="12"/>
  <c r="P25" i="12"/>
  <c r="AB25" i="12"/>
  <c r="R25" i="12"/>
  <c r="R41" i="12" s="1"/>
  <c r="V25" i="12"/>
  <c r="Z25" i="12"/>
  <c r="O25" i="12"/>
  <c r="X25" i="12"/>
  <c r="S25" i="12"/>
  <c r="W25" i="12"/>
  <c r="AA25" i="12"/>
  <c r="T25" i="12"/>
  <c r="R29" i="12"/>
  <c r="R45" i="12" s="1"/>
  <c r="V29" i="12"/>
  <c r="V45" i="12" s="1"/>
  <c r="Z29" i="12"/>
  <c r="Q29" i="12"/>
  <c r="Q45" i="12" s="1"/>
  <c r="Y29" i="12"/>
  <c r="O29" i="12"/>
  <c r="O45" i="12" s="1"/>
  <c r="S29" i="12"/>
  <c r="S45" i="12" s="1"/>
  <c r="W29" i="12"/>
  <c r="AA29" i="12"/>
  <c r="U29" i="12"/>
  <c r="U45" i="12" s="1"/>
  <c r="AC29" i="12"/>
  <c r="P29" i="12"/>
  <c r="P45" i="12" s="1"/>
  <c r="T29" i="12"/>
  <c r="T45" i="12" s="1"/>
  <c r="X29" i="12"/>
  <c r="AB29" i="12"/>
  <c r="R63" i="12"/>
  <c r="R79" i="12" s="1"/>
  <c r="T63" i="12"/>
  <c r="T79" i="12" s="1"/>
  <c r="P27" i="12"/>
  <c r="T27" i="12"/>
  <c r="T43" i="12" s="1"/>
  <c r="X27" i="12"/>
  <c r="X43" i="12" s="1"/>
  <c r="AB27" i="12"/>
  <c r="S27" i="12"/>
  <c r="S43" i="12" s="1"/>
  <c r="W27" i="12"/>
  <c r="W43" i="12" s="1"/>
  <c r="Q27" i="12"/>
  <c r="Q43" i="12" s="1"/>
  <c r="U27" i="12"/>
  <c r="U43" i="12" s="1"/>
  <c r="Y27" i="12"/>
  <c r="AC27" i="12"/>
  <c r="O27" i="12"/>
  <c r="AA27" i="12"/>
  <c r="R27" i="12"/>
  <c r="R43" i="12" s="1"/>
  <c r="V27" i="12"/>
  <c r="V43" i="12" s="1"/>
  <c r="Z27" i="12"/>
  <c r="O26" i="12"/>
  <c r="O42" i="12" s="1"/>
  <c r="S26" i="12"/>
  <c r="S42" i="12" s="1"/>
  <c r="W26" i="12"/>
  <c r="W42" i="12" s="1"/>
  <c r="AA26" i="12"/>
  <c r="V26" i="12"/>
  <c r="V42" i="12" s="1"/>
  <c r="P26" i="12"/>
  <c r="P42" i="12" s="1"/>
  <c r="T26" i="12"/>
  <c r="T42" i="12" s="1"/>
  <c r="X26" i="12"/>
  <c r="X42" i="12" s="1"/>
  <c r="AB26" i="12"/>
  <c r="R26" i="12"/>
  <c r="R42" i="12" s="1"/>
  <c r="Q26" i="12"/>
  <c r="Q42" i="12" s="1"/>
  <c r="U26" i="12"/>
  <c r="U42" i="12" s="1"/>
  <c r="Y26" i="12"/>
  <c r="AC26" i="12"/>
  <c r="Z26" i="12"/>
  <c r="O30" i="12"/>
  <c r="O46" i="12" s="1"/>
  <c r="S30" i="12"/>
  <c r="S46" i="12" s="1"/>
  <c r="W30" i="12"/>
  <c r="AA30" i="12"/>
  <c r="V30" i="12"/>
  <c r="V46" i="12" s="1"/>
  <c r="P30" i="12"/>
  <c r="P46" i="12" s="1"/>
  <c r="T30" i="12"/>
  <c r="T46" i="12" s="1"/>
  <c r="X30" i="12"/>
  <c r="X46" i="12" s="1"/>
  <c r="AB30" i="12"/>
  <c r="Z30" i="12"/>
  <c r="Q30" i="12"/>
  <c r="Q46" i="12" s="1"/>
  <c r="U30" i="12"/>
  <c r="U46" i="12" s="1"/>
  <c r="Y30" i="12"/>
  <c r="AC30" i="12"/>
  <c r="R30" i="12"/>
  <c r="R46" i="12" s="1"/>
  <c r="O63" i="12"/>
  <c r="O79" i="12" s="1"/>
  <c r="Q63" i="12"/>
  <c r="Q79" i="12" s="1"/>
  <c r="N4" i="13"/>
  <c r="N6" i="13"/>
  <c r="N8" i="13"/>
  <c r="N10" i="13"/>
  <c r="N12" i="13"/>
  <c r="N14" i="13"/>
  <c r="N16" i="13"/>
  <c r="N18" i="13"/>
  <c r="N20" i="13"/>
  <c r="N22" i="13"/>
  <c r="N83" i="13"/>
  <c r="N86" i="13"/>
  <c r="N82" i="13"/>
  <c r="N84" i="13"/>
  <c r="N81" i="13"/>
  <c r="N85" i="13"/>
  <c r="N68" i="13"/>
  <c r="N19" i="13"/>
  <c r="N9" i="13"/>
  <c r="N41" i="13"/>
  <c r="N73" i="13"/>
  <c r="N42" i="13"/>
  <c r="N50" i="13"/>
  <c r="N40" i="13"/>
  <c r="N72" i="13"/>
  <c r="N70" i="13"/>
  <c r="N71" i="13"/>
  <c r="N29" i="13"/>
  <c r="N61" i="13"/>
  <c r="N58" i="13"/>
  <c r="N7" i="13"/>
  <c r="N28" i="13"/>
  <c r="N44" i="13"/>
  <c r="N60" i="13"/>
  <c r="N76" i="13"/>
  <c r="N46" i="13"/>
  <c r="N78" i="13"/>
  <c r="N35" i="13"/>
  <c r="N79" i="13"/>
  <c r="N17" i="13"/>
  <c r="N33" i="13"/>
  <c r="N49" i="13"/>
  <c r="N65" i="13"/>
  <c r="N30" i="13"/>
  <c r="N66" i="13"/>
  <c r="N31" i="13"/>
  <c r="N63" i="13"/>
  <c r="N43" i="13"/>
  <c r="N36" i="13"/>
  <c r="N26" i="13"/>
  <c r="N62" i="13"/>
  <c r="N59" i="13"/>
  <c r="N25" i="13"/>
  <c r="N57" i="13"/>
  <c r="N11" i="13"/>
  <c r="N47" i="13"/>
  <c r="N24" i="13"/>
  <c r="N56" i="13"/>
  <c r="N38" i="13"/>
  <c r="N27" i="13"/>
  <c r="N13" i="13"/>
  <c r="N45" i="13"/>
  <c r="N77" i="13"/>
  <c r="N23" i="13"/>
  <c r="N55" i="13"/>
  <c r="N32" i="13"/>
  <c r="N48" i="13"/>
  <c r="N64" i="13"/>
  <c r="N80" i="13"/>
  <c r="N54" i="13"/>
  <c r="N15" i="13"/>
  <c r="N51" i="13"/>
  <c r="N5" i="13"/>
  <c r="N21" i="13"/>
  <c r="N37" i="13"/>
  <c r="N53" i="13"/>
  <c r="N69" i="13"/>
  <c r="N34" i="13"/>
  <c r="N74" i="13"/>
  <c r="N39" i="13"/>
  <c r="N75" i="13"/>
  <c r="N67" i="13"/>
  <c r="AC38" i="12"/>
  <c r="AC72" i="12" s="1"/>
  <c r="Y38" i="12"/>
  <c r="Y72" i="12" s="1"/>
  <c r="U38" i="12"/>
  <c r="U72" i="12" s="1"/>
  <c r="Q38" i="12"/>
  <c r="Q72" i="12" s="1"/>
  <c r="AB38" i="12"/>
  <c r="AB72" i="12" s="1"/>
  <c r="X38" i="12"/>
  <c r="X72" i="12" s="1"/>
  <c r="T38" i="12"/>
  <c r="T72" i="12" s="1"/>
  <c r="P38" i="12"/>
  <c r="P72" i="12" s="1"/>
  <c r="AA38" i="12"/>
  <c r="AA72" i="12" s="1"/>
  <c r="W38" i="12"/>
  <c r="W72" i="12" s="1"/>
  <c r="S38" i="12"/>
  <c r="S72" i="12" s="1"/>
  <c r="O38" i="12"/>
  <c r="O72" i="12" s="1"/>
  <c r="Z38" i="12"/>
  <c r="Z72" i="12" s="1"/>
  <c r="V38" i="12"/>
  <c r="V72" i="12" s="1"/>
  <c r="R38" i="12"/>
  <c r="R72" i="12" s="1"/>
  <c r="T78" i="12"/>
  <c r="U62" i="12"/>
  <c r="Q59" i="12"/>
  <c r="T59" i="12"/>
  <c r="P59" i="12"/>
  <c r="S59" i="12"/>
  <c r="O59" i="12"/>
  <c r="R59" i="12"/>
  <c r="Q41" i="12"/>
  <c r="U41" i="12"/>
  <c r="Z33" i="12"/>
  <c r="Z67" i="12" s="1"/>
  <c r="V33" i="12"/>
  <c r="V67" i="12" s="1"/>
  <c r="R33" i="12"/>
  <c r="R67" i="12" s="1"/>
  <c r="AC33" i="12"/>
  <c r="AC67" i="12" s="1"/>
  <c r="Y33" i="12"/>
  <c r="Y67" i="12" s="1"/>
  <c r="U33" i="12"/>
  <c r="U67" i="12" s="1"/>
  <c r="Q33" i="12"/>
  <c r="Q67" i="12" s="1"/>
  <c r="AB33" i="12"/>
  <c r="AB67" i="12" s="1"/>
  <c r="X33" i="12"/>
  <c r="X67" i="12" s="1"/>
  <c r="T33" i="12"/>
  <c r="T67" i="12" s="1"/>
  <c r="P33" i="12"/>
  <c r="P67" i="12" s="1"/>
  <c r="AA33" i="12"/>
  <c r="AA67" i="12" s="1"/>
  <c r="W33" i="12"/>
  <c r="W67" i="12" s="1"/>
  <c r="S33" i="12"/>
  <c r="S67" i="12" s="1"/>
  <c r="O33" i="12"/>
  <c r="O67" i="12" s="1"/>
  <c r="G29" i="12"/>
  <c r="AB35" i="12"/>
  <c r="AB69" i="12" s="1"/>
  <c r="X35" i="12"/>
  <c r="X69" i="12" s="1"/>
  <c r="T35" i="12"/>
  <c r="T69" i="12" s="1"/>
  <c r="P35" i="12"/>
  <c r="P69" i="12" s="1"/>
  <c r="AA35" i="12"/>
  <c r="AA69" i="12" s="1"/>
  <c r="W35" i="12"/>
  <c r="W69" i="12" s="1"/>
  <c r="S35" i="12"/>
  <c r="S69" i="12" s="1"/>
  <c r="O35" i="12"/>
  <c r="O69" i="12" s="1"/>
  <c r="Z35" i="12"/>
  <c r="Z69" i="12" s="1"/>
  <c r="V35" i="12"/>
  <c r="V69" i="12" s="1"/>
  <c r="R35" i="12"/>
  <c r="R69" i="12" s="1"/>
  <c r="AC35" i="12"/>
  <c r="AC69" i="12" s="1"/>
  <c r="Y35" i="12"/>
  <c r="Y69" i="12" s="1"/>
  <c r="U35" i="12"/>
  <c r="U69" i="12" s="1"/>
  <c r="Q35" i="12"/>
  <c r="Q69" i="12" s="1"/>
  <c r="U44" i="12"/>
  <c r="V44" i="12"/>
  <c r="O78" i="12"/>
  <c r="S79" i="12"/>
  <c r="Y21" i="12"/>
  <c r="X23" i="12"/>
  <c r="S61" i="12"/>
  <c r="S77" i="12" s="1"/>
  <c r="O61" i="12"/>
  <c r="R61" i="12"/>
  <c r="R77" i="12" s="1"/>
  <c r="Q61" i="12"/>
  <c r="Q77" i="12" s="1"/>
  <c r="T61" i="12"/>
  <c r="P61" i="12"/>
  <c r="R60" i="12"/>
  <c r="R76" i="12" s="1"/>
  <c r="Q60" i="12"/>
  <c r="Q76" i="12" s="1"/>
  <c r="T60" i="12"/>
  <c r="P60" i="12"/>
  <c r="P76" i="12" s="1"/>
  <c r="S60" i="12"/>
  <c r="S76" i="12" s="1"/>
  <c r="O60" i="12"/>
  <c r="O76" i="12" s="1"/>
  <c r="R64" i="12"/>
  <c r="R80" i="12" s="1"/>
  <c r="Q64" i="12"/>
  <c r="Q80" i="12" s="1"/>
  <c r="T64" i="12"/>
  <c r="P64" i="12"/>
  <c r="P80" i="12" s="1"/>
  <c r="S64" i="12"/>
  <c r="S80" i="12" s="1"/>
  <c r="O64" i="12"/>
  <c r="O80" i="12" s="1"/>
  <c r="P79" i="12"/>
  <c r="W23" i="12"/>
  <c r="Q78" i="12"/>
  <c r="P78" i="12"/>
  <c r="F44" i="8"/>
  <c r="G44" i="8"/>
  <c r="H44" i="8"/>
  <c r="I44" i="8"/>
  <c r="J44" i="8"/>
  <c r="F46" i="8"/>
  <c r="G46" i="8"/>
  <c r="H46" i="8"/>
  <c r="I46" i="8"/>
  <c r="J46" i="8"/>
  <c r="E46" i="8"/>
  <c r="F47" i="8"/>
  <c r="G47" i="8"/>
  <c r="H47" i="8"/>
  <c r="I47" i="8"/>
  <c r="J47" i="8"/>
  <c r="E47" i="8"/>
  <c r="J6" i="11"/>
  <c r="K6" i="11"/>
  <c r="L6" i="11"/>
  <c r="M6" i="11"/>
  <c r="N6" i="11"/>
  <c r="O6" i="11"/>
  <c r="P6" i="11"/>
  <c r="Q6" i="11"/>
  <c r="L36" i="8"/>
  <c r="M36" i="8" s="1"/>
  <c r="N36" i="8" s="1"/>
  <c r="O36" i="8" s="1"/>
  <c r="P36" i="8" s="1"/>
  <c r="Q36" i="8" s="1"/>
  <c r="R36" i="8" s="1"/>
  <c r="S36" i="8" s="1"/>
  <c r="R23" i="8"/>
  <c r="Q24" i="8"/>
  <c r="P23" i="8"/>
  <c r="S17" i="8"/>
  <c r="D18" i="8"/>
  <c r="P9" i="8"/>
  <c r="S10" i="8"/>
  <c r="R11" i="8"/>
  <c r="G12" i="8"/>
  <c r="E13" i="7"/>
  <c r="E9" i="7"/>
  <c r="F9" i="7"/>
  <c r="G9" i="7" s="1"/>
  <c r="F22" i="7"/>
  <c r="E22" i="7"/>
  <c r="E21" i="7"/>
  <c r="F8" i="7"/>
  <c r="G8" i="7" s="1"/>
  <c r="F10" i="7"/>
  <c r="G10" i="7"/>
  <c r="H10" i="7"/>
  <c r="I10" i="7"/>
  <c r="J10" i="7"/>
  <c r="K10" i="7"/>
  <c r="L10" i="7"/>
  <c r="M10" i="7"/>
  <c r="N10" i="7"/>
  <c r="E10" i="7"/>
  <c r="N19" i="7"/>
  <c r="M19" i="7"/>
  <c r="L19" i="7"/>
  <c r="K19" i="7"/>
  <c r="J19" i="7"/>
  <c r="I19" i="7"/>
  <c r="H19" i="7"/>
  <c r="G19" i="7"/>
  <c r="F19" i="7"/>
  <c r="E19" i="7"/>
  <c r="F18" i="7"/>
  <c r="G18" i="7"/>
  <c r="H18" i="7"/>
  <c r="I18" i="7"/>
  <c r="J18" i="7"/>
  <c r="K18" i="7"/>
  <c r="L18" i="7"/>
  <c r="M18" i="7"/>
  <c r="N18" i="7"/>
  <c r="E18" i="7"/>
  <c r="F19" i="6"/>
  <c r="G19" i="6"/>
  <c r="H19" i="6"/>
  <c r="I19" i="6"/>
  <c r="J19" i="6"/>
  <c r="K19" i="6"/>
  <c r="L19" i="6"/>
  <c r="M19" i="6"/>
  <c r="N19" i="6"/>
  <c r="E19" i="6"/>
  <c r="E22" i="6"/>
  <c r="E26" i="6" s="1"/>
  <c r="E39" i="6"/>
  <c r="I39" i="6"/>
  <c r="M39" i="6"/>
  <c r="E37" i="6"/>
  <c r="E29" i="6"/>
  <c r="F29" i="6"/>
  <c r="G29" i="6"/>
  <c r="H29" i="6"/>
  <c r="I29" i="6"/>
  <c r="J29" i="6"/>
  <c r="K29" i="6"/>
  <c r="L29" i="6"/>
  <c r="M29" i="6"/>
  <c r="N29" i="6"/>
  <c r="H30" i="6"/>
  <c r="L30" i="6"/>
  <c r="E31" i="6"/>
  <c r="F31" i="6"/>
  <c r="G31" i="6"/>
  <c r="H31" i="6"/>
  <c r="I31" i="6"/>
  <c r="J31" i="6"/>
  <c r="K31" i="6"/>
  <c r="L31" i="6"/>
  <c r="M31" i="6"/>
  <c r="N31" i="6"/>
  <c r="F32" i="6"/>
  <c r="G32" i="6"/>
  <c r="H32" i="6"/>
  <c r="I32" i="6"/>
  <c r="J32" i="6"/>
  <c r="K32" i="6"/>
  <c r="L32" i="6"/>
  <c r="M32" i="6"/>
  <c r="N32" i="6"/>
  <c r="E33" i="6"/>
  <c r="F33" i="6"/>
  <c r="G33" i="6"/>
  <c r="H33" i="6"/>
  <c r="I33" i="6"/>
  <c r="J33" i="6"/>
  <c r="K33" i="6"/>
  <c r="L33" i="6"/>
  <c r="M33" i="6"/>
  <c r="N33" i="6"/>
  <c r="E34" i="6"/>
  <c r="F34" i="6"/>
  <c r="G34" i="6"/>
  <c r="H34" i="6"/>
  <c r="I34" i="6"/>
  <c r="J34" i="6"/>
  <c r="K34" i="6"/>
  <c r="L34" i="6"/>
  <c r="M34" i="6"/>
  <c r="N34" i="6"/>
  <c r="E35" i="6"/>
  <c r="F35" i="6"/>
  <c r="G35" i="6"/>
  <c r="H35" i="6"/>
  <c r="I35" i="6"/>
  <c r="J35" i="6"/>
  <c r="K35" i="6"/>
  <c r="L35" i="6"/>
  <c r="M35" i="6"/>
  <c r="N35" i="6"/>
  <c r="F28" i="6"/>
  <c r="G28" i="6"/>
  <c r="H28" i="6"/>
  <c r="I28" i="6"/>
  <c r="J28" i="6"/>
  <c r="K28" i="6"/>
  <c r="L28" i="6"/>
  <c r="M28" i="6"/>
  <c r="N28" i="6"/>
  <c r="E28" i="6"/>
  <c r="D30" i="6"/>
  <c r="D40" i="6" s="1"/>
  <c r="F16" i="6"/>
  <c r="F22" i="6" s="1"/>
  <c r="F23" i="6" s="1"/>
  <c r="F26" i="6" s="1"/>
  <c r="F18" i="6"/>
  <c r="F39" i="6" s="1"/>
  <c r="G18" i="6"/>
  <c r="G39" i="6" s="1"/>
  <c r="H18" i="6"/>
  <c r="H39" i="6" s="1"/>
  <c r="I18" i="6"/>
  <c r="J18" i="6"/>
  <c r="J39" i="6" s="1"/>
  <c r="K18" i="6"/>
  <c r="K39" i="6" s="1"/>
  <c r="L18" i="6"/>
  <c r="L39" i="6" s="1"/>
  <c r="M18" i="6"/>
  <c r="N18" i="6"/>
  <c r="N39" i="6" s="1"/>
  <c r="E18" i="6"/>
  <c r="E17" i="6"/>
  <c r="E38" i="6" s="1"/>
  <c r="E11" i="6"/>
  <c r="E32" i="6" s="1"/>
  <c r="F13" i="5"/>
  <c r="G13" i="5"/>
  <c r="H13" i="5"/>
  <c r="H31" i="5" s="1"/>
  <c r="I13" i="5"/>
  <c r="J13" i="5"/>
  <c r="J31" i="5" s="1"/>
  <c r="K13" i="5"/>
  <c r="L13" i="5"/>
  <c r="L31" i="5" s="1"/>
  <c r="M13" i="5"/>
  <c r="M31" i="5" s="1"/>
  <c r="N13" i="5"/>
  <c r="N31" i="5" s="1"/>
  <c r="E13" i="5"/>
  <c r="E31" i="5" s="1"/>
  <c r="G31" i="5"/>
  <c r="I31" i="5"/>
  <c r="F18" i="5"/>
  <c r="G18" i="5"/>
  <c r="G22" i="5" s="1"/>
  <c r="H18" i="5"/>
  <c r="E18" i="5"/>
  <c r="E22" i="5" s="1"/>
  <c r="F10" i="5"/>
  <c r="F28" i="5" s="1"/>
  <c r="G27" i="5"/>
  <c r="H15" i="5"/>
  <c r="J27" i="5"/>
  <c r="K15" i="5"/>
  <c r="K16" i="5" s="1"/>
  <c r="K21" i="5" s="1"/>
  <c r="L15" i="5"/>
  <c r="N15" i="5"/>
  <c r="N16" i="5" s="1"/>
  <c r="N21" i="5" s="1"/>
  <c r="D22" i="5"/>
  <c r="H22" i="5" s="1"/>
  <c r="K31" i="5"/>
  <c r="F31" i="5"/>
  <c r="N30" i="5"/>
  <c r="M30" i="5"/>
  <c r="J30" i="5"/>
  <c r="I30" i="5"/>
  <c r="F30" i="5"/>
  <c r="E30" i="5"/>
  <c r="N29" i="5"/>
  <c r="M29" i="5"/>
  <c r="L29" i="5"/>
  <c r="K29" i="5"/>
  <c r="J29" i="5"/>
  <c r="I29" i="5"/>
  <c r="H29" i="5"/>
  <c r="G29" i="5"/>
  <c r="F29" i="5"/>
  <c r="E29" i="5"/>
  <c r="M27" i="5"/>
  <c r="L27" i="5"/>
  <c r="K27" i="5"/>
  <c r="I27" i="5"/>
  <c r="H27" i="5"/>
  <c r="F25" i="5"/>
  <c r="G25" i="5"/>
  <c r="H25" i="5"/>
  <c r="I25" i="5"/>
  <c r="J25" i="5"/>
  <c r="K25" i="5"/>
  <c r="L25" i="5"/>
  <c r="M25" i="5"/>
  <c r="N25" i="5"/>
  <c r="E25" i="5"/>
  <c r="D30" i="5"/>
  <c r="K30" i="5" s="1"/>
  <c r="H17" i="5"/>
  <c r="I17" i="5" s="1"/>
  <c r="M10" i="5"/>
  <c r="M28" i="5" s="1"/>
  <c r="H10" i="5"/>
  <c r="H28" i="5" s="1"/>
  <c r="K10" i="5"/>
  <c r="K28" i="5" s="1"/>
  <c r="L10" i="5"/>
  <c r="L28" i="5" s="1"/>
  <c r="N10" i="5"/>
  <c r="N28" i="5" s="1"/>
  <c r="N36" i="3"/>
  <c r="M36" i="3"/>
  <c r="L36" i="3"/>
  <c r="K36" i="3"/>
  <c r="J36" i="3"/>
  <c r="I36" i="3"/>
  <c r="H36" i="3"/>
  <c r="G36" i="3"/>
  <c r="F36" i="3"/>
  <c r="E36" i="3"/>
  <c r="N34" i="3"/>
  <c r="M34" i="3"/>
  <c r="L34" i="3"/>
  <c r="K34" i="3"/>
  <c r="J34" i="3"/>
  <c r="I34" i="3"/>
  <c r="H34" i="3"/>
  <c r="G34" i="3"/>
  <c r="F34" i="3"/>
  <c r="E34" i="3"/>
  <c r="E26" i="3"/>
  <c r="F26" i="3"/>
  <c r="G26" i="3"/>
  <c r="H26" i="3"/>
  <c r="I26" i="3"/>
  <c r="J26" i="3"/>
  <c r="K26" i="3"/>
  <c r="L26" i="3"/>
  <c r="M26" i="3"/>
  <c r="N26" i="3"/>
  <c r="E27" i="3"/>
  <c r="F27" i="3"/>
  <c r="G27" i="3"/>
  <c r="H27" i="3"/>
  <c r="I27" i="3"/>
  <c r="J27" i="3"/>
  <c r="K27" i="3"/>
  <c r="L27" i="3"/>
  <c r="M27" i="3"/>
  <c r="N27" i="3"/>
  <c r="E28" i="3"/>
  <c r="F28" i="3"/>
  <c r="G28" i="3"/>
  <c r="H28" i="3"/>
  <c r="I28" i="3"/>
  <c r="J28" i="3"/>
  <c r="K28" i="3"/>
  <c r="L28" i="3"/>
  <c r="M28" i="3"/>
  <c r="N28" i="3"/>
  <c r="E29" i="3"/>
  <c r="F29" i="3"/>
  <c r="G29" i="3"/>
  <c r="H29" i="3"/>
  <c r="I29" i="3"/>
  <c r="J29" i="3"/>
  <c r="K29" i="3"/>
  <c r="L29" i="3"/>
  <c r="M29" i="3"/>
  <c r="N29" i="3"/>
  <c r="F25" i="3"/>
  <c r="G25" i="3"/>
  <c r="H25" i="3"/>
  <c r="I25" i="3"/>
  <c r="J25" i="3"/>
  <c r="K25" i="3"/>
  <c r="L25" i="3"/>
  <c r="M25" i="3"/>
  <c r="N25" i="3"/>
  <c r="E25" i="3"/>
  <c r="F15" i="3"/>
  <c r="G15" i="3" s="1"/>
  <c r="H15" i="3" s="1"/>
  <c r="I15" i="3" s="1"/>
  <c r="J15" i="3" s="1"/>
  <c r="K15" i="3" s="1"/>
  <c r="L15" i="3" s="1"/>
  <c r="M15" i="3" s="1"/>
  <c r="N15" i="3" s="1"/>
  <c r="W41" i="12" l="1"/>
  <c r="U35" i="8"/>
  <c r="U37" i="8" s="1"/>
  <c r="V15" i="11"/>
  <c r="V30" i="11" s="1"/>
  <c r="V17" i="11"/>
  <c r="V32" i="11" s="1"/>
  <c r="V24" i="11"/>
  <c r="V12" i="11"/>
  <c r="V27" i="11" s="1"/>
  <c r="V14" i="11"/>
  <c r="V29" i="11" s="1"/>
  <c r="V25" i="11"/>
  <c r="V16" i="11"/>
  <c r="V31" i="11" s="1"/>
  <c r="V23" i="11"/>
  <c r="V13" i="11"/>
  <c r="V28" i="11" s="1"/>
  <c r="V26" i="11"/>
  <c r="U12" i="11"/>
  <c r="U27" i="11" s="1"/>
  <c r="V18" i="11"/>
  <c r="V33" i="11" s="1"/>
  <c r="U15" i="11"/>
  <c r="U30" i="11" s="1"/>
  <c r="U23" i="11"/>
  <c r="U24" i="11"/>
  <c r="U14" i="11"/>
  <c r="U29" i="11" s="1"/>
  <c r="U16" i="11"/>
  <c r="U31" i="11" s="1"/>
  <c r="U17" i="11"/>
  <c r="U32" i="11" s="1"/>
  <c r="U13" i="11"/>
  <c r="U28" i="11" s="1"/>
  <c r="U26" i="11"/>
  <c r="U25" i="11"/>
  <c r="X51" i="8"/>
  <c r="X57" i="8" s="1"/>
  <c r="W51" i="8"/>
  <c r="W57" i="8" s="1"/>
  <c r="V35" i="8"/>
  <c r="V37" i="8" s="1"/>
  <c r="Q5" i="6"/>
  <c r="K58" i="5"/>
  <c r="K46" i="5"/>
  <c r="E57" i="6"/>
  <c r="E69" i="6"/>
  <c r="F37" i="7"/>
  <c r="J37" i="7"/>
  <c r="U63" i="12"/>
  <c r="U79" i="12" s="1"/>
  <c r="X41" i="12"/>
  <c r="U47" i="12"/>
  <c r="R47" i="12"/>
  <c r="S41" i="12"/>
  <c r="S47" i="12" s="1"/>
  <c r="T41" i="12"/>
  <c r="T47" i="12" s="1"/>
  <c r="O75" i="12"/>
  <c r="Q75" i="12"/>
  <c r="Q81" i="12" s="1"/>
  <c r="V63" i="12"/>
  <c r="P77" i="12"/>
  <c r="O77" i="12"/>
  <c r="V41" i="12"/>
  <c r="V47" i="12" s="1"/>
  <c r="S75" i="12"/>
  <c r="S81" i="12" s="1"/>
  <c r="V62" i="12"/>
  <c r="U78" i="12"/>
  <c r="W44" i="12"/>
  <c r="W45" i="12"/>
  <c r="W46" i="12"/>
  <c r="U64" i="12"/>
  <c r="T80" i="12"/>
  <c r="O43" i="12"/>
  <c r="P43" i="12"/>
  <c r="U61" i="12"/>
  <c r="T77" i="12"/>
  <c r="X44" i="12"/>
  <c r="X45" i="12"/>
  <c r="P75" i="12"/>
  <c r="U60" i="12"/>
  <c r="T76" i="12"/>
  <c r="Z21" i="12"/>
  <c r="Y23" i="12"/>
  <c r="Q47" i="12"/>
  <c r="O41" i="12"/>
  <c r="P41" i="12"/>
  <c r="P47" i="12" s="1"/>
  <c r="R75" i="12"/>
  <c r="R81" i="12" s="1"/>
  <c r="U59" i="12"/>
  <c r="T75" i="12"/>
  <c r="J17" i="5"/>
  <c r="J18" i="5" s="1"/>
  <c r="J22" i="5" s="1"/>
  <c r="I18" i="5"/>
  <c r="I22" i="5" s="1"/>
  <c r="E40" i="6"/>
  <c r="K40" i="6"/>
  <c r="F40" i="6"/>
  <c r="J40" i="6"/>
  <c r="N40" i="6"/>
  <c r="G40" i="6"/>
  <c r="N23" i="7"/>
  <c r="J23" i="7"/>
  <c r="F23" i="7"/>
  <c r="M23" i="7"/>
  <c r="E23" i="7"/>
  <c r="H23" i="7"/>
  <c r="K23" i="7"/>
  <c r="G23" i="7"/>
  <c r="I23" i="7"/>
  <c r="L23" i="7"/>
  <c r="M40" i="6"/>
  <c r="J15" i="5"/>
  <c r="J16" i="5" s="1"/>
  <c r="J21" i="5" s="1"/>
  <c r="N27" i="5"/>
  <c r="N46" i="5" s="1"/>
  <c r="K30" i="6"/>
  <c r="G30" i="6"/>
  <c r="H40" i="6"/>
  <c r="M15" i="5"/>
  <c r="M16" i="5" s="1"/>
  <c r="M21" i="5" s="1"/>
  <c r="D24" i="7"/>
  <c r="J10" i="5"/>
  <c r="J28" i="5" s="1"/>
  <c r="H30" i="5"/>
  <c r="L30" i="5"/>
  <c r="M30" i="6"/>
  <c r="I30" i="6"/>
  <c r="E30" i="6"/>
  <c r="D41" i="6"/>
  <c r="E21" i="5"/>
  <c r="F13" i="7"/>
  <c r="E16" i="7"/>
  <c r="I40" i="6"/>
  <c r="L40" i="6"/>
  <c r="I15" i="5"/>
  <c r="I16" i="5" s="1"/>
  <c r="I21" i="5" s="1"/>
  <c r="I10" i="5"/>
  <c r="I28" i="5" s="1"/>
  <c r="F27" i="5"/>
  <c r="G30" i="5"/>
  <c r="H16" i="5"/>
  <c r="H21" i="5" s="1"/>
  <c r="H33" i="5" s="1"/>
  <c r="H38" i="5" s="1"/>
  <c r="J18" i="8" s="1"/>
  <c r="F22" i="5"/>
  <c r="N30" i="6"/>
  <c r="J30" i="6"/>
  <c r="F30" i="6"/>
  <c r="P9" i="11"/>
  <c r="P7" i="11"/>
  <c r="P8" i="11"/>
  <c r="L9" i="11"/>
  <c r="L8" i="11"/>
  <c r="L7" i="11"/>
  <c r="O9" i="11"/>
  <c r="O7" i="11"/>
  <c r="O8" i="11"/>
  <c r="K9" i="11"/>
  <c r="K8" i="11"/>
  <c r="K7" i="11"/>
  <c r="N9" i="11"/>
  <c r="N7" i="11"/>
  <c r="N8" i="11"/>
  <c r="J7" i="11"/>
  <c r="J8" i="11"/>
  <c r="J9" i="11"/>
  <c r="Q9" i="11"/>
  <c r="Q7" i="11"/>
  <c r="Q8" i="11"/>
  <c r="M9" i="11"/>
  <c r="M8" i="11"/>
  <c r="M7" i="11"/>
  <c r="I9" i="11"/>
  <c r="I8" i="11"/>
  <c r="E10" i="8"/>
  <c r="P10" i="8"/>
  <c r="R12" i="8"/>
  <c r="D24" i="8"/>
  <c r="E23" i="8"/>
  <c r="F24" i="8"/>
  <c r="S25" i="8"/>
  <c r="R24" i="8"/>
  <c r="Q10" i="8"/>
  <c r="Q11" i="8"/>
  <c r="D25" i="8"/>
  <c r="F11" i="8"/>
  <c r="D10" i="8"/>
  <c r="R10" i="8"/>
  <c r="P16" i="8"/>
  <c r="Q23" i="8"/>
  <c r="E12" i="8"/>
  <c r="D9" i="8"/>
  <c r="S12" i="8"/>
  <c r="F18" i="8"/>
  <c r="E18" i="8"/>
  <c r="D17" i="8"/>
  <c r="G25" i="8"/>
  <c r="R9" i="8"/>
  <c r="O9" i="8"/>
  <c r="D11" i="8"/>
  <c r="Q9" i="8"/>
  <c r="S11" i="8"/>
  <c r="Q16" i="8"/>
  <c r="D16" i="8"/>
  <c r="R16" i="8"/>
  <c r="S16" i="8"/>
  <c r="S19" i="8" s="1"/>
  <c r="Q17" i="8"/>
  <c r="E17" i="8"/>
  <c r="R17" i="8"/>
  <c r="P17" i="8"/>
  <c r="S22" i="8"/>
  <c r="O22" i="8"/>
  <c r="R22" i="8"/>
  <c r="D22" i="8"/>
  <c r="Q22" i="8"/>
  <c r="D12" i="8"/>
  <c r="S9" i="8"/>
  <c r="E11" i="8"/>
  <c r="F12" i="8"/>
  <c r="O16" i="8"/>
  <c r="R25" i="8"/>
  <c r="F25" i="8"/>
  <c r="E25" i="8"/>
  <c r="P22" i="8"/>
  <c r="S24" i="8"/>
  <c r="S23" i="8"/>
  <c r="D23" i="8"/>
  <c r="E24" i="8"/>
  <c r="G21" i="7"/>
  <c r="H8" i="7"/>
  <c r="F21" i="7"/>
  <c r="G22" i="7"/>
  <c r="H9" i="7"/>
  <c r="G10" i="5"/>
  <c r="G28" i="5" s="1"/>
  <c r="G21" i="5"/>
  <c r="L16" i="5"/>
  <c r="L21" i="5" s="1"/>
  <c r="G16" i="6"/>
  <c r="F17" i="6"/>
  <c r="F38" i="6" s="1"/>
  <c r="F37" i="6"/>
  <c r="K17" i="5"/>
  <c r="K18" i="5" s="1"/>
  <c r="K22" i="5" s="1"/>
  <c r="K33" i="5" s="1"/>
  <c r="K38" i="5" s="1"/>
  <c r="M18" i="8" s="1"/>
  <c r="D33" i="3"/>
  <c r="M33" i="3" s="1"/>
  <c r="D35" i="3"/>
  <c r="E35" i="3" s="1"/>
  <c r="W61" i="8" l="1"/>
  <c r="W62" i="8"/>
  <c r="X62" i="8"/>
  <c r="X61" i="8"/>
  <c r="F21" i="5"/>
  <c r="R5" i="5" s="1"/>
  <c r="R5" i="6"/>
  <c r="F57" i="6"/>
  <c r="F69" i="6"/>
  <c r="N58" i="5"/>
  <c r="P5" i="7"/>
  <c r="E39" i="7"/>
  <c r="E51" i="7"/>
  <c r="T5" i="5"/>
  <c r="H58" i="5"/>
  <c r="H46" i="5"/>
  <c r="L58" i="5"/>
  <c r="L46" i="5"/>
  <c r="E58" i="5"/>
  <c r="E46" i="5"/>
  <c r="J58" i="5"/>
  <c r="J46" i="5"/>
  <c r="I58" i="5"/>
  <c r="I46" i="5"/>
  <c r="G46" i="5"/>
  <c r="G58" i="5"/>
  <c r="M58" i="5"/>
  <c r="M46" i="5"/>
  <c r="P81" i="12"/>
  <c r="J33" i="5"/>
  <c r="J38" i="5" s="1"/>
  <c r="L18" i="8" s="1"/>
  <c r="T81" i="12"/>
  <c r="I33" i="5"/>
  <c r="I38" i="5" s="1"/>
  <c r="K18" i="8" s="1"/>
  <c r="U5" i="5"/>
  <c r="X47" i="12"/>
  <c r="G33" i="5"/>
  <c r="G38" i="5" s="1"/>
  <c r="I18" i="8" s="1"/>
  <c r="S5" i="5"/>
  <c r="E33" i="5"/>
  <c r="Q5" i="5"/>
  <c r="W47" i="12"/>
  <c r="Y44" i="12"/>
  <c r="Y45" i="12"/>
  <c r="Y42" i="12"/>
  <c r="Y46" i="12"/>
  <c r="Y41" i="12"/>
  <c r="Y43" i="12"/>
  <c r="W62" i="12"/>
  <c r="V78" i="12"/>
  <c r="Z23" i="12"/>
  <c r="AA21" i="12"/>
  <c r="O47" i="12"/>
  <c r="O81" i="12"/>
  <c r="U75" i="12"/>
  <c r="V59" i="12"/>
  <c r="V60" i="12"/>
  <c r="U76" i="12"/>
  <c r="V61" i="12"/>
  <c r="U77" i="12"/>
  <c r="V64" i="12"/>
  <c r="U80" i="12"/>
  <c r="W63" i="12"/>
  <c r="V79" i="12"/>
  <c r="G13" i="7"/>
  <c r="F16" i="7"/>
  <c r="G24" i="7"/>
  <c r="K24" i="7"/>
  <c r="H24" i="7"/>
  <c r="M24" i="7"/>
  <c r="F24" i="7"/>
  <c r="J24" i="7"/>
  <c r="N24" i="7"/>
  <c r="L24" i="7"/>
  <c r="E24" i="7"/>
  <c r="E26" i="7" s="1"/>
  <c r="I24" i="7"/>
  <c r="K33" i="3"/>
  <c r="H41" i="6"/>
  <c r="L41" i="6"/>
  <c r="I41" i="6"/>
  <c r="M41" i="6"/>
  <c r="J41" i="6"/>
  <c r="G41" i="6"/>
  <c r="K41" i="6"/>
  <c r="E41" i="6"/>
  <c r="E43" i="6" s="1"/>
  <c r="F41" i="6"/>
  <c r="F43" i="6" s="1"/>
  <c r="F49" i="6" s="1"/>
  <c r="N41" i="6"/>
  <c r="S13" i="8"/>
  <c r="I17" i="8"/>
  <c r="L17" i="8"/>
  <c r="K16" i="8"/>
  <c r="H16" i="8"/>
  <c r="S26" i="8"/>
  <c r="R13" i="8"/>
  <c r="F35" i="3"/>
  <c r="H33" i="3"/>
  <c r="Q19" i="8"/>
  <c r="R26" i="8"/>
  <c r="R19" i="8"/>
  <c r="H35" i="3"/>
  <c r="L33" i="3"/>
  <c r="E33" i="3"/>
  <c r="J33" i="3"/>
  <c r="F33" i="3"/>
  <c r="I33" i="3"/>
  <c r="N33" i="3"/>
  <c r="G33" i="3"/>
  <c r="H21" i="7"/>
  <c r="I8" i="7"/>
  <c r="H22" i="7"/>
  <c r="I9" i="7"/>
  <c r="H16" i="6"/>
  <c r="G17" i="6"/>
  <c r="G38" i="6" s="1"/>
  <c r="G37" i="6"/>
  <c r="G22" i="6"/>
  <c r="G23" i="6" s="1"/>
  <c r="G26" i="6" s="1"/>
  <c r="L17" i="5"/>
  <c r="L18" i="5" s="1"/>
  <c r="L22" i="5" s="1"/>
  <c r="L33" i="5" s="1"/>
  <c r="I35" i="3"/>
  <c r="L35" i="3"/>
  <c r="G35" i="3"/>
  <c r="K35" i="3"/>
  <c r="N35" i="3"/>
  <c r="J35" i="3"/>
  <c r="M35" i="3"/>
  <c r="F33" i="5" l="1"/>
  <c r="F38" i="5" s="1"/>
  <c r="H18" i="8" s="1"/>
  <c r="F46" i="5"/>
  <c r="F58" i="5"/>
  <c r="E61" i="5" s="1"/>
  <c r="H17" i="8"/>
  <c r="E38" i="5"/>
  <c r="G18" i="8" s="1"/>
  <c r="E31" i="7"/>
  <c r="G16" i="8"/>
  <c r="Q5" i="7"/>
  <c r="F39" i="7"/>
  <c r="F51" i="7"/>
  <c r="E49" i="6"/>
  <c r="F23" i="8" s="1"/>
  <c r="E48" i="5"/>
  <c r="E49" i="5"/>
  <c r="E60" i="5"/>
  <c r="S5" i="6"/>
  <c r="G69" i="6"/>
  <c r="G57" i="6"/>
  <c r="F16" i="8"/>
  <c r="J16" i="8"/>
  <c r="K17" i="8"/>
  <c r="K19" i="8" s="1"/>
  <c r="I16" i="8"/>
  <c r="I19" i="8" s="1"/>
  <c r="J17" i="8"/>
  <c r="V5" i="5"/>
  <c r="G17" i="8"/>
  <c r="U81" i="12"/>
  <c r="Y47" i="12"/>
  <c r="F26" i="7"/>
  <c r="F31" i="7" s="1"/>
  <c r="W59" i="12"/>
  <c r="V75" i="12"/>
  <c r="Z45" i="12"/>
  <c r="Z44" i="12"/>
  <c r="Z42" i="12"/>
  <c r="Z41" i="12"/>
  <c r="Z46" i="12"/>
  <c r="Z43" i="12"/>
  <c r="X63" i="12"/>
  <c r="W79" i="12"/>
  <c r="W61" i="12"/>
  <c r="V77" i="12"/>
  <c r="V80" i="12"/>
  <c r="W64" i="12"/>
  <c r="V76" i="12"/>
  <c r="W60" i="12"/>
  <c r="AA23" i="12"/>
  <c r="AB21" i="12"/>
  <c r="X62" i="12"/>
  <c r="W78" i="12"/>
  <c r="L38" i="5"/>
  <c r="G16" i="7"/>
  <c r="H13" i="7"/>
  <c r="H19" i="8"/>
  <c r="E16" i="8"/>
  <c r="E19" i="8" s="1"/>
  <c r="F17" i="8"/>
  <c r="F22" i="8"/>
  <c r="G23" i="8"/>
  <c r="H24" i="8"/>
  <c r="I25" i="8"/>
  <c r="H25" i="8"/>
  <c r="G24" i="8"/>
  <c r="I21" i="7"/>
  <c r="J8" i="7"/>
  <c r="J9" i="7"/>
  <c r="I22" i="7"/>
  <c r="G43" i="6"/>
  <c r="G49" i="6" s="1"/>
  <c r="H37" i="6"/>
  <c r="H22" i="6"/>
  <c r="H23" i="6" s="1"/>
  <c r="I16" i="6"/>
  <c r="H17" i="6"/>
  <c r="M17" i="5"/>
  <c r="M18" i="5" s="1"/>
  <c r="M22" i="5" s="1"/>
  <c r="M33" i="5" s="1"/>
  <c r="M38" i="5" s="1"/>
  <c r="F19" i="8" l="1"/>
  <c r="E22" i="8"/>
  <c r="E26" i="8" s="1"/>
  <c r="G39" i="7"/>
  <c r="G51" i="7"/>
  <c r="G19" i="8"/>
  <c r="J19" i="8"/>
  <c r="G26" i="7"/>
  <c r="G31" i="7" s="1"/>
  <c r="R5" i="7"/>
  <c r="X64" i="12"/>
  <c r="W80" i="12"/>
  <c r="Y63" i="12"/>
  <c r="X79" i="12"/>
  <c r="Z47" i="12"/>
  <c r="X78" i="12"/>
  <c r="Y62" i="12"/>
  <c r="AA44" i="12"/>
  <c r="AA45" i="12"/>
  <c r="AA46" i="12"/>
  <c r="AA41" i="12"/>
  <c r="AA42" i="12"/>
  <c r="AA43" i="12"/>
  <c r="X59" i="12"/>
  <c r="W75" i="12"/>
  <c r="AC21" i="12"/>
  <c r="AC23" i="12" s="1"/>
  <c r="AB23" i="12"/>
  <c r="X60" i="12"/>
  <c r="W76" i="12"/>
  <c r="W77" i="12"/>
  <c r="X61" i="12"/>
  <c r="V81" i="12"/>
  <c r="M16" i="8"/>
  <c r="N17" i="8"/>
  <c r="O18" i="8"/>
  <c r="I13" i="7"/>
  <c r="H16" i="7"/>
  <c r="N18" i="8"/>
  <c r="M17" i="8"/>
  <c r="L16" i="8"/>
  <c r="L19" i="8" s="1"/>
  <c r="G22" i="8"/>
  <c r="G26" i="8" s="1"/>
  <c r="I24" i="8"/>
  <c r="J25" i="8"/>
  <c r="H23" i="8"/>
  <c r="F26" i="8"/>
  <c r="K8" i="7"/>
  <c r="J21" i="7"/>
  <c r="K9" i="7"/>
  <c r="J22" i="7"/>
  <c r="H38" i="6"/>
  <c r="H26" i="6"/>
  <c r="I22" i="6"/>
  <c r="I23" i="6" s="1"/>
  <c r="I37" i="6"/>
  <c r="I17" i="6"/>
  <c r="J16" i="6"/>
  <c r="N17" i="5"/>
  <c r="N18" i="5" s="1"/>
  <c r="N22" i="5" s="1"/>
  <c r="N33" i="5" s="1"/>
  <c r="E35" i="5" s="1"/>
  <c r="M8" i="9" s="1"/>
  <c r="E36" i="5" l="1"/>
  <c r="M9" i="9" s="1"/>
  <c r="H39" i="7"/>
  <c r="H51" i="7"/>
  <c r="T5" i="6"/>
  <c r="H57" i="6"/>
  <c r="H69" i="6"/>
  <c r="H26" i="7"/>
  <c r="S5" i="7"/>
  <c r="AA47" i="12"/>
  <c r="Y61" i="12"/>
  <c r="X77" i="12"/>
  <c r="AB44" i="12"/>
  <c r="AB45" i="12"/>
  <c r="AB42" i="12"/>
  <c r="P51" i="12" s="1"/>
  <c r="AB46" i="12"/>
  <c r="AB41" i="12"/>
  <c r="AB43" i="12"/>
  <c r="AC44" i="12"/>
  <c r="AC45" i="12"/>
  <c r="AC42" i="12"/>
  <c r="AC46" i="12"/>
  <c r="AC41" i="12"/>
  <c r="P50" i="12" s="1"/>
  <c r="AC43" i="12"/>
  <c r="Y64" i="12"/>
  <c r="X80" i="12"/>
  <c r="Y79" i="12"/>
  <c r="Z63" i="12"/>
  <c r="W81" i="12"/>
  <c r="Z62" i="12"/>
  <c r="Y78" i="12"/>
  <c r="M19" i="8"/>
  <c r="Y60" i="12"/>
  <c r="X76" i="12"/>
  <c r="Y59" i="12"/>
  <c r="X75" i="12"/>
  <c r="I16" i="7"/>
  <c r="J13" i="7"/>
  <c r="N38" i="5"/>
  <c r="M10" i="9"/>
  <c r="M11" i="9" s="1"/>
  <c r="L8" i="7"/>
  <c r="K21" i="7"/>
  <c r="L9" i="7"/>
  <c r="K22" i="7"/>
  <c r="H43" i="6"/>
  <c r="J22" i="6"/>
  <c r="J23" i="6" s="1"/>
  <c r="J37" i="6"/>
  <c r="K16" i="6"/>
  <c r="J17" i="6"/>
  <c r="I26" i="6"/>
  <c r="I38" i="6"/>
  <c r="H31" i="7" l="1"/>
  <c r="I39" i="7"/>
  <c r="I51" i="7"/>
  <c r="U5" i="6"/>
  <c r="I69" i="6"/>
  <c r="I57" i="6"/>
  <c r="P55" i="12"/>
  <c r="O51" i="12"/>
  <c r="O50" i="12"/>
  <c r="I26" i="7"/>
  <c r="I31" i="7" s="1"/>
  <c r="T5" i="7"/>
  <c r="P53" i="12"/>
  <c r="Z61" i="12"/>
  <c r="Y77" i="12"/>
  <c r="X81" i="12"/>
  <c r="AA62" i="12"/>
  <c r="Z78" i="12"/>
  <c r="AA63" i="12"/>
  <c r="Z79" i="12"/>
  <c r="O54" i="12"/>
  <c r="P54" i="12"/>
  <c r="P52" i="12"/>
  <c r="O52" i="12"/>
  <c r="Z60" i="12"/>
  <c r="Y76" i="12"/>
  <c r="Y75" i="12"/>
  <c r="Z59" i="12"/>
  <c r="Z64" i="12"/>
  <c r="Y80" i="12"/>
  <c r="AC47" i="12"/>
  <c r="AB47" i="12"/>
  <c r="O53" i="12"/>
  <c r="O55" i="12"/>
  <c r="O17" i="8"/>
  <c r="O19" i="8" s="1"/>
  <c r="N16" i="8"/>
  <c r="N19" i="8" s="1"/>
  <c r="P18" i="8"/>
  <c r="P19" i="8" s="1"/>
  <c r="J16" i="7"/>
  <c r="K13" i="7"/>
  <c r="H49" i="6"/>
  <c r="M8" i="7"/>
  <c r="L21" i="7"/>
  <c r="L22" i="7"/>
  <c r="M9" i="7"/>
  <c r="J26" i="6"/>
  <c r="J38" i="6"/>
  <c r="K22" i="6"/>
  <c r="K23" i="6" s="1"/>
  <c r="K37" i="6"/>
  <c r="L16" i="6"/>
  <c r="K17" i="6"/>
  <c r="I43" i="6"/>
  <c r="I49" i="6" s="1"/>
  <c r="J51" i="7" l="1"/>
  <c r="J39" i="7"/>
  <c r="V5" i="6"/>
  <c r="W5" i="6" s="1"/>
  <c r="J69" i="6"/>
  <c r="J57" i="6"/>
  <c r="J26" i="7"/>
  <c r="J31" i="7" s="1"/>
  <c r="U5" i="7"/>
  <c r="V5" i="7" s="1"/>
  <c r="AA59" i="12"/>
  <c r="Z75" i="12"/>
  <c r="Y81" i="12"/>
  <c r="AB63" i="12"/>
  <c r="AA79" i="12"/>
  <c r="Z80" i="12"/>
  <c r="AA64" i="12"/>
  <c r="P56" i="12"/>
  <c r="O56" i="12"/>
  <c r="Z76" i="12"/>
  <c r="AA60" i="12"/>
  <c r="AB62" i="12"/>
  <c r="AA78" i="12"/>
  <c r="AA61" i="12"/>
  <c r="Z77" i="12"/>
  <c r="L13" i="7"/>
  <c r="K16" i="7"/>
  <c r="J23" i="8"/>
  <c r="L25" i="8"/>
  <c r="I22" i="8"/>
  <c r="K24" i="8"/>
  <c r="K25" i="8"/>
  <c r="J24" i="8"/>
  <c r="I23" i="8"/>
  <c r="H22" i="8"/>
  <c r="H26" i="8" s="1"/>
  <c r="N8" i="7"/>
  <c r="N21" i="7" s="1"/>
  <c r="M21" i="7"/>
  <c r="M22" i="7"/>
  <c r="N9" i="7"/>
  <c r="N22" i="7" s="1"/>
  <c r="K38" i="6"/>
  <c r="K26" i="6"/>
  <c r="L37" i="6"/>
  <c r="L22" i="6"/>
  <c r="L23" i="6" s="1"/>
  <c r="L17" i="6"/>
  <c r="M16" i="6"/>
  <c r="J43" i="6"/>
  <c r="K26" i="7" l="1"/>
  <c r="K31" i="7" s="1"/>
  <c r="K51" i="7"/>
  <c r="K39" i="7"/>
  <c r="J49" i="6"/>
  <c r="L24" i="8" s="1"/>
  <c r="K43" i="6"/>
  <c r="K49" i="6" s="1"/>
  <c r="K22" i="8" s="1"/>
  <c r="K57" i="6"/>
  <c r="K69" i="6"/>
  <c r="AB78" i="12"/>
  <c r="AC62" i="12"/>
  <c r="AC78" i="12" s="1"/>
  <c r="AC63" i="12"/>
  <c r="AC79" i="12" s="1"/>
  <c r="AB79" i="12"/>
  <c r="AB60" i="12"/>
  <c r="AA76" i="12"/>
  <c r="AB64" i="12"/>
  <c r="AA80" i="12"/>
  <c r="AA77" i="12"/>
  <c r="AB61" i="12"/>
  <c r="Z81" i="12"/>
  <c r="AB59" i="12"/>
  <c r="AA75" i="12"/>
  <c r="M13" i="7"/>
  <c r="L16" i="7"/>
  <c r="I26" i="8"/>
  <c r="M37" i="6"/>
  <c r="M22" i="6"/>
  <c r="M23" i="6" s="1"/>
  <c r="M17" i="6"/>
  <c r="N16" i="6"/>
  <c r="L38" i="6"/>
  <c r="L26" i="6"/>
  <c r="K23" i="8" l="1"/>
  <c r="K26" i="8" s="1"/>
  <c r="M25" i="8"/>
  <c r="J22" i="8"/>
  <c r="J26" i="8" s="1"/>
  <c r="L26" i="7"/>
  <c r="L31" i="7" s="1"/>
  <c r="L51" i="7"/>
  <c r="L39" i="7"/>
  <c r="M24" i="8"/>
  <c r="L23" i="8"/>
  <c r="N25" i="8"/>
  <c r="L43" i="6"/>
  <c r="L49" i="6" s="1"/>
  <c r="O25" i="8" s="1"/>
  <c r="L69" i="6"/>
  <c r="L57" i="6"/>
  <c r="AA81" i="12"/>
  <c r="AC59" i="12"/>
  <c r="AC75" i="12" s="1"/>
  <c r="AB75" i="12"/>
  <c r="AC64" i="12"/>
  <c r="AC80" i="12" s="1"/>
  <c r="AB80" i="12"/>
  <c r="P88" i="12"/>
  <c r="O88" i="12"/>
  <c r="AC60" i="12"/>
  <c r="AC76" i="12" s="1"/>
  <c r="AB76" i="12"/>
  <c r="AC61" i="12"/>
  <c r="AC77" i="12" s="1"/>
  <c r="AB77" i="12"/>
  <c r="O87" i="12"/>
  <c r="P87" i="12"/>
  <c r="N13" i="7"/>
  <c r="N16" i="7" s="1"/>
  <c r="M16" i="7"/>
  <c r="N37" i="6"/>
  <c r="N22" i="6"/>
  <c r="N23" i="6" s="1"/>
  <c r="N17" i="6"/>
  <c r="M26" i="6"/>
  <c r="M38" i="6"/>
  <c r="M26" i="7" l="1"/>
  <c r="M31" i="7" s="1"/>
  <c r="M51" i="7"/>
  <c r="M39" i="7"/>
  <c r="N26" i="7"/>
  <c r="O10" i="9" s="1"/>
  <c r="O11" i="9" s="1"/>
  <c r="N39" i="7"/>
  <c r="N51" i="7"/>
  <c r="M23" i="8"/>
  <c r="L22" i="8"/>
  <c r="L26" i="8" s="1"/>
  <c r="N24" i="8"/>
  <c r="M69" i="6"/>
  <c r="M57" i="6"/>
  <c r="P85" i="12"/>
  <c r="O85" i="12"/>
  <c r="O89" i="12"/>
  <c r="P89" i="12"/>
  <c r="AB81" i="12"/>
  <c r="AC81" i="12"/>
  <c r="P84" i="12"/>
  <c r="O84" i="12"/>
  <c r="O86" i="12"/>
  <c r="P86" i="12"/>
  <c r="M43" i="6"/>
  <c r="M49" i="6" s="1"/>
  <c r="N23" i="8" s="1"/>
  <c r="N38" i="6"/>
  <c r="N26" i="6"/>
  <c r="E28" i="7" l="1"/>
  <c r="O8" i="9" s="1"/>
  <c r="E42" i="7"/>
  <c r="N31" i="7"/>
  <c r="E29" i="7"/>
  <c r="O9" i="9" s="1"/>
  <c r="E53" i="7"/>
  <c r="E54" i="7"/>
  <c r="E41" i="7"/>
  <c r="N43" i="6"/>
  <c r="N49" i="6" s="1"/>
  <c r="N69" i="6"/>
  <c r="N57" i="6"/>
  <c r="O90" i="12"/>
  <c r="P90" i="12"/>
  <c r="P25" i="8"/>
  <c r="M22" i="8"/>
  <c r="M26" i="8" s="1"/>
  <c r="O24" i="8"/>
  <c r="E45" i="6"/>
  <c r="N8" i="9" s="1"/>
  <c r="H12" i="3"/>
  <c r="H32" i="3" s="1"/>
  <c r="G11" i="3"/>
  <c r="H11" i="3"/>
  <c r="I11" i="3"/>
  <c r="J11" i="3"/>
  <c r="K11" i="3"/>
  <c r="L11" i="3"/>
  <c r="M11" i="3"/>
  <c r="N11" i="3"/>
  <c r="R91" i="4"/>
  <c r="Q91" i="4"/>
  <c r="P91" i="4"/>
  <c r="O91" i="4"/>
  <c r="N91" i="4"/>
  <c r="M91" i="4"/>
  <c r="R88" i="4"/>
  <c r="Q88" i="4"/>
  <c r="P88" i="4"/>
  <c r="O88" i="4"/>
  <c r="N88" i="4"/>
  <c r="M88" i="4"/>
  <c r="R87" i="4"/>
  <c r="Q87" i="4"/>
  <c r="P87" i="4"/>
  <c r="O87" i="4"/>
  <c r="O89" i="4" s="1"/>
  <c r="N87" i="4"/>
  <c r="M87" i="4"/>
  <c r="P84" i="4"/>
  <c r="J84" i="4"/>
  <c r="R84" i="4" s="1"/>
  <c r="I84" i="4"/>
  <c r="Q84" i="4" s="1"/>
  <c r="H84" i="4"/>
  <c r="G84" i="4"/>
  <c r="O84" i="4" s="1"/>
  <c r="F84" i="4"/>
  <c r="N84" i="4" s="1"/>
  <c r="E84" i="4"/>
  <c r="M84" i="4" s="1"/>
  <c r="K82" i="4"/>
  <c r="J82" i="4"/>
  <c r="R82" i="4" s="1"/>
  <c r="I82" i="4"/>
  <c r="Q82" i="4" s="1"/>
  <c r="H82" i="4"/>
  <c r="P82" i="4" s="1"/>
  <c r="G82" i="4"/>
  <c r="O82" i="4" s="1"/>
  <c r="F82" i="4"/>
  <c r="N82" i="4" s="1"/>
  <c r="E82" i="4"/>
  <c r="M82" i="4" s="1"/>
  <c r="P81" i="4"/>
  <c r="P79" i="4" s="1"/>
  <c r="J81" i="4"/>
  <c r="I81" i="4"/>
  <c r="H81" i="4"/>
  <c r="H28" i="8" s="1"/>
  <c r="G81" i="4"/>
  <c r="F81" i="4"/>
  <c r="E81" i="4"/>
  <c r="M77" i="4"/>
  <c r="J77" i="4"/>
  <c r="R77" i="4" s="1"/>
  <c r="I77" i="4"/>
  <c r="Q77" i="4" s="1"/>
  <c r="H77" i="4"/>
  <c r="P77" i="4" s="1"/>
  <c r="G77" i="4"/>
  <c r="O77" i="4" s="1"/>
  <c r="F77" i="4"/>
  <c r="N77" i="4" s="1"/>
  <c r="E77" i="4"/>
  <c r="J74" i="4"/>
  <c r="R74" i="4" s="1"/>
  <c r="I74" i="4"/>
  <c r="Q74" i="4" s="1"/>
  <c r="H74" i="4"/>
  <c r="G74" i="4"/>
  <c r="F74" i="4"/>
  <c r="N74" i="4" s="1"/>
  <c r="E74" i="4"/>
  <c r="M74" i="4" s="1"/>
  <c r="Q69" i="4"/>
  <c r="J69" i="4"/>
  <c r="R69" i="4" s="1"/>
  <c r="I69" i="4"/>
  <c r="H69" i="4"/>
  <c r="P69" i="4" s="1"/>
  <c r="G69" i="4"/>
  <c r="O69" i="4" s="1"/>
  <c r="F69" i="4"/>
  <c r="N69" i="4" s="1"/>
  <c r="E69" i="4"/>
  <c r="P67" i="4"/>
  <c r="J67" i="4"/>
  <c r="R67" i="4" s="1"/>
  <c r="I67" i="4"/>
  <c r="Q67" i="4" s="1"/>
  <c r="H67" i="4"/>
  <c r="P65" i="4"/>
  <c r="J65" i="4"/>
  <c r="I65" i="4"/>
  <c r="Q65" i="4" s="1"/>
  <c r="H65" i="4"/>
  <c r="H66" i="4" s="1"/>
  <c r="P66" i="4" s="1"/>
  <c r="F65" i="4"/>
  <c r="R63" i="4"/>
  <c r="N63" i="4"/>
  <c r="M63" i="4"/>
  <c r="J63" i="4"/>
  <c r="I63" i="4"/>
  <c r="Q63" i="4" s="1"/>
  <c r="H63" i="4"/>
  <c r="P63" i="4" s="1"/>
  <c r="G63" i="4"/>
  <c r="O63" i="4" s="1"/>
  <c r="F63" i="4"/>
  <c r="E63" i="4"/>
  <c r="R62" i="4"/>
  <c r="Q62" i="4"/>
  <c r="P62" i="4"/>
  <c r="G62" i="4"/>
  <c r="F62" i="4"/>
  <c r="N62" i="4" s="1"/>
  <c r="E62" i="4"/>
  <c r="M62" i="4" s="1"/>
  <c r="J58" i="4"/>
  <c r="R58" i="4" s="1"/>
  <c r="I58" i="4"/>
  <c r="Q58" i="4" s="1"/>
  <c r="H58" i="4"/>
  <c r="P58" i="4" s="1"/>
  <c r="G58" i="4"/>
  <c r="O58" i="4" s="1"/>
  <c r="F58" i="4"/>
  <c r="N58" i="4" s="1"/>
  <c r="E58" i="4"/>
  <c r="F54" i="4"/>
  <c r="R52" i="4"/>
  <c r="J52" i="4"/>
  <c r="I52" i="4"/>
  <c r="Q52" i="4" s="1"/>
  <c r="H52" i="4"/>
  <c r="P52" i="4" s="1"/>
  <c r="G52" i="4"/>
  <c r="O52" i="4" s="1"/>
  <c r="F52" i="4"/>
  <c r="N52" i="4" s="1"/>
  <c r="E52" i="4"/>
  <c r="P51" i="4"/>
  <c r="J51" i="4"/>
  <c r="I51" i="4"/>
  <c r="I56" i="4" s="1"/>
  <c r="Q56" i="4" s="1"/>
  <c r="H51" i="4"/>
  <c r="H56" i="4" s="1"/>
  <c r="P56" i="4" s="1"/>
  <c r="G51" i="4"/>
  <c r="F51" i="4"/>
  <c r="N51" i="4" s="1"/>
  <c r="E51" i="4"/>
  <c r="E56" i="4" s="1"/>
  <c r="M56" i="4" s="1"/>
  <c r="R50" i="4"/>
  <c r="Q50" i="4"/>
  <c r="J50" i="4"/>
  <c r="J54" i="4" s="1"/>
  <c r="I50" i="4"/>
  <c r="I54" i="4" s="1"/>
  <c r="Q54" i="4" s="1"/>
  <c r="H50" i="4"/>
  <c r="G50" i="4"/>
  <c r="O50" i="4" s="1"/>
  <c r="F50" i="4"/>
  <c r="N50" i="4" s="1"/>
  <c r="E50" i="4"/>
  <c r="R49" i="4"/>
  <c r="M49" i="4"/>
  <c r="S49" i="4" s="1"/>
  <c r="I49" i="4"/>
  <c r="Q49" i="4" s="1"/>
  <c r="H49" i="4"/>
  <c r="P49" i="4" s="1"/>
  <c r="G49" i="4"/>
  <c r="O49" i="4" s="1"/>
  <c r="F49" i="4"/>
  <c r="N49" i="4" s="1"/>
  <c r="L48" i="4"/>
  <c r="I48" i="4"/>
  <c r="Q48" i="4" s="1"/>
  <c r="H48" i="4"/>
  <c r="P48" i="4" s="1"/>
  <c r="G48" i="4"/>
  <c r="O48" i="4" s="1"/>
  <c r="F48" i="4"/>
  <c r="N48" i="4" s="1"/>
  <c r="R47" i="4"/>
  <c r="P47" i="4"/>
  <c r="M47" i="4"/>
  <c r="I47" i="4"/>
  <c r="Q47" i="4" s="1"/>
  <c r="H47" i="4"/>
  <c r="G47" i="4"/>
  <c r="O47" i="4" s="1"/>
  <c r="F47" i="4"/>
  <c r="N47" i="4" s="1"/>
  <c r="R46" i="4"/>
  <c r="P46" i="4"/>
  <c r="M46" i="4"/>
  <c r="I46" i="4"/>
  <c r="Q46" i="4" s="1"/>
  <c r="H46" i="4"/>
  <c r="G46" i="4"/>
  <c r="O46" i="4" s="1"/>
  <c r="F46" i="4"/>
  <c r="N46" i="4" s="1"/>
  <c r="K44" i="4"/>
  <c r="J41" i="4"/>
  <c r="R41" i="4" s="1"/>
  <c r="I41" i="4"/>
  <c r="Q41" i="4" s="1"/>
  <c r="H41" i="4"/>
  <c r="P41" i="4" s="1"/>
  <c r="F41" i="4"/>
  <c r="N41" i="4" s="1"/>
  <c r="R39" i="4"/>
  <c r="J39" i="4"/>
  <c r="I39" i="4"/>
  <c r="Q39" i="4" s="1"/>
  <c r="H39" i="4"/>
  <c r="P39" i="4" s="1"/>
  <c r="F39" i="4"/>
  <c r="N39" i="4" s="1"/>
  <c r="J37" i="4"/>
  <c r="J38" i="4" s="1"/>
  <c r="R38" i="4" s="1"/>
  <c r="I37" i="4"/>
  <c r="H37" i="4"/>
  <c r="P37" i="4" s="1"/>
  <c r="F37" i="4"/>
  <c r="F38" i="4" s="1"/>
  <c r="N38" i="4" s="1"/>
  <c r="R35" i="4"/>
  <c r="Q35" i="4"/>
  <c r="P35" i="4"/>
  <c r="G35" i="4"/>
  <c r="O35" i="4" s="1"/>
  <c r="F35" i="4"/>
  <c r="N35" i="4" s="1"/>
  <c r="E35" i="4"/>
  <c r="E41" i="4" s="1"/>
  <c r="M41" i="4" s="1"/>
  <c r="K33" i="4"/>
  <c r="R30" i="4"/>
  <c r="M30" i="4"/>
  <c r="I30" i="4"/>
  <c r="Q30" i="4" s="1"/>
  <c r="H30" i="4"/>
  <c r="P30" i="4" s="1"/>
  <c r="G30" i="4"/>
  <c r="O30" i="4" s="1"/>
  <c r="F30" i="4"/>
  <c r="N30" i="4" s="1"/>
  <c r="R29" i="4"/>
  <c r="M29" i="4"/>
  <c r="S29" i="4" s="1"/>
  <c r="I29" i="4"/>
  <c r="Q29" i="4" s="1"/>
  <c r="H29" i="4"/>
  <c r="P29" i="4" s="1"/>
  <c r="G29" i="4"/>
  <c r="O29" i="4" s="1"/>
  <c r="F29" i="4"/>
  <c r="N29" i="4" s="1"/>
  <c r="R27" i="4"/>
  <c r="Q27" i="4"/>
  <c r="P27" i="4"/>
  <c r="O27" i="4"/>
  <c r="S27" i="4" s="1"/>
  <c r="N27" i="4"/>
  <c r="M27" i="4"/>
  <c r="K27" i="4"/>
  <c r="R26" i="4"/>
  <c r="M26" i="4"/>
  <c r="R25" i="4"/>
  <c r="P25" i="4"/>
  <c r="M25" i="4"/>
  <c r="F25" i="4"/>
  <c r="N25" i="4" s="1"/>
  <c r="R23" i="4"/>
  <c r="Q23" i="4"/>
  <c r="P23" i="4"/>
  <c r="O23" i="4"/>
  <c r="S23" i="4" s="1"/>
  <c r="N23" i="4"/>
  <c r="M23" i="4"/>
  <c r="K23" i="4"/>
  <c r="R22" i="4"/>
  <c r="M22" i="4"/>
  <c r="I22" i="4"/>
  <c r="Q22" i="4" s="1"/>
  <c r="H22" i="4"/>
  <c r="P22" i="4" s="1"/>
  <c r="G22" i="4"/>
  <c r="O22" i="4" s="1"/>
  <c r="F22" i="4"/>
  <c r="N22" i="4" s="1"/>
  <c r="R21" i="4"/>
  <c r="Q21" i="4"/>
  <c r="P21" i="4"/>
  <c r="O21" i="4"/>
  <c r="N21" i="4"/>
  <c r="M21" i="4"/>
  <c r="K21" i="4"/>
  <c r="R20" i="4"/>
  <c r="M20" i="4"/>
  <c r="M18" i="4" s="1"/>
  <c r="I20" i="4"/>
  <c r="Q20" i="4" s="1"/>
  <c r="H20" i="4"/>
  <c r="H25" i="4" s="1"/>
  <c r="H26" i="4" s="1"/>
  <c r="P26" i="4" s="1"/>
  <c r="G20" i="4"/>
  <c r="G25" i="4" s="1"/>
  <c r="F20" i="4"/>
  <c r="N20" i="4" s="1"/>
  <c r="R18" i="4"/>
  <c r="K18" i="4"/>
  <c r="R16" i="4"/>
  <c r="Q16" i="4"/>
  <c r="M16" i="4"/>
  <c r="H16" i="4"/>
  <c r="G16" i="4"/>
  <c r="O16" i="4" s="1"/>
  <c r="F16" i="4"/>
  <c r="N16" i="4" s="1"/>
  <c r="R15" i="4"/>
  <c r="Q15" i="4"/>
  <c r="M15" i="4"/>
  <c r="H15" i="4"/>
  <c r="P15" i="4" s="1"/>
  <c r="G15" i="4"/>
  <c r="O15" i="4" s="1"/>
  <c r="F15" i="4"/>
  <c r="N15" i="4" s="1"/>
  <c r="R13" i="4"/>
  <c r="Q13" i="4"/>
  <c r="P13" i="4"/>
  <c r="O13" i="4"/>
  <c r="N13" i="4"/>
  <c r="M13" i="4"/>
  <c r="K13" i="4"/>
  <c r="R12" i="4"/>
  <c r="Q12" i="4"/>
  <c r="M12" i="4"/>
  <c r="H12" i="4"/>
  <c r="P12" i="4" s="1"/>
  <c r="G12" i="4"/>
  <c r="O12" i="4" s="1"/>
  <c r="R11" i="4"/>
  <c r="Q11" i="4"/>
  <c r="P11" i="4"/>
  <c r="M11" i="4"/>
  <c r="H11" i="4"/>
  <c r="G11" i="4"/>
  <c r="O11" i="4" s="1"/>
  <c r="F11" i="4"/>
  <c r="F12" i="4" s="1"/>
  <c r="R9" i="4"/>
  <c r="Q9" i="4"/>
  <c r="P9" i="4"/>
  <c r="O9" i="4"/>
  <c r="S9" i="4" s="1"/>
  <c r="N9" i="4"/>
  <c r="M9" i="4"/>
  <c r="K9" i="4"/>
  <c r="R8" i="4"/>
  <c r="Q8" i="4"/>
  <c r="O8" i="4"/>
  <c r="M8" i="4"/>
  <c r="H8" i="4"/>
  <c r="P8" i="4" s="1"/>
  <c r="G8" i="4"/>
  <c r="F8" i="4"/>
  <c r="N8" i="4" s="1"/>
  <c r="R7" i="4"/>
  <c r="Q7" i="4"/>
  <c r="P7" i="4"/>
  <c r="O7" i="4"/>
  <c r="N7" i="4"/>
  <c r="M7" i="4"/>
  <c r="K7" i="4"/>
  <c r="R6" i="4"/>
  <c r="Q6" i="4"/>
  <c r="M6" i="4"/>
  <c r="H6" i="4"/>
  <c r="K6" i="4" s="1"/>
  <c r="G6" i="4"/>
  <c r="O6" i="4" s="1"/>
  <c r="F6" i="4"/>
  <c r="N6" i="4" s="1"/>
  <c r="K4" i="4"/>
  <c r="N10" i="9" l="1"/>
  <c r="N11" i="9" s="1"/>
  <c r="E46" i="6"/>
  <c r="N9" i="9" s="1"/>
  <c r="E60" i="6"/>
  <c r="E59" i="6"/>
  <c r="E72" i="6"/>
  <c r="E71" i="6"/>
  <c r="F36" i="8"/>
  <c r="P6" i="4"/>
  <c r="E75" i="4"/>
  <c r="M75" i="4" s="1"/>
  <c r="M81" i="4"/>
  <c r="E28" i="8"/>
  <c r="M4" i="4"/>
  <c r="S15" i="4"/>
  <c r="K16" i="4"/>
  <c r="S21" i="4"/>
  <c r="I25" i="4"/>
  <c r="K25" i="4" s="1"/>
  <c r="K35" i="4"/>
  <c r="R37" i="4"/>
  <c r="F75" i="4"/>
  <c r="N75" i="4" s="1"/>
  <c r="N72" i="4" s="1"/>
  <c r="Q4" i="4"/>
  <c r="S13" i="4"/>
  <c r="J36" i="8"/>
  <c r="O20" i="4"/>
  <c r="O18" i="4" s="1"/>
  <c r="H38" i="4"/>
  <c r="P38" i="4" s="1"/>
  <c r="P33" i="4" s="1"/>
  <c r="G41" i="4"/>
  <c r="O41" i="4" s="1"/>
  <c r="G36" i="8" s="1"/>
  <c r="G54" i="4"/>
  <c r="F67" i="4"/>
  <c r="N67" i="4" s="1"/>
  <c r="I75" i="4"/>
  <c r="Q75" i="4" s="1"/>
  <c r="Q72" i="4" s="1"/>
  <c r="O81" i="4"/>
  <c r="O79" i="4" s="1"/>
  <c r="G28" i="8"/>
  <c r="S84" i="4"/>
  <c r="P89" i="4"/>
  <c r="N89" i="4"/>
  <c r="R89" i="4"/>
  <c r="S91" i="4"/>
  <c r="Q81" i="4"/>
  <c r="Q79" i="4" s="1"/>
  <c r="I28" i="8"/>
  <c r="S7" i="4"/>
  <c r="I36" i="8"/>
  <c r="E67" i="4"/>
  <c r="M67" i="4" s="1"/>
  <c r="N81" i="4"/>
  <c r="N79" i="4" s="1"/>
  <c r="F28" i="8"/>
  <c r="R81" i="4"/>
  <c r="R79" i="4" s="1"/>
  <c r="J28" i="8"/>
  <c r="R4" i="4"/>
  <c r="O4" i="4"/>
  <c r="K11" i="4"/>
  <c r="E36" i="8"/>
  <c r="P20" i="4"/>
  <c r="P18" i="4" s="1"/>
  <c r="E39" i="4"/>
  <c r="E65" i="4"/>
  <c r="I66" i="4"/>
  <c r="Q66" i="4" s="1"/>
  <c r="Q60" i="4" s="1"/>
  <c r="J75" i="4"/>
  <c r="R75" i="4" s="1"/>
  <c r="R72" i="4" s="1"/>
  <c r="D32" i="8"/>
  <c r="F32" i="8"/>
  <c r="G32" i="8"/>
  <c r="E32" i="8"/>
  <c r="H32" i="8"/>
  <c r="I32" i="8"/>
  <c r="J32" i="8"/>
  <c r="K32" i="8"/>
  <c r="L32" i="8"/>
  <c r="M32" i="8"/>
  <c r="N32" i="8"/>
  <c r="O32" i="8"/>
  <c r="Q32" i="8"/>
  <c r="P32" i="8"/>
  <c r="Q89" i="4"/>
  <c r="Q25" i="8"/>
  <c r="Q26" i="8" s="1"/>
  <c r="N22" i="8"/>
  <c r="N26" i="8" s="1"/>
  <c r="O23" i="8"/>
  <c r="O26" i="8" s="1"/>
  <c r="P24" i="8"/>
  <c r="P26" i="8" s="1"/>
  <c r="K18" i="3"/>
  <c r="K19" i="3" s="1"/>
  <c r="K20" i="3" s="1"/>
  <c r="K23" i="3" s="1"/>
  <c r="K31" i="3"/>
  <c r="F18" i="3"/>
  <c r="F19" i="3" s="1"/>
  <c r="F20" i="3" s="1"/>
  <c r="F23" i="3" s="1"/>
  <c r="F31" i="3"/>
  <c r="E20" i="3"/>
  <c r="E23" i="3" s="1"/>
  <c r="E31" i="3"/>
  <c r="G18" i="3"/>
  <c r="G19" i="3" s="1"/>
  <c r="G20" i="3" s="1"/>
  <c r="G23" i="3" s="1"/>
  <c r="G31" i="3"/>
  <c r="J18" i="3"/>
  <c r="J19" i="3" s="1"/>
  <c r="J20" i="3" s="1"/>
  <c r="J23" i="3" s="1"/>
  <c r="J31" i="3"/>
  <c r="M18" i="3"/>
  <c r="M19" i="3" s="1"/>
  <c r="M20" i="3" s="1"/>
  <c r="M23" i="3" s="1"/>
  <c r="M31" i="3"/>
  <c r="I18" i="3"/>
  <c r="I19" i="3" s="1"/>
  <c r="I20" i="3" s="1"/>
  <c r="I23" i="3" s="1"/>
  <c r="I31" i="3"/>
  <c r="E12" i="3"/>
  <c r="E32" i="3" s="1"/>
  <c r="G12" i="3"/>
  <c r="G32" i="3" s="1"/>
  <c r="K12" i="3"/>
  <c r="K32" i="3" s="1"/>
  <c r="N18" i="3"/>
  <c r="N19" i="3" s="1"/>
  <c r="N20" i="3" s="1"/>
  <c r="N23" i="3" s="1"/>
  <c r="N31" i="3"/>
  <c r="L18" i="3"/>
  <c r="L19" i="3" s="1"/>
  <c r="L20" i="3" s="1"/>
  <c r="L23" i="3" s="1"/>
  <c r="L31" i="3"/>
  <c r="H18" i="3"/>
  <c r="H19" i="3" s="1"/>
  <c r="H20" i="3" s="1"/>
  <c r="H23" i="3" s="1"/>
  <c r="H31" i="3"/>
  <c r="L12" i="3"/>
  <c r="L32" i="3" s="1"/>
  <c r="N12" i="3"/>
  <c r="N32" i="3" s="1"/>
  <c r="J12" i="3"/>
  <c r="J32" i="3" s="1"/>
  <c r="F12" i="3"/>
  <c r="F32" i="3" s="1"/>
  <c r="M12" i="3"/>
  <c r="M32" i="3" s="1"/>
  <c r="I12" i="3"/>
  <c r="I32" i="3" s="1"/>
  <c r="S6" i="4"/>
  <c r="K12" i="4"/>
  <c r="N12" i="4"/>
  <c r="S12" i="4" s="1"/>
  <c r="N37" i="4"/>
  <c r="K46" i="4"/>
  <c r="R51" i="4"/>
  <c r="J56" i="4"/>
  <c r="R56" i="4" s="1"/>
  <c r="K52" i="4"/>
  <c r="M52" i="4"/>
  <c r="S52" i="4" s="1"/>
  <c r="K58" i="4"/>
  <c r="M58" i="4"/>
  <c r="S58" i="4" s="1"/>
  <c r="S63" i="4"/>
  <c r="S82" i="4"/>
  <c r="M79" i="4"/>
  <c r="K84" i="4"/>
  <c r="S8" i="4"/>
  <c r="P16" i="4"/>
  <c r="S16" i="4" s="1"/>
  <c r="S30" i="4"/>
  <c r="K30" i="4"/>
  <c r="S46" i="4"/>
  <c r="K47" i="4"/>
  <c r="P50" i="4"/>
  <c r="H54" i="4"/>
  <c r="G56" i="4"/>
  <c r="O56" i="4" s="1"/>
  <c r="O51" i="4"/>
  <c r="K51" i="4"/>
  <c r="F56" i="4"/>
  <c r="G65" i="4"/>
  <c r="O62" i="4"/>
  <c r="K69" i="4"/>
  <c r="M69" i="4"/>
  <c r="S69" i="4" s="1"/>
  <c r="K81" i="4"/>
  <c r="G26" i="4"/>
  <c r="O26" i="4" s="1"/>
  <c r="O25" i="4"/>
  <c r="S22" i="4"/>
  <c r="K22" i="4"/>
  <c r="N33" i="4"/>
  <c r="Q33" i="4"/>
  <c r="E54" i="4"/>
  <c r="K50" i="4"/>
  <c r="M50" i="4"/>
  <c r="G55" i="4"/>
  <c r="O55" i="4" s="1"/>
  <c r="O54" i="4"/>
  <c r="I55" i="4"/>
  <c r="Q55" i="4" s="1"/>
  <c r="K62" i="4"/>
  <c r="G67" i="4"/>
  <c r="O74" i="4"/>
  <c r="G75" i="4"/>
  <c r="O75" i="4" s="1"/>
  <c r="K74" i="4"/>
  <c r="K8" i="4"/>
  <c r="N11" i="4"/>
  <c r="K15" i="4"/>
  <c r="R54" i="4"/>
  <c r="J55" i="4"/>
  <c r="R55" i="4" s="1"/>
  <c r="H75" i="4"/>
  <c r="P75" i="4" s="1"/>
  <c r="P74" i="4"/>
  <c r="P72" i="4" s="1"/>
  <c r="S74" i="4"/>
  <c r="M89" i="4"/>
  <c r="S87" i="4"/>
  <c r="Q37" i="4"/>
  <c r="I38" i="4"/>
  <c r="Q38" i="4" s="1"/>
  <c r="R33" i="4"/>
  <c r="M39" i="4"/>
  <c r="S47" i="4"/>
  <c r="K48" i="4"/>
  <c r="N65" i="4"/>
  <c r="F66" i="4"/>
  <c r="N66" i="4" s="1"/>
  <c r="R65" i="4"/>
  <c r="J66" i="4"/>
  <c r="R66" i="4" s="1"/>
  <c r="K77" i="4"/>
  <c r="K20" i="4"/>
  <c r="F26" i="4"/>
  <c r="K29" i="4"/>
  <c r="M35" i="4"/>
  <c r="E37" i="4"/>
  <c r="R48" i="4"/>
  <c r="M48" i="4"/>
  <c r="S48" i="4" s="1"/>
  <c r="K49" i="4"/>
  <c r="N54" i="4"/>
  <c r="F55" i="4"/>
  <c r="N55" i="4" s="1"/>
  <c r="P60" i="4"/>
  <c r="K63" i="4"/>
  <c r="S77" i="4"/>
  <c r="S88" i="4"/>
  <c r="G37" i="4"/>
  <c r="G39" i="4"/>
  <c r="O39" i="4" s="1"/>
  <c r="M51" i="4"/>
  <c r="Q51" i="4"/>
  <c r="Q44" i="4" s="1"/>
  <c r="H47" i="3" l="1"/>
  <c r="U7" i="3" s="1"/>
  <c r="H55" i="3"/>
  <c r="H67" i="3"/>
  <c r="N47" i="3"/>
  <c r="N67" i="3"/>
  <c r="N55" i="3"/>
  <c r="I47" i="3"/>
  <c r="V7" i="3" s="1"/>
  <c r="I55" i="3"/>
  <c r="I67" i="3"/>
  <c r="J47" i="3"/>
  <c r="J67" i="3"/>
  <c r="J55" i="3"/>
  <c r="E47" i="3"/>
  <c r="R7" i="3" s="1"/>
  <c r="E67" i="3"/>
  <c r="E55" i="3"/>
  <c r="K47" i="3"/>
  <c r="K67" i="3"/>
  <c r="K55" i="3"/>
  <c r="L47" i="3"/>
  <c r="L55" i="3"/>
  <c r="L67" i="3"/>
  <c r="M47" i="3"/>
  <c r="M55" i="3"/>
  <c r="M67" i="3"/>
  <c r="G47" i="3"/>
  <c r="T7" i="3" s="1"/>
  <c r="G67" i="3"/>
  <c r="G55" i="3"/>
  <c r="F47" i="3"/>
  <c r="S7" i="3" s="1"/>
  <c r="F67" i="3"/>
  <c r="F55" i="3"/>
  <c r="S89" i="4"/>
  <c r="K41" i="4"/>
  <c r="S20" i="4"/>
  <c r="S25" i="4"/>
  <c r="S41" i="4"/>
  <c r="L38" i="3"/>
  <c r="L44" i="3" s="1"/>
  <c r="L9" i="8" s="1"/>
  <c r="S30" i="8"/>
  <c r="E30" i="8"/>
  <c r="D30" i="8"/>
  <c r="P30" i="8"/>
  <c r="R30" i="8"/>
  <c r="Q30" i="8"/>
  <c r="F30" i="8"/>
  <c r="G30" i="8"/>
  <c r="H30" i="8"/>
  <c r="I30" i="8"/>
  <c r="J30" i="8"/>
  <c r="K30" i="8"/>
  <c r="L30" i="8"/>
  <c r="M30" i="8"/>
  <c r="O30" i="8"/>
  <c r="N30" i="8"/>
  <c r="H36" i="8"/>
  <c r="R29" i="8"/>
  <c r="D29" i="8"/>
  <c r="O29" i="8"/>
  <c r="S29" i="8"/>
  <c r="P29" i="8"/>
  <c r="Q29" i="8"/>
  <c r="G29" i="8"/>
  <c r="E29" i="8"/>
  <c r="F29" i="8"/>
  <c r="H29" i="8"/>
  <c r="I29" i="8"/>
  <c r="J29" i="8"/>
  <c r="K29" i="8"/>
  <c r="L29" i="8"/>
  <c r="N29" i="8"/>
  <c r="M29" i="8"/>
  <c r="O44" i="4"/>
  <c r="P4" i="4"/>
  <c r="Q25" i="4"/>
  <c r="I26" i="4"/>
  <c r="Q26" i="4" s="1"/>
  <c r="M65" i="4"/>
  <c r="M60" i="4" s="1"/>
  <c r="E66" i="4"/>
  <c r="M66" i="4" s="1"/>
  <c r="K65" i="4"/>
  <c r="S81" i="4"/>
  <c r="S79" i="4" s="1"/>
  <c r="N4" i="4"/>
  <c r="R31" i="8"/>
  <c r="E31" i="8"/>
  <c r="F31" i="8"/>
  <c r="D31" i="8"/>
  <c r="S31" i="8"/>
  <c r="Q31" i="8"/>
  <c r="H31" i="8"/>
  <c r="I31" i="8"/>
  <c r="G31" i="8"/>
  <c r="J31" i="8"/>
  <c r="K31" i="8"/>
  <c r="L31" i="8"/>
  <c r="M31" i="8"/>
  <c r="N31" i="8"/>
  <c r="O31" i="8"/>
  <c r="P31" i="8"/>
  <c r="M38" i="3"/>
  <c r="M44" i="3" s="1"/>
  <c r="G38" i="3"/>
  <c r="G44" i="3" s="1"/>
  <c r="F38" i="3"/>
  <c r="F44" i="3" s="1"/>
  <c r="H38" i="3"/>
  <c r="H44" i="3" s="1"/>
  <c r="N38" i="3"/>
  <c r="N44" i="3" s="1"/>
  <c r="I38" i="3"/>
  <c r="I44" i="3" s="1"/>
  <c r="J38" i="3"/>
  <c r="J44" i="3" s="1"/>
  <c r="E38" i="3"/>
  <c r="K38" i="3"/>
  <c r="K44" i="3" s="1"/>
  <c r="G38" i="4"/>
  <c r="O38" i="4" s="1"/>
  <c r="O37" i="4"/>
  <c r="O33" i="4" s="1"/>
  <c r="R44" i="4"/>
  <c r="R95" i="4" s="1"/>
  <c r="H6" i="11" s="1"/>
  <c r="N26" i="4"/>
  <c r="K26" i="4"/>
  <c r="N60" i="4"/>
  <c r="S50" i="4"/>
  <c r="K75" i="4"/>
  <c r="M37" i="4"/>
  <c r="S37" i="4" s="1"/>
  <c r="E38" i="4"/>
  <c r="K37" i="4"/>
  <c r="S62" i="4"/>
  <c r="K39" i="4"/>
  <c r="O72" i="4"/>
  <c r="S75" i="4"/>
  <c r="S72" i="4" s="1"/>
  <c r="G66" i="4"/>
  <c r="O66" i="4" s="1"/>
  <c r="S66" i="4" s="1"/>
  <c r="O65" i="4"/>
  <c r="S65" i="4" s="1"/>
  <c r="S51" i="4"/>
  <c r="S35" i="4"/>
  <c r="R60" i="4"/>
  <c r="S39" i="4"/>
  <c r="M72" i="4"/>
  <c r="O67" i="4"/>
  <c r="S67" i="4" s="1"/>
  <c r="K67" i="4"/>
  <c r="M54" i="4"/>
  <c r="E55" i="4"/>
  <c r="K54" i="4"/>
  <c r="S11" i="4"/>
  <c r="S4" i="4" s="1"/>
  <c r="N56" i="4"/>
  <c r="S56" i="4" s="1"/>
  <c r="K56" i="4"/>
  <c r="H55" i="4"/>
  <c r="P55" i="4" s="1"/>
  <c r="P54" i="4"/>
  <c r="E41" i="3" l="1"/>
  <c r="L9" i="9" s="1"/>
  <c r="W7" i="3"/>
  <c r="E57" i="3"/>
  <c r="E58" i="3"/>
  <c r="E70" i="3"/>
  <c r="E69" i="3"/>
  <c r="N11" i="8"/>
  <c r="E33" i="8"/>
  <c r="M10" i="8"/>
  <c r="P33" i="8"/>
  <c r="L33" i="8"/>
  <c r="Q33" i="8"/>
  <c r="H9" i="11"/>
  <c r="H7" i="11"/>
  <c r="H8" i="11"/>
  <c r="O95" i="4"/>
  <c r="H33" i="8"/>
  <c r="O33" i="8"/>
  <c r="F33" i="8"/>
  <c r="P44" i="4"/>
  <c r="P95" i="4" s="1"/>
  <c r="O12" i="8"/>
  <c r="K33" i="8"/>
  <c r="N95" i="4"/>
  <c r="J33" i="8"/>
  <c r="R33" i="8"/>
  <c r="R35" i="8" s="1"/>
  <c r="R37" i="8" s="1"/>
  <c r="M33" i="8"/>
  <c r="S33" i="8"/>
  <c r="S35" i="8" s="1"/>
  <c r="S37" i="8" s="1"/>
  <c r="K66" i="4"/>
  <c r="Q18" i="4"/>
  <c r="Q95" i="4" s="1"/>
  <c r="G6" i="11" s="1"/>
  <c r="N33" i="8"/>
  <c r="I33" i="8"/>
  <c r="G33" i="8"/>
  <c r="E44" i="3"/>
  <c r="L10" i="9"/>
  <c r="L11" i="9" s="1"/>
  <c r="H11" i="8"/>
  <c r="I12" i="8"/>
  <c r="G10" i="8"/>
  <c r="F9" i="8"/>
  <c r="L12" i="8"/>
  <c r="K11" i="8"/>
  <c r="J10" i="8"/>
  <c r="I9" i="8"/>
  <c r="J12" i="8"/>
  <c r="I11" i="8"/>
  <c r="G9" i="8"/>
  <c r="H10" i="8"/>
  <c r="I10" i="8"/>
  <c r="K12" i="8"/>
  <c r="H9" i="8"/>
  <c r="J11" i="8"/>
  <c r="M12" i="8"/>
  <c r="J9" i="8"/>
  <c r="L11" i="8"/>
  <c r="K10" i="8"/>
  <c r="M11" i="8"/>
  <c r="L10" i="8"/>
  <c r="K9" i="8"/>
  <c r="N12" i="8"/>
  <c r="Q12" i="8"/>
  <c r="Q13" i="8" s="1"/>
  <c r="O10" i="8"/>
  <c r="N9" i="8"/>
  <c r="P11" i="8"/>
  <c r="N10" i="8"/>
  <c r="M9" i="8"/>
  <c r="O11" i="8"/>
  <c r="P12" i="8"/>
  <c r="E40" i="3"/>
  <c r="L8" i="9" s="1"/>
  <c r="S60" i="4"/>
  <c r="K55" i="4"/>
  <c r="M55" i="4"/>
  <c r="S26" i="4"/>
  <c r="S18" i="4" s="1"/>
  <c r="N18" i="4"/>
  <c r="O60" i="4"/>
  <c r="S54" i="4"/>
  <c r="M38" i="4"/>
  <c r="S38" i="4" s="1"/>
  <c r="S33" i="4" s="1"/>
  <c r="K38" i="4"/>
  <c r="N44" i="4"/>
  <c r="Q35" i="8" l="1"/>
  <c r="Q37" i="8" s="1"/>
  <c r="G9" i="11"/>
  <c r="G8" i="11"/>
  <c r="G7" i="11"/>
  <c r="L13" i="8"/>
  <c r="L35" i="8" s="1"/>
  <c r="L37" i="8" s="1"/>
  <c r="P13" i="8"/>
  <c r="P35" i="8" s="1"/>
  <c r="P37" i="8" s="1"/>
  <c r="I13" i="8"/>
  <c r="I35" i="8" s="1"/>
  <c r="I37" i="8" s="1"/>
  <c r="N13" i="8"/>
  <c r="N35" i="8" s="1"/>
  <c r="N37" i="8" s="1"/>
  <c r="K13" i="8"/>
  <c r="K35" i="8" s="1"/>
  <c r="K37" i="8" s="1"/>
  <c r="M13" i="8"/>
  <c r="M35" i="8" s="1"/>
  <c r="M37" i="8" s="1"/>
  <c r="O13" i="8"/>
  <c r="O35" i="8" s="1"/>
  <c r="O37" i="8" s="1"/>
  <c r="J13" i="8"/>
  <c r="J35" i="8" s="1"/>
  <c r="J37" i="8" s="1"/>
  <c r="F10" i="8"/>
  <c r="F13" i="8" s="1"/>
  <c r="F35" i="8" s="1"/>
  <c r="F37" i="8" s="1"/>
  <c r="E9" i="8"/>
  <c r="E13" i="8" s="1"/>
  <c r="E35" i="8" s="1"/>
  <c r="E37" i="8" s="1"/>
  <c r="H12" i="8"/>
  <c r="H13" i="8" s="1"/>
  <c r="H35" i="8" s="1"/>
  <c r="H37" i="8" s="1"/>
  <c r="G11" i="8"/>
  <c r="G13" i="8" s="1"/>
  <c r="G35" i="8" s="1"/>
  <c r="G37" i="8" s="1"/>
  <c r="M33" i="4"/>
  <c r="S55" i="4"/>
  <c r="S44" i="4" s="1"/>
  <c r="M44" i="4"/>
  <c r="M95" i="4" l="1"/>
  <c r="N66" i="1"/>
  <c r="O66" i="1"/>
  <c r="P66" i="1"/>
  <c r="Q66" i="1"/>
  <c r="S66" i="1"/>
  <c r="T66" i="1"/>
  <c r="U66" i="1"/>
  <c r="V66" i="1"/>
  <c r="W66" i="1"/>
  <c r="X66" i="1"/>
  <c r="Y66" i="1"/>
  <c r="Z66" i="1"/>
  <c r="AA66" i="1"/>
  <c r="AB66" i="1"/>
  <c r="AC66" i="1"/>
  <c r="M67" i="1"/>
  <c r="N67" i="1"/>
  <c r="M68" i="1"/>
  <c r="N68" i="1"/>
  <c r="M69" i="1"/>
  <c r="N69" i="1"/>
  <c r="M70" i="1"/>
  <c r="N70" i="1"/>
  <c r="M71" i="1"/>
  <c r="N71" i="1"/>
  <c r="M72" i="1"/>
  <c r="N72" i="1"/>
  <c r="R32" i="1"/>
  <c r="R66" i="1" s="1"/>
  <c r="R45" i="2"/>
  <c r="I49" i="2" s="1"/>
  <c r="F6" i="11" s="1"/>
  <c r="N45" i="2"/>
  <c r="H49" i="2" s="1"/>
  <c r="E6" i="11" s="1"/>
  <c r="J45" i="2"/>
  <c r="G49" i="2" s="1"/>
  <c r="D6" i="11" s="1"/>
  <c r="F45" i="2"/>
  <c r="F49" i="2" s="1"/>
  <c r="R23" i="1"/>
  <c r="P21" i="1"/>
  <c r="P23" i="1" s="1"/>
  <c r="Q21" i="1"/>
  <c r="Q23" i="1" s="1"/>
  <c r="S20" i="1"/>
  <c r="T20" i="1" s="1"/>
  <c r="U21" i="1"/>
  <c r="O21" i="1"/>
  <c r="O23" i="1" s="1"/>
  <c r="H40" i="1"/>
  <c r="I40" i="1"/>
  <c r="H41" i="1"/>
  <c r="I41" i="1"/>
  <c r="H42" i="1"/>
  <c r="I42" i="1"/>
  <c r="H35" i="1"/>
  <c r="I35" i="1"/>
  <c r="H36" i="1"/>
  <c r="I36" i="1"/>
  <c r="H37" i="1"/>
  <c r="I37" i="1"/>
  <c r="H38" i="1"/>
  <c r="I38" i="1"/>
  <c r="I34" i="1"/>
  <c r="H34" i="1"/>
  <c r="F45" i="1"/>
  <c r="D39" i="1" s="1"/>
  <c r="H39" i="1" s="1"/>
  <c r="F44" i="1"/>
  <c r="F35" i="1"/>
  <c r="J35" i="1" s="1"/>
  <c r="K35" i="1" s="1"/>
  <c r="R60" i="1" s="1"/>
  <c r="F36" i="1"/>
  <c r="J36" i="1" s="1"/>
  <c r="K36" i="1" s="1"/>
  <c r="P61" i="1" s="1"/>
  <c r="F37" i="1"/>
  <c r="J37" i="1" s="1"/>
  <c r="K37" i="1" s="1"/>
  <c r="R62" i="1" s="1"/>
  <c r="F38" i="1"/>
  <c r="J38" i="1" s="1"/>
  <c r="K38" i="1" s="1"/>
  <c r="P63" i="1" s="1"/>
  <c r="F40" i="1"/>
  <c r="J40" i="1" s="1"/>
  <c r="F41" i="1"/>
  <c r="J41" i="1" s="1"/>
  <c r="F42" i="1"/>
  <c r="J42" i="1" s="1"/>
  <c r="F34" i="1"/>
  <c r="J34" i="1" s="1"/>
  <c r="D28" i="1"/>
  <c r="D27" i="1"/>
  <c r="D26" i="1"/>
  <c r="D25" i="1"/>
  <c r="D24" i="1"/>
  <c r="D23" i="1"/>
  <c r="D22" i="1"/>
  <c r="D21" i="1"/>
  <c r="S63" i="1" l="1"/>
  <c r="Q62" i="1"/>
  <c r="R63" i="1"/>
  <c r="P62" i="1"/>
  <c r="O63" i="1"/>
  <c r="Q60" i="1"/>
  <c r="T62" i="1"/>
  <c r="U62" i="1" s="1"/>
  <c r="V62" i="1" s="1"/>
  <c r="E9" i="11"/>
  <c r="E36" i="11"/>
  <c r="E8" i="11"/>
  <c r="E35" i="11"/>
  <c r="E7" i="11"/>
  <c r="R61" i="1"/>
  <c r="T60" i="1"/>
  <c r="U60" i="1" s="1"/>
  <c r="V60" i="1" s="1"/>
  <c r="P60" i="1"/>
  <c r="S61" i="1"/>
  <c r="F36" i="11"/>
  <c r="F7" i="11"/>
  <c r="F9" i="11"/>
  <c r="F8" i="11"/>
  <c r="K34" i="1"/>
  <c r="Q63" i="1"/>
  <c r="S62" i="1"/>
  <c r="O62" i="1"/>
  <c r="Q61" i="1"/>
  <c r="S60" i="1"/>
  <c r="O60" i="1"/>
  <c r="O61" i="1"/>
  <c r="D34" i="11"/>
  <c r="D36" i="11"/>
  <c r="D7" i="11"/>
  <c r="D8" i="11"/>
  <c r="D35" i="11"/>
  <c r="D9" i="11"/>
  <c r="T63" i="1"/>
  <c r="U63" i="1" s="1"/>
  <c r="V63" i="1" s="1"/>
  <c r="W63" i="1" s="1"/>
  <c r="T61" i="1"/>
  <c r="U61" i="1" s="1"/>
  <c r="V61" i="1" s="1"/>
  <c r="C6" i="11"/>
  <c r="C36" i="11" s="1"/>
  <c r="S23" i="1"/>
  <c r="S27" i="1" s="1"/>
  <c r="O27" i="1"/>
  <c r="P27" i="1"/>
  <c r="Q27" i="1"/>
  <c r="R27" i="1"/>
  <c r="R26" i="1"/>
  <c r="O26" i="1"/>
  <c r="S26" i="1"/>
  <c r="Q26" i="1"/>
  <c r="P26" i="1"/>
  <c r="Q29" i="1"/>
  <c r="R29" i="1"/>
  <c r="O29" i="1"/>
  <c r="P29" i="1"/>
  <c r="P28" i="1"/>
  <c r="Q28" i="1"/>
  <c r="R28" i="1"/>
  <c r="O28" i="1"/>
  <c r="S28" i="1"/>
  <c r="T23" i="1"/>
  <c r="T28" i="1" s="1"/>
  <c r="U20" i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V21" i="1"/>
  <c r="F46" i="1"/>
  <c r="G45" i="1" s="1"/>
  <c r="E23" i="1"/>
  <c r="F23" i="1" s="1"/>
  <c r="G23" i="1" s="1"/>
  <c r="E22" i="1"/>
  <c r="F22" i="1" s="1"/>
  <c r="G22" i="1" s="1"/>
  <c r="E24" i="1"/>
  <c r="F24" i="1" s="1"/>
  <c r="G24" i="1" s="1"/>
  <c r="E27" i="1"/>
  <c r="F27" i="1" s="1"/>
  <c r="G27" i="1" s="1"/>
  <c r="E26" i="1"/>
  <c r="F26" i="1" s="1"/>
  <c r="G26" i="1" s="1"/>
  <c r="E25" i="1"/>
  <c r="F25" i="1" s="1"/>
  <c r="G25" i="1" s="1"/>
  <c r="D29" i="1"/>
  <c r="S59" i="1" l="1"/>
  <c r="O59" i="1"/>
  <c r="R59" i="1"/>
  <c r="T59" i="1"/>
  <c r="Q59" i="1"/>
  <c r="P59" i="1"/>
  <c r="S29" i="1"/>
  <c r="C33" i="11"/>
  <c r="C8" i="11"/>
  <c r="C7" i="11"/>
  <c r="C35" i="11"/>
  <c r="C34" i="11"/>
  <c r="C9" i="11"/>
  <c r="W60" i="1"/>
  <c r="W61" i="1"/>
  <c r="X63" i="1"/>
  <c r="W62" i="1"/>
  <c r="G37" i="1"/>
  <c r="G41" i="1"/>
  <c r="S25" i="1"/>
  <c r="P25" i="1"/>
  <c r="T25" i="1"/>
  <c r="R25" i="1"/>
  <c r="Q25" i="1"/>
  <c r="O25" i="1"/>
  <c r="T29" i="1"/>
  <c r="T26" i="1"/>
  <c r="T27" i="1"/>
  <c r="G44" i="1"/>
  <c r="U23" i="1"/>
  <c r="U25" i="1" s="1"/>
  <c r="W21" i="1"/>
  <c r="V23" i="1"/>
  <c r="P36" i="1"/>
  <c r="T36" i="1"/>
  <c r="X36" i="1"/>
  <c r="X70" i="1" s="1"/>
  <c r="AB36" i="1"/>
  <c r="AB70" i="1" s="1"/>
  <c r="Q36" i="1"/>
  <c r="U36" i="1"/>
  <c r="U70" i="1" s="1"/>
  <c r="U78" i="1" s="1"/>
  <c r="Y36" i="1"/>
  <c r="Y70" i="1" s="1"/>
  <c r="AC36" i="1"/>
  <c r="AC70" i="1" s="1"/>
  <c r="S36" i="1"/>
  <c r="AA36" i="1"/>
  <c r="AA70" i="1" s="1"/>
  <c r="V36" i="1"/>
  <c r="V70" i="1" s="1"/>
  <c r="V78" i="1" s="1"/>
  <c r="Z36" i="1"/>
  <c r="Z70" i="1" s="1"/>
  <c r="O36" i="1"/>
  <c r="W36" i="1"/>
  <c r="W70" i="1" s="1"/>
  <c r="R36" i="1"/>
  <c r="Q33" i="1"/>
  <c r="U33" i="1"/>
  <c r="Y33" i="1"/>
  <c r="AC33" i="1"/>
  <c r="R33" i="1"/>
  <c r="V33" i="1"/>
  <c r="Z33" i="1"/>
  <c r="P33" i="1"/>
  <c r="X33" i="1"/>
  <c r="S33" i="1"/>
  <c r="AA33" i="1"/>
  <c r="O33" i="1"/>
  <c r="W33" i="1"/>
  <c r="T33" i="1"/>
  <c r="AB33" i="1"/>
  <c r="P37" i="1"/>
  <c r="T37" i="1"/>
  <c r="X37" i="1"/>
  <c r="X71" i="1" s="1"/>
  <c r="AB37" i="1"/>
  <c r="AB71" i="1" s="1"/>
  <c r="Q37" i="1"/>
  <c r="U37" i="1"/>
  <c r="U71" i="1" s="1"/>
  <c r="U79" i="1" s="1"/>
  <c r="Y37" i="1"/>
  <c r="Y71" i="1" s="1"/>
  <c r="AC37" i="1"/>
  <c r="AC71" i="1" s="1"/>
  <c r="O37" i="1"/>
  <c r="W37" i="1"/>
  <c r="W71" i="1" s="1"/>
  <c r="W79" i="1" s="1"/>
  <c r="R37" i="1"/>
  <c r="Z37" i="1"/>
  <c r="Z71" i="1" s="1"/>
  <c r="V37" i="1"/>
  <c r="V71" i="1" s="1"/>
  <c r="V79" i="1" s="1"/>
  <c r="S37" i="1"/>
  <c r="AA37" i="1"/>
  <c r="AA71" i="1" s="1"/>
  <c r="P34" i="1"/>
  <c r="T34" i="1"/>
  <c r="X34" i="1"/>
  <c r="X68" i="1" s="1"/>
  <c r="AB34" i="1"/>
  <c r="AB68" i="1" s="1"/>
  <c r="R34" i="1"/>
  <c r="V34" i="1"/>
  <c r="V68" i="1" s="1"/>
  <c r="V76" i="1" s="1"/>
  <c r="Q34" i="1"/>
  <c r="U34" i="1"/>
  <c r="U68" i="1" s="1"/>
  <c r="U76" i="1" s="1"/>
  <c r="Y34" i="1"/>
  <c r="Y68" i="1" s="1"/>
  <c r="AC34" i="1"/>
  <c r="AC68" i="1" s="1"/>
  <c r="O34" i="1"/>
  <c r="AA34" i="1"/>
  <c r="AA68" i="1" s="1"/>
  <c r="S34" i="1"/>
  <c r="W34" i="1"/>
  <c r="W68" i="1" s="1"/>
  <c r="Z34" i="1"/>
  <c r="Z68" i="1" s="1"/>
  <c r="P35" i="1"/>
  <c r="T35" i="1"/>
  <c r="X35" i="1"/>
  <c r="X69" i="1" s="1"/>
  <c r="AB35" i="1"/>
  <c r="AB69" i="1" s="1"/>
  <c r="Q35" i="1"/>
  <c r="U35" i="1"/>
  <c r="U69" i="1" s="1"/>
  <c r="U77" i="1" s="1"/>
  <c r="Y35" i="1"/>
  <c r="Y69" i="1" s="1"/>
  <c r="AC35" i="1"/>
  <c r="AC69" i="1" s="1"/>
  <c r="O35" i="1"/>
  <c r="W35" i="1"/>
  <c r="W69" i="1" s="1"/>
  <c r="R35" i="1"/>
  <c r="Z35" i="1"/>
  <c r="Z69" i="1" s="1"/>
  <c r="S35" i="1"/>
  <c r="AA35" i="1"/>
  <c r="AA69" i="1" s="1"/>
  <c r="V35" i="1"/>
  <c r="V69" i="1" s="1"/>
  <c r="V77" i="1" s="1"/>
  <c r="P38" i="1"/>
  <c r="P72" i="1" s="1"/>
  <c r="T38" i="1"/>
  <c r="T72" i="1" s="1"/>
  <c r="X38" i="1"/>
  <c r="X72" i="1" s="1"/>
  <c r="AB38" i="1"/>
  <c r="AB72" i="1" s="1"/>
  <c r="Q38" i="1"/>
  <c r="Q72" i="1" s="1"/>
  <c r="U38" i="1"/>
  <c r="U72" i="1" s="1"/>
  <c r="Y38" i="1"/>
  <c r="Y72" i="1" s="1"/>
  <c r="AC38" i="1"/>
  <c r="AC72" i="1" s="1"/>
  <c r="S38" i="1"/>
  <c r="S72" i="1" s="1"/>
  <c r="AA38" i="1"/>
  <c r="AA72" i="1" s="1"/>
  <c r="V38" i="1"/>
  <c r="V72" i="1" s="1"/>
  <c r="R38" i="1"/>
  <c r="R72" i="1" s="1"/>
  <c r="O38" i="1"/>
  <c r="O72" i="1" s="1"/>
  <c r="W38" i="1"/>
  <c r="W72" i="1" s="1"/>
  <c r="Z38" i="1"/>
  <c r="Z72" i="1" s="1"/>
  <c r="G34" i="1"/>
  <c r="G46" i="1"/>
  <c r="G36" i="1"/>
  <c r="G42" i="1"/>
  <c r="G38" i="1"/>
  <c r="F39" i="1"/>
  <c r="E39" i="1"/>
  <c r="I39" i="1" s="1"/>
  <c r="G35" i="1"/>
  <c r="G40" i="1"/>
  <c r="G29" i="1"/>
  <c r="AA67" i="1" l="1"/>
  <c r="Q4" i="8"/>
  <c r="Y67" i="1"/>
  <c r="O4" i="8"/>
  <c r="J4" i="8"/>
  <c r="I4" i="8"/>
  <c r="V67" i="1"/>
  <c r="L4" i="8"/>
  <c r="W67" i="1"/>
  <c r="M4" i="8"/>
  <c r="X67" i="1"/>
  <c r="N4" i="8"/>
  <c r="H4" i="8"/>
  <c r="G4" i="8"/>
  <c r="U59" i="1"/>
  <c r="AB67" i="1"/>
  <c r="R4" i="8"/>
  <c r="Z67" i="1"/>
  <c r="P4" i="8"/>
  <c r="K4" i="8"/>
  <c r="O67" i="1"/>
  <c r="O75" i="1" s="1"/>
  <c r="E4" i="8"/>
  <c r="P67" i="1"/>
  <c r="P75" i="1" s="1"/>
  <c r="F4" i="8"/>
  <c r="AC67" i="1"/>
  <c r="S4" i="8"/>
  <c r="R75" i="1"/>
  <c r="X79" i="1"/>
  <c r="Y63" i="1"/>
  <c r="W78" i="1"/>
  <c r="X62" i="1"/>
  <c r="X61" i="1"/>
  <c r="W77" i="1"/>
  <c r="X60" i="1"/>
  <c r="W76" i="1"/>
  <c r="O42" i="1"/>
  <c r="O68" i="1"/>
  <c r="O76" i="1" s="1"/>
  <c r="Q42" i="1"/>
  <c r="Q68" i="1"/>
  <c r="Q76" i="1" s="1"/>
  <c r="S45" i="1"/>
  <c r="S71" i="1"/>
  <c r="S79" i="1" s="1"/>
  <c r="T45" i="1"/>
  <c r="T71" i="1"/>
  <c r="T79" i="1" s="1"/>
  <c r="R41" i="1"/>
  <c r="R67" i="1"/>
  <c r="Q41" i="1"/>
  <c r="Q67" i="1"/>
  <c r="Q75" i="1" s="1"/>
  <c r="R43" i="1"/>
  <c r="R69" i="1"/>
  <c r="R77" i="1" s="1"/>
  <c r="T42" i="1"/>
  <c r="T68" i="1"/>
  <c r="T76" i="1" s="1"/>
  <c r="O45" i="1"/>
  <c r="O71" i="1"/>
  <c r="O79" i="1" s="1"/>
  <c r="Q45" i="1"/>
  <c r="Q71" i="1"/>
  <c r="Q79" i="1" s="1"/>
  <c r="P45" i="1"/>
  <c r="P71" i="1"/>
  <c r="P79" i="1" s="1"/>
  <c r="R44" i="1"/>
  <c r="R70" i="1"/>
  <c r="R78" i="1" s="1"/>
  <c r="T43" i="1"/>
  <c r="T69" i="1"/>
  <c r="T77" i="1" s="1"/>
  <c r="S42" i="1"/>
  <c r="S68" i="1"/>
  <c r="S76" i="1" s="1"/>
  <c r="R42" i="1"/>
  <c r="R68" i="1"/>
  <c r="R76" i="1" s="1"/>
  <c r="P42" i="1"/>
  <c r="P68" i="1"/>
  <c r="P76" i="1" s="1"/>
  <c r="T44" i="1"/>
  <c r="T70" i="1"/>
  <c r="T78" i="1" s="1"/>
  <c r="S43" i="1"/>
  <c r="S69" i="1"/>
  <c r="S77" i="1" s="1"/>
  <c r="O43" i="1"/>
  <c r="O69" i="1"/>
  <c r="O77" i="1" s="1"/>
  <c r="Q43" i="1"/>
  <c r="Q69" i="1"/>
  <c r="Q77" i="1" s="1"/>
  <c r="P43" i="1"/>
  <c r="P69" i="1"/>
  <c r="P77" i="1" s="1"/>
  <c r="R45" i="1"/>
  <c r="R71" i="1"/>
  <c r="R79" i="1" s="1"/>
  <c r="T41" i="1"/>
  <c r="T67" i="1"/>
  <c r="T75" i="1" s="1"/>
  <c r="S41" i="1"/>
  <c r="S67" i="1"/>
  <c r="S75" i="1" s="1"/>
  <c r="U41" i="1"/>
  <c r="U67" i="1"/>
  <c r="O44" i="1"/>
  <c r="O70" i="1"/>
  <c r="O78" i="1" s="1"/>
  <c r="S44" i="1"/>
  <c r="S70" i="1"/>
  <c r="S78" i="1" s="1"/>
  <c r="Q44" i="1"/>
  <c r="Q70" i="1"/>
  <c r="Q78" i="1" s="1"/>
  <c r="P44" i="1"/>
  <c r="P70" i="1"/>
  <c r="P78" i="1" s="1"/>
  <c r="P41" i="1"/>
  <c r="V26" i="1"/>
  <c r="V42" i="1" s="1"/>
  <c r="V29" i="1"/>
  <c r="V45" i="1" s="1"/>
  <c r="V27" i="1"/>
  <c r="V43" i="1" s="1"/>
  <c r="V28" i="1"/>
  <c r="V44" i="1" s="1"/>
  <c r="V25" i="1"/>
  <c r="O41" i="1"/>
  <c r="X21" i="1"/>
  <c r="W23" i="1"/>
  <c r="U27" i="1"/>
  <c r="U43" i="1" s="1"/>
  <c r="U26" i="1"/>
  <c r="U42" i="1" s="1"/>
  <c r="U28" i="1"/>
  <c r="U44" i="1" s="1"/>
  <c r="U29" i="1"/>
  <c r="U45" i="1" s="1"/>
  <c r="G39" i="1"/>
  <c r="J39" i="1"/>
  <c r="K39" i="1" s="1"/>
  <c r="F43" i="1"/>
  <c r="G43" i="1" s="1"/>
  <c r="R64" i="1" l="1"/>
  <c r="R80" i="1" s="1"/>
  <c r="O64" i="1"/>
  <c r="O80" i="1" s="1"/>
  <c r="O81" i="1" s="1"/>
  <c r="S64" i="1"/>
  <c r="S80" i="1" s="1"/>
  <c r="S81" i="1" s="1"/>
  <c r="Q64" i="1"/>
  <c r="Q80" i="1" s="1"/>
  <c r="Q81" i="1" s="1"/>
  <c r="P64" i="1"/>
  <c r="P80" i="1" s="1"/>
  <c r="P81" i="1" s="1"/>
  <c r="T64" i="1"/>
  <c r="V59" i="1"/>
  <c r="U75" i="1"/>
  <c r="V41" i="1"/>
  <c r="Y61" i="1"/>
  <c r="X77" i="1"/>
  <c r="Y62" i="1"/>
  <c r="X78" i="1"/>
  <c r="Z63" i="1"/>
  <c r="Y79" i="1"/>
  <c r="X76" i="1"/>
  <c r="Y60" i="1"/>
  <c r="W28" i="1"/>
  <c r="W44" i="1" s="1"/>
  <c r="W26" i="1"/>
  <c r="W42" i="1" s="1"/>
  <c r="W29" i="1"/>
  <c r="W45" i="1" s="1"/>
  <c r="W27" i="1"/>
  <c r="W43" i="1" s="1"/>
  <c r="W25" i="1"/>
  <c r="Y21" i="1"/>
  <c r="X23" i="1"/>
  <c r="X30" i="1" s="1"/>
  <c r="X46" i="1" s="1"/>
  <c r="R30" i="1"/>
  <c r="V30" i="1"/>
  <c r="V46" i="1" s="1"/>
  <c r="O30" i="1"/>
  <c r="S30" i="1"/>
  <c r="W30" i="1"/>
  <c r="W46" i="1" s="1"/>
  <c r="T30" i="1"/>
  <c r="U30" i="1"/>
  <c r="U46" i="1" s="1"/>
  <c r="U47" i="1" s="1"/>
  <c r="P30" i="1"/>
  <c r="Q30" i="1"/>
  <c r="R81" i="1" l="1"/>
  <c r="V47" i="1"/>
  <c r="W59" i="1"/>
  <c r="V75" i="1"/>
  <c r="U64" i="1"/>
  <c r="T80" i="1"/>
  <c r="T81" i="1" s="1"/>
  <c r="T46" i="1"/>
  <c r="T47" i="1" s="1"/>
  <c r="J5" i="8"/>
  <c r="J6" i="8" s="1"/>
  <c r="J40" i="8" s="1"/>
  <c r="J42" i="8" s="1"/>
  <c r="W41" i="1"/>
  <c r="W47" i="1" s="1"/>
  <c r="M5" i="8"/>
  <c r="M6" i="8" s="1"/>
  <c r="M40" i="8" s="1"/>
  <c r="M42" i="8" s="1"/>
  <c r="K5" i="8"/>
  <c r="K6" i="8" s="1"/>
  <c r="K40" i="8" s="1"/>
  <c r="K42" i="8" s="1"/>
  <c r="L5" i="8"/>
  <c r="L6" i="8" s="1"/>
  <c r="L40" i="8" s="1"/>
  <c r="L42" i="8" s="1"/>
  <c r="O46" i="1"/>
  <c r="E5" i="8"/>
  <c r="E6" i="8" s="1"/>
  <c r="E40" i="8" s="1"/>
  <c r="E42" i="8" s="1"/>
  <c r="E51" i="8" s="1"/>
  <c r="Q46" i="1"/>
  <c r="Q47" i="1" s="1"/>
  <c r="G5" i="8"/>
  <c r="G6" i="8" s="1"/>
  <c r="G40" i="8" s="1"/>
  <c r="G42" i="8" s="1"/>
  <c r="R46" i="1"/>
  <c r="R47" i="1" s="1"/>
  <c r="H5" i="8"/>
  <c r="H6" i="8" s="1"/>
  <c r="H40" i="8" s="1"/>
  <c r="H42" i="8" s="1"/>
  <c r="P46" i="1"/>
  <c r="P47" i="1" s="1"/>
  <c r="F5" i="8"/>
  <c r="F6" i="8" s="1"/>
  <c r="F40" i="8" s="1"/>
  <c r="F42" i="8" s="1"/>
  <c r="S46" i="1"/>
  <c r="S47" i="1" s="1"/>
  <c r="I5" i="8"/>
  <c r="I6" i="8" s="1"/>
  <c r="I40" i="8" s="1"/>
  <c r="I42" i="8" s="1"/>
  <c r="AA63" i="1"/>
  <c r="Z79" i="1"/>
  <c r="Y76" i="1"/>
  <c r="Z60" i="1"/>
  <c r="Z62" i="1"/>
  <c r="Y78" i="1"/>
  <c r="Y77" i="1"/>
  <c r="Z61" i="1"/>
  <c r="X28" i="1"/>
  <c r="X44" i="1" s="1"/>
  <c r="X27" i="1"/>
  <c r="X43" i="1" s="1"/>
  <c r="X26" i="1"/>
  <c r="X42" i="1" s="1"/>
  <c r="X29" i="1"/>
  <c r="X45" i="1" s="1"/>
  <c r="X25" i="1"/>
  <c r="Z21" i="1"/>
  <c r="Y23" i="1"/>
  <c r="O47" i="1" l="1"/>
  <c r="X59" i="1"/>
  <c r="W75" i="1"/>
  <c r="V64" i="1"/>
  <c r="U80" i="1"/>
  <c r="X41" i="1"/>
  <c r="X47" i="1" s="1"/>
  <c r="N5" i="8"/>
  <c r="N6" i="8" s="1"/>
  <c r="N40" i="8" s="1"/>
  <c r="N42" i="8" s="1"/>
  <c r="I51" i="8"/>
  <c r="I57" i="8" s="1"/>
  <c r="G11" i="11"/>
  <c r="C11" i="11"/>
  <c r="M51" i="8"/>
  <c r="M57" i="8" s="1"/>
  <c r="K11" i="11"/>
  <c r="H51" i="8"/>
  <c r="H57" i="8" s="1"/>
  <c r="F11" i="11"/>
  <c r="F51" i="8"/>
  <c r="F57" i="8" s="1"/>
  <c r="D11" i="11"/>
  <c r="G51" i="8"/>
  <c r="G57" i="8" s="1"/>
  <c r="E11" i="11"/>
  <c r="L51" i="8"/>
  <c r="L57" i="8" s="1"/>
  <c r="J11" i="11"/>
  <c r="J51" i="8"/>
  <c r="J57" i="8" s="1"/>
  <c r="H11" i="11"/>
  <c r="K51" i="8"/>
  <c r="K57" i="8" s="1"/>
  <c r="I11" i="11"/>
  <c r="AA60" i="1"/>
  <c r="Z76" i="1"/>
  <c r="Z78" i="1"/>
  <c r="AA62" i="1"/>
  <c r="Z77" i="1"/>
  <c r="AA61" i="1"/>
  <c r="AA79" i="1"/>
  <c r="AB63" i="1"/>
  <c r="Y27" i="1"/>
  <c r="Y43" i="1" s="1"/>
  <c r="Y29" i="1"/>
  <c r="Y45" i="1" s="1"/>
  <c r="Y26" i="1"/>
  <c r="Y42" i="1" s="1"/>
  <c r="Y28" i="1"/>
  <c r="Y44" i="1" s="1"/>
  <c r="Y25" i="1"/>
  <c r="Y30" i="1"/>
  <c r="Y46" i="1" s="1"/>
  <c r="AA21" i="1"/>
  <c r="Z23" i="1"/>
  <c r="U81" i="1" l="1"/>
  <c r="E57" i="8"/>
  <c r="E61" i="8" s="1"/>
  <c r="L61" i="8"/>
  <c r="L62" i="8"/>
  <c r="M61" i="8"/>
  <c r="M62" i="8"/>
  <c r="I62" i="8"/>
  <c r="I61" i="8"/>
  <c r="F61" i="8"/>
  <c r="F62" i="8"/>
  <c r="G61" i="8"/>
  <c r="G62" i="8"/>
  <c r="K61" i="8"/>
  <c r="K62" i="8"/>
  <c r="J61" i="8"/>
  <c r="J62" i="8"/>
  <c r="H61" i="8"/>
  <c r="H62" i="8"/>
  <c r="W64" i="1"/>
  <c r="V80" i="1"/>
  <c r="V81" i="1" s="1"/>
  <c r="Y59" i="1"/>
  <c r="X75" i="1"/>
  <c r="O21" i="11"/>
  <c r="O36" i="11" s="1"/>
  <c r="K14" i="11"/>
  <c r="K29" i="11" s="1"/>
  <c r="L18" i="11"/>
  <c r="L33" i="11" s="1"/>
  <c r="K25" i="11"/>
  <c r="M19" i="11"/>
  <c r="M34" i="11" s="1"/>
  <c r="K15" i="11"/>
  <c r="K30" i="11" s="1"/>
  <c r="K23" i="11"/>
  <c r="K24" i="11"/>
  <c r="K12" i="11"/>
  <c r="K27" i="11" s="1"/>
  <c r="K16" i="11"/>
  <c r="K31" i="11" s="1"/>
  <c r="K26" i="11"/>
  <c r="K13" i="11"/>
  <c r="K28" i="11" s="1"/>
  <c r="K17" i="11"/>
  <c r="K32" i="11" s="1"/>
  <c r="N20" i="11"/>
  <c r="N35" i="11" s="1"/>
  <c r="K21" i="11"/>
  <c r="K36" i="11" s="1"/>
  <c r="G15" i="11"/>
  <c r="G30" i="11" s="1"/>
  <c r="G25" i="11"/>
  <c r="G12" i="11"/>
  <c r="G27" i="11" s="1"/>
  <c r="G16" i="11"/>
  <c r="G31" i="11" s="1"/>
  <c r="I19" i="11"/>
  <c r="I34" i="11" s="1"/>
  <c r="H18" i="11"/>
  <c r="H33" i="11" s="1"/>
  <c r="G13" i="11"/>
  <c r="G28" i="11" s="1"/>
  <c r="G17" i="11"/>
  <c r="G32" i="11" s="1"/>
  <c r="G23" i="11"/>
  <c r="G26" i="11"/>
  <c r="G14" i="11"/>
  <c r="G29" i="11" s="1"/>
  <c r="J20" i="11"/>
  <c r="J35" i="11" s="1"/>
  <c r="G24" i="11"/>
  <c r="K20" i="11"/>
  <c r="K35" i="11" s="1"/>
  <c r="H14" i="11"/>
  <c r="H29" i="11" s="1"/>
  <c r="H23" i="11"/>
  <c r="L21" i="11"/>
  <c r="L36" i="11" s="1"/>
  <c r="H15" i="11"/>
  <c r="H30" i="11" s="1"/>
  <c r="J19" i="11"/>
  <c r="J34" i="11" s="1"/>
  <c r="H26" i="11"/>
  <c r="H12" i="11"/>
  <c r="H27" i="11" s="1"/>
  <c r="H16" i="11"/>
  <c r="H31" i="11" s="1"/>
  <c r="H24" i="11"/>
  <c r="I18" i="11"/>
  <c r="I33" i="11" s="1"/>
  <c r="H13" i="11"/>
  <c r="H28" i="11" s="1"/>
  <c r="H17" i="11"/>
  <c r="H32" i="11" s="1"/>
  <c r="H25" i="11"/>
  <c r="H20" i="11"/>
  <c r="H35" i="11" s="1"/>
  <c r="E24" i="11"/>
  <c r="E23" i="11"/>
  <c r="E16" i="11"/>
  <c r="E31" i="11" s="1"/>
  <c r="F18" i="11"/>
  <c r="F33" i="11" s="1"/>
  <c r="G19" i="11"/>
  <c r="G34" i="11" s="1"/>
  <c r="E26" i="11"/>
  <c r="E17" i="11"/>
  <c r="E32" i="11" s="1"/>
  <c r="E14" i="11"/>
  <c r="E29" i="11" s="1"/>
  <c r="I21" i="11"/>
  <c r="I36" i="11" s="1"/>
  <c r="E25" i="11"/>
  <c r="E12" i="11"/>
  <c r="E27" i="11" s="1"/>
  <c r="E13" i="11"/>
  <c r="E28" i="11" s="1"/>
  <c r="E15" i="11"/>
  <c r="E30" i="11" s="1"/>
  <c r="F13" i="11"/>
  <c r="F28" i="11" s="1"/>
  <c r="F17" i="11"/>
  <c r="F32" i="11" s="1"/>
  <c r="F12" i="11"/>
  <c r="F27" i="11" s="1"/>
  <c r="F26" i="11"/>
  <c r="F23" i="11"/>
  <c r="F14" i="11"/>
  <c r="F29" i="11" s="1"/>
  <c r="F16" i="11"/>
  <c r="F31" i="11" s="1"/>
  <c r="G18" i="11"/>
  <c r="G33" i="11" s="1"/>
  <c r="I20" i="11"/>
  <c r="I35" i="11" s="1"/>
  <c r="F25" i="11"/>
  <c r="J21" i="11"/>
  <c r="J36" i="11" s="1"/>
  <c r="F15" i="11"/>
  <c r="F30" i="11" s="1"/>
  <c r="H19" i="11"/>
  <c r="H34" i="11" s="1"/>
  <c r="F24" i="11"/>
  <c r="C12" i="11"/>
  <c r="C27" i="11" s="1"/>
  <c r="G21" i="11"/>
  <c r="G36" i="11" s="1"/>
  <c r="C13" i="11"/>
  <c r="C28" i="11" s="1"/>
  <c r="C25" i="11"/>
  <c r="C17" i="11"/>
  <c r="C32" i="11" s="1"/>
  <c r="C14" i="11"/>
  <c r="C29" i="11" s="1"/>
  <c r="C15" i="11"/>
  <c r="C30" i="11" s="1"/>
  <c r="C24" i="11"/>
  <c r="E19" i="11"/>
  <c r="E34" i="11" s="1"/>
  <c r="C16" i="11"/>
  <c r="C31" i="11" s="1"/>
  <c r="D18" i="11"/>
  <c r="D33" i="11" s="1"/>
  <c r="F20" i="11"/>
  <c r="F35" i="11" s="1"/>
  <c r="C23" i="11"/>
  <c r="C26" i="11"/>
  <c r="N51" i="8"/>
  <c r="N57" i="8" s="1"/>
  <c r="L11" i="11"/>
  <c r="Y41" i="1"/>
  <c r="Y47" i="1" s="1"/>
  <c r="O5" i="8"/>
  <c r="O6" i="8" s="1"/>
  <c r="O40" i="8" s="1"/>
  <c r="O42" i="8" s="1"/>
  <c r="I14" i="11"/>
  <c r="I29" i="11" s="1"/>
  <c r="I26" i="11"/>
  <c r="L20" i="11"/>
  <c r="L35" i="11" s="1"/>
  <c r="I25" i="11"/>
  <c r="I12" i="11"/>
  <c r="I27" i="11" s="1"/>
  <c r="I13" i="11"/>
  <c r="I28" i="11" s="1"/>
  <c r="K19" i="11"/>
  <c r="K34" i="11" s="1"/>
  <c r="I24" i="11"/>
  <c r="I23" i="11"/>
  <c r="J18" i="11"/>
  <c r="J33" i="11" s="1"/>
  <c r="I16" i="11"/>
  <c r="I31" i="11" s="1"/>
  <c r="M21" i="11"/>
  <c r="M36" i="11" s="1"/>
  <c r="I15" i="11"/>
  <c r="I30" i="11" s="1"/>
  <c r="I17" i="11"/>
  <c r="I32" i="11" s="1"/>
  <c r="J16" i="11"/>
  <c r="J31" i="11" s="1"/>
  <c r="J17" i="11"/>
  <c r="J32" i="11" s="1"/>
  <c r="J14" i="11"/>
  <c r="J29" i="11" s="1"/>
  <c r="J25" i="11"/>
  <c r="M20" i="11"/>
  <c r="M35" i="11" s="1"/>
  <c r="J12" i="11"/>
  <c r="J27" i="11" s="1"/>
  <c r="J24" i="11"/>
  <c r="J26" i="11"/>
  <c r="J23" i="11"/>
  <c r="J15" i="11"/>
  <c r="J30" i="11" s="1"/>
  <c r="J13" i="11"/>
  <c r="J28" i="11" s="1"/>
  <c r="L19" i="11"/>
  <c r="L34" i="11" s="1"/>
  <c r="N21" i="11"/>
  <c r="N36" i="11" s="1"/>
  <c r="K18" i="11"/>
  <c r="K33" i="11" s="1"/>
  <c r="D13" i="11"/>
  <c r="D28" i="11" s="1"/>
  <c r="D17" i="11"/>
  <c r="D32" i="11" s="1"/>
  <c r="D24" i="11"/>
  <c r="F19" i="11"/>
  <c r="F34" i="11" s="1"/>
  <c r="D14" i="11"/>
  <c r="D29" i="11" s="1"/>
  <c r="E18" i="11"/>
  <c r="E33" i="11" s="1"/>
  <c r="D26" i="11"/>
  <c r="H21" i="11"/>
  <c r="H36" i="11" s="1"/>
  <c r="D15" i="11"/>
  <c r="D30" i="11" s="1"/>
  <c r="G20" i="11"/>
  <c r="G35" i="11" s="1"/>
  <c r="D25" i="11"/>
  <c r="D12" i="11"/>
  <c r="D27" i="11" s="1"/>
  <c r="D16" i="11"/>
  <c r="D31" i="11" s="1"/>
  <c r="D23" i="11"/>
  <c r="AA78" i="1"/>
  <c r="AB62" i="1"/>
  <c r="AB79" i="1"/>
  <c r="AC63" i="1"/>
  <c r="AB61" i="1"/>
  <c r="AA77" i="1"/>
  <c r="AB60" i="1"/>
  <c r="AA76" i="1"/>
  <c r="AB21" i="1"/>
  <c r="AA23" i="1"/>
  <c r="Z27" i="1"/>
  <c r="Z43" i="1" s="1"/>
  <c r="Z28" i="1"/>
  <c r="Z44" i="1" s="1"/>
  <c r="Z26" i="1"/>
  <c r="Z42" i="1" s="1"/>
  <c r="Z29" i="1"/>
  <c r="Z45" i="1" s="1"/>
  <c r="Z25" i="1"/>
  <c r="Z30" i="1"/>
  <c r="Z46" i="1" s="1"/>
  <c r="AC79" i="1" l="1"/>
  <c r="AD63" i="1"/>
  <c r="E62" i="8"/>
  <c r="N61" i="8"/>
  <c r="N62" i="8"/>
  <c r="Z59" i="1"/>
  <c r="Y75" i="1"/>
  <c r="W80" i="1"/>
  <c r="W81" i="1" s="1"/>
  <c r="X64" i="1"/>
  <c r="O51" i="8"/>
  <c r="O57" i="8" s="1"/>
  <c r="M11" i="11"/>
  <c r="Z41" i="1"/>
  <c r="Z47" i="1" s="1"/>
  <c r="P5" i="8"/>
  <c r="P6" i="8" s="1"/>
  <c r="P40" i="8" s="1"/>
  <c r="P42" i="8" s="1"/>
  <c r="O20" i="11"/>
  <c r="O35" i="11" s="1"/>
  <c r="L12" i="11"/>
  <c r="L27" i="11" s="1"/>
  <c r="L16" i="11"/>
  <c r="L31" i="11" s="1"/>
  <c r="L26" i="11"/>
  <c r="L13" i="11"/>
  <c r="L28" i="11" s="1"/>
  <c r="L17" i="11"/>
  <c r="L32" i="11" s="1"/>
  <c r="M18" i="11"/>
  <c r="M33" i="11" s="1"/>
  <c r="P21" i="11"/>
  <c r="P36" i="11" s="1"/>
  <c r="L14" i="11"/>
  <c r="L29" i="11" s="1"/>
  <c r="L25" i="11"/>
  <c r="N19" i="11"/>
  <c r="N34" i="11" s="1"/>
  <c r="L23" i="11"/>
  <c r="L15" i="11"/>
  <c r="L30" i="11" s="1"/>
  <c r="L24" i="11"/>
  <c r="AC61" i="1"/>
  <c r="AB77" i="1"/>
  <c r="AB76" i="1"/>
  <c r="AC60" i="1"/>
  <c r="AC62" i="1"/>
  <c r="AB78" i="1"/>
  <c r="AA26" i="1"/>
  <c r="AA42" i="1" s="1"/>
  <c r="AA29" i="1"/>
  <c r="AA45" i="1" s="1"/>
  <c r="AA27" i="1"/>
  <c r="AA43" i="1" s="1"/>
  <c r="AA28" i="1"/>
  <c r="AA44" i="1" s="1"/>
  <c r="AA25" i="1"/>
  <c r="AA30" i="1"/>
  <c r="AA46" i="1" s="1"/>
  <c r="AC21" i="1"/>
  <c r="AB23" i="1"/>
  <c r="P43" i="2"/>
  <c r="AE63" i="1" l="1"/>
  <c r="AD79" i="1"/>
  <c r="AC78" i="1"/>
  <c r="AD62" i="1"/>
  <c r="AC77" i="1"/>
  <c r="AD61" i="1"/>
  <c r="AC76" i="1"/>
  <c r="AD60" i="1"/>
  <c r="AC23" i="1"/>
  <c r="AD21" i="1"/>
  <c r="O62" i="8"/>
  <c r="O61" i="8"/>
  <c r="Y64" i="1"/>
  <c r="X80" i="1"/>
  <c r="X81" i="1" s="1"/>
  <c r="AA59" i="1"/>
  <c r="Z75" i="1"/>
  <c r="J46" i="2"/>
  <c r="F46" i="2"/>
  <c r="R46" i="2"/>
  <c r="N46" i="2"/>
  <c r="AA41" i="1"/>
  <c r="AA47" i="1" s="1"/>
  <c r="Q5" i="8"/>
  <c r="Q6" i="8" s="1"/>
  <c r="Q40" i="8" s="1"/>
  <c r="Q42" i="8" s="1"/>
  <c r="M17" i="11"/>
  <c r="M32" i="11" s="1"/>
  <c r="M26" i="11"/>
  <c r="O19" i="11"/>
  <c r="O34" i="11" s="1"/>
  <c r="M24" i="11"/>
  <c r="Q21" i="11"/>
  <c r="Q36" i="11" s="1"/>
  <c r="M13" i="11"/>
  <c r="M28" i="11" s="1"/>
  <c r="M12" i="11"/>
  <c r="M27" i="11" s="1"/>
  <c r="M14" i="11"/>
  <c r="M29" i="11" s="1"/>
  <c r="M23" i="11"/>
  <c r="M16" i="11"/>
  <c r="M31" i="11" s="1"/>
  <c r="M15" i="11"/>
  <c r="M30" i="11" s="1"/>
  <c r="P20" i="11"/>
  <c r="P35" i="11" s="1"/>
  <c r="N18" i="11"/>
  <c r="N33" i="11" s="1"/>
  <c r="M25" i="11"/>
  <c r="P51" i="8"/>
  <c r="N11" i="11"/>
  <c r="R21" i="11" s="1"/>
  <c r="R36" i="11" s="1"/>
  <c r="AB27" i="1"/>
  <c r="AB43" i="1" s="1"/>
  <c r="AB26" i="1"/>
  <c r="AB42" i="1" s="1"/>
  <c r="AB29" i="1"/>
  <c r="AB45" i="1" s="1"/>
  <c r="AB28" i="1"/>
  <c r="AB44" i="1" s="1"/>
  <c r="AB25" i="1"/>
  <c r="AB30" i="1"/>
  <c r="AB46" i="1" s="1"/>
  <c r="AC26" i="1"/>
  <c r="AC42" i="1" s="1"/>
  <c r="AC27" i="1"/>
  <c r="AC43" i="1" s="1"/>
  <c r="AC29" i="1"/>
  <c r="AC45" i="1" s="1"/>
  <c r="AC28" i="1"/>
  <c r="AC44" i="1" s="1"/>
  <c r="AC25" i="1"/>
  <c r="AC30" i="1"/>
  <c r="AC46" i="1" s="1"/>
  <c r="AE79" i="1" l="1"/>
  <c r="AF63" i="1"/>
  <c r="AF79" i="1" s="1"/>
  <c r="AE62" i="1"/>
  <c r="AD78" i="1"/>
  <c r="AE61" i="1"/>
  <c r="AD77" i="1"/>
  <c r="AE60" i="1"/>
  <c r="AD76" i="1"/>
  <c r="P57" i="8"/>
  <c r="P61" i="8" s="1"/>
  <c r="AD23" i="1"/>
  <c r="AE21" i="1"/>
  <c r="AB59" i="1"/>
  <c r="AA75" i="1"/>
  <c r="Y80" i="1"/>
  <c r="Z64" i="1"/>
  <c r="AC41" i="1"/>
  <c r="S5" i="8"/>
  <c r="S6" i="8" s="1"/>
  <c r="S40" i="8" s="1"/>
  <c r="S42" i="8" s="1"/>
  <c r="AB41" i="1"/>
  <c r="R5" i="8"/>
  <c r="R6" i="8" s="1"/>
  <c r="R40" i="8" s="1"/>
  <c r="R42" i="8" s="1"/>
  <c r="N14" i="11"/>
  <c r="N29" i="11" s="1"/>
  <c r="P19" i="11"/>
  <c r="P34" i="11" s="1"/>
  <c r="N12" i="11"/>
  <c r="N27" i="11" s="1"/>
  <c r="N16" i="11"/>
  <c r="N31" i="11" s="1"/>
  <c r="N13" i="11"/>
  <c r="N28" i="11" s="1"/>
  <c r="N24" i="11"/>
  <c r="N23" i="11"/>
  <c r="Q20" i="11"/>
  <c r="Q35" i="11" s="1"/>
  <c r="N17" i="11"/>
  <c r="N32" i="11" s="1"/>
  <c r="N25" i="11"/>
  <c r="O18" i="11"/>
  <c r="O33" i="11" s="1"/>
  <c r="N26" i="11"/>
  <c r="N15" i="11"/>
  <c r="N30" i="11" s="1"/>
  <c r="Q51" i="8"/>
  <c r="Q57" i="8" s="1"/>
  <c r="O11" i="11"/>
  <c r="P55" i="1"/>
  <c r="H16" i="9" s="1"/>
  <c r="AC47" i="1"/>
  <c r="P52" i="1"/>
  <c r="H13" i="9" s="1"/>
  <c r="P54" i="1"/>
  <c r="H15" i="9" s="1"/>
  <c r="P51" i="1"/>
  <c r="H12" i="9" s="1"/>
  <c r="P53" i="1"/>
  <c r="H14" i="9" s="1"/>
  <c r="R20" i="11" l="1"/>
  <c r="R35" i="11" s="1"/>
  <c r="S21" i="11"/>
  <c r="S36" i="11" s="1"/>
  <c r="P88" i="1"/>
  <c r="O88" i="1"/>
  <c r="AF62" i="1"/>
  <c r="AF78" i="1" s="1"/>
  <c r="AE78" i="1"/>
  <c r="AF61" i="1"/>
  <c r="AF77" i="1" s="1"/>
  <c r="AE77" i="1"/>
  <c r="AF60" i="1"/>
  <c r="AF76" i="1" s="1"/>
  <c r="AE76" i="1"/>
  <c r="P62" i="8"/>
  <c r="AF21" i="1"/>
  <c r="AF23" i="1" s="1"/>
  <c r="AE23" i="1"/>
  <c r="AD30" i="1"/>
  <c r="AD46" i="1" s="1"/>
  <c r="AD27" i="1"/>
  <c r="AD43" i="1" s="1"/>
  <c r="AD29" i="1"/>
  <c r="AD45" i="1" s="1"/>
  <c r="AD28" i="1"/>
  <c r="AD44" i="1" s="1"/>
  <c r="AD25" i="1"/>
  <c r="AD26" i="1"/>
  <c r="AD42" i="1" s="1"/>
  <c r="Q61" i="8"/>
  <c r="Q62" i="8"/>
  <c r="AC59" i="1"/>
  <c r="AB75" i="1"/>
  <c r="AA64" i="1"/>
  <c r="Z80" i="1"/>
  <c r="Z81" i="1" s="1"/>
  <c r="Y81" i="1"/>
  <c r="P18" i="11"/>
  <c r="P33" i="11" s="1"/>
  <c r="O12" i="11"/>
  <c r="O27" i="11" s="1"/>
  <c r="O16" i="11"/>
  <c r="O31" i="11" s="1"/>
  <c r="Q19" i="11"/>
  <c r="Q34" i="11" s="1"/>
  <c r="O13" i="11"/>
  <c r="O28" i="11" s="1"/>
  <c r="O17" i="11"/>
  <c r="O32" i="11" s="1"/>
  <c r="O26" i="11"/>
  <c r="O14" i="11"/>
  <c r="O29" i="11" s="1"/>
  <c r="O25" i="11"/>
  <c r="O23" i="11"/>
  <c r="O15" i="11"/>
  <c r="O30" i="11" s="1"/>
  <c r="O24" i="11"/>
  <c r="P50" i="1"/>
  <c r="H11" i="9" s="1"/>
  <c r="AB47" i="1"/>
  <c r="R51" i="8"/>
  <c r="R57" i="8" s="1"/>
  <c r="P11" i="11"/>
  <c r="Q11" i="11"/>
  <c r="S51" i="8"/>
  <c r="S57" i="8" s="1"/>
  <c r="S20" i="11" l="1"/>
  <c r="S35" i="11" s="1"/>
  <c r="R19" i="11"/>
  <c r="R34" i="11" s="1"/>
  <c r="T21" i="11"/>
  <c r="T36" i="11" s="1"/>
  <c r="U21" i="11"/>
  <c r="U36" i="11" s="1"/>
  <c r="R18" i="11"/>
  <c r="R33" i="11" s="1"/>
  <c r="T20" i="11"/>
  <c r="T35" i="11" s="1"/>
  <c r="S19" i="11"/>
  <c r="S34" i="11" s="1"/>
  <c r="P87" i="1"/>
  <c r="O87" i="1"/>
  <c r="O86" i="1"/>
  <c r="P86" i="1"/>
  <c r="P85" i="1"/>
  <c r="O85" i="1"/>
  <c r="AC75" i="1"/>
  <c r="AD59" i="1"/>
  <c r="AD41" i="1"/>
  <c r="AD47" i="1" s="1"/>
  <c r="T5" i="8"/>
  <c r="T6" i="8" s="1"/>
  <c r="T40" i="8" s="1"/>
  <c r="T42" i="8" s="1"/>
  <c r="AE30" i="1"/>
  <c r="AE46" i="1" s="1"/>
  <c r="AE25" i="1"/>
  <c r="AE27" i="1"/>
  <c r="AE43" i="1" s="1"/>
  <c r="AE29" i="1"/>
  <c r="AE45" i="1" s="1"/>
  <c r="AE26" i="1"/>
  <c r="AE42" i="1" s="1"/>
  <c r="AE28" i="1"/>
  <c r="AE44" i="1" s="1"/>
  <c r="AF28" i="1"/>
  <c r="AF44" i="1" s="1"/>
  <c r="O53" i="1" s="1"/>
  <c r="G14" i="9" s="1"/>
  <c r="AF25" i="1"/>
  <c r="AF26" i="1"/>
  <c r="AF42" i="1" s="1"/>
  <c r="O51" i="1" s="1"/>
  <c r="G12" i="9" s="1"/>
  <c r="AF27" i="1"/>
  <c r="AF43" i="1" s="1"/>
  <c r="O52" i="1" s="1"/>
  <c r="G13" i="9" s="1"/>
  <c r="AF30" i="1"/>
  <c r="AF46" i="1" s="1"/>
  <c r="AF29" i="1"/>
  <c r="AF45" i="1" s="1"/>
  <c r="O54" i="1" s="1"/>
  <c r="G15" i="9" s="1"/>
  <c r="R61" i="8"/>
  <c r="R62" i="8"/>
  <c r="S61" i="8"/>
  <c r="S62" i="8"/>
  <c r="AA80" i="1"/>
  <c r="AB64" i="1"/>
  <c r="P13" i="11"/>
  <c r="P28" i="11" s="1"/>
  <c r="P26" i="11"/>
  <c r="P23" i="11"/>
  <c r="P15" i="11"/>
  <c r="P30" i="11" s="1"/>
  <c r="P12" i="11"/>
  <c r="P27" i="11" s="1"/>
  <c r="P24" i="11"/>
  <c r="P14" i="11"/>
  <c r="P29" i="11" s="1"/>
  <c r="Q18" i="11"/>
  <c r="Q33" i="11" s="1"/>
  <c r="P25" i="11"/>
  <c r="P17" i="11"/>
  <c r="P32" i="11" s="1"/>
  <c r="P16" i="11"/>
  <c r="P31" i="11" s="1"/>
  <c r="Q17" i="11"/>
  <c r="Q32" i="11" s="1"/>
  <c r="Q16" i="11"/>
  <c r="Q31" i="11" s="1"/>
  <c r="Q26" i="11"/>
  <c r="Q15" i="11"/>
  <c r="Q30" i="11" s="1"/>
  <c r="Q13" i="11"/>
  <c r="Q28" i="11" s="1"/>
  <c r="Q12" i="11"/>
  <c r="Q27" i="11" s="1"/>
  <c r="Q14" i="11"/>
  <c r="Q29" i="11" s="1"/>
  <c r="Q23" i="11"/>
  <c r="Q25" i="11"/>
  <c r="Q24" i="11"/>
  <c r="R11" i="11" l="1"/>
  <c r="T51" i="8"/>
  <c r="O55" i="1"/>
  <c r="G16" i="9" s="1"/>
  <c r="AE59" i="1"/>
  <c r="AD75" i="1"/>
  <c r="U5" i="8"/>
  <c r="U6" i="8" s="1"/>
  <c r="U40" i="8" s="1"/>
  <c r="U42" i="8" s="1"/>
  <c r="AE41" i="1"/>
  <c r="AE47" i="1" s="1"/>
  <c r="V5" i="8"/>
  <c r="V6" i="8" s="1"/>
  <c r="V40" i="8" s="1"/>
  <c r="V42" i="8" s="1"/>
  <c r="AF41" i="1"/>
  <c r="AB80" i="1"/>
  <c r="AC64" i="1"/>
  <c r="AA81" i="1"/>
  <c r="T57" i="8" l="1"/>
  <c r="T11" i="11"/>
  <c r="V51" i="8"/>
  <c r="V57" i="8" s="1"/>
  <c r="R12" i="11"/>
  <c r="R27" i="11" s="1"/>
  <c r="R14" i="11"/>
  <c r="R29" i="11" s="1"/>
  <c r="T19" i="11"/>
  <c r="T34" i="11" s="1"/>
  <c r="R16" i="11"/>
  <c r="R31" i="11" s="1"/>
  <c r="R25" i="11"/>
  <c r="S18" i="11"/>
  <c r="S33" i="11" s="1"/>
  <c r="R23" i="11"/>
  <c r="R13" i="11"/>
  <c r="R28" i="11" s="1"/>
  <c r="R15" i="11"/>
  <c r="R30" i="11" s="1"/>
  <c r="R17" i="11"/>
  <c r="R32" i="11" s="1"/>
  <c r="U20" i="11"/>
  <c r="U35" i="11" s="1"/>
  <c r="R24" i="11"/>
  <c r="V21" i="11"/>
  <c r="V36" i="11" s="1"/>
  <c r="R26" i="11"/>
  <c r="AF47" i="1"/>
  <c r="O50" i="1"/>
  <c r="G11" i="9" s="1"/>
  <c r="S11" i="11"/>
  <c r="U51" i="8"/>
  <c r="U57" i="8" s="1"/>
  <c r="AC80" i="1"/>
  <c r="AC81" i="1" s="1"/>
  <c r="AD64" i="1"/>
  <c r="AF59" i="1"/>
  <c r="AF75" i="1" s="1"/>
  <c r="AE75" i="1"/>
  <c r="AB81" i="1"/>
  <c r="S12" i="11" l="1"/>
  <c r="S27" i="11" s="1"/>
  <c r="S14" i="11"/>
  <c r="S29" i="11" s="1"/>
  <c r="U19" i="11"/>
  <c r="U34" i="11" s="1"/>
  <c r="S16" i="11"/>
  <c r="S31" i="11" s="1"/>
  <c r="T18" i="11"/>
  <c r="T33" i="11" s="1"/>
  <c r="S23" i="11"/>
  <c r="S26" i="11"/>
  <c r="W26" i="11" s="1"/>
  <c r="AD26" i="11" s="1"/>
  <c r="S17" i="11"/>
  <c r="S32" i="11" s="1"/>
  <c r="S13" i="11"/>
  <c r="S28" i="11" s="1"/>
  <c r="S15" i="11"/>
  <c r="S30" i="11" s="1"/>
  <c r="V20" i="11"/>
  <c r="V35" i="11" s="1"/>
  <c r="W35" i="11" s="1"/>
  <c r="AD32" i="11" s="1"/>
  <c r="S24" i="11"/>
  <c r="S25" i="11"/>
  <c r="V61" i="8"/>
  <c r="V62" i="8"/>
  <c r="T25" i="11"/>
  <c r="T12" i="11"/>
  <c r="T27" i="11" s="1"/>
  <c r="T14" i="11"/>
  <c r="T29" i="11" s="1"/>
  <c r="W29" i="11" s="1"/>
  <c r="V19" i="11"/>
  <c r="V34" i="11" s="1"/>
  <c r="X34" i="11" s="1"/>
  <c r="AE31" i="11" s="1"/>
  <c r="T16" i="11"/>
  <c r="T31" i="11" s="1"/>
  <c r="U18" i="11"/>
  <c r="U33" i="11" s="1"/>
  <c r="T23" i="11"/>
  <c r="W23" i="11" s="1"/>
  <c r="AD23" i="11" s="1"/>
  <c r="T26" i="11"/>
  <c r="T13" i="11"/>
  <c r="T28" i="11" s="1"/>
  <c r="T15" i="11"/>
  <c r="T30" i="11" s="1"/>
  <c r="T17" i="11"/>
  <c r="T32" i="11" s="1"/>
  <c r="T24" i="11"/>
  <c r="W24" i="11" s="1"/>
  <c r="AD24" i="11" s="1"/>
  <c r="X33" i="11"/>
  <c r="AE30" i="11" s="1"/>
  <c r="W33" i="11"/>
  <c r="AD30" i="11" s="1"/>
  <c r="E53" i="8"/>
  <c r="E73" i="8" s="1"/>
  <c r="X36" i="11"/>
  <c r="AE33" i="11" s="1"/>
  <c r="W36" i="11"/>
  <c r="AD33" i="11" s="1"/>
  <c r="W25" i="11"/>
  <c r="AD25" i="11" s="1"/>
  <c r="X25" i="11"/>
  <c r="AE25" i="11" s="1"/>
  <c r="E54" i="8"/>
  <c r="E74" i="8" s="1"/>
  <c r="U62" i="8"/>
  <c r="U61" i="8"/>
  <c r="X30" i="11"/>
  <c r="AE27" i="11" s="1"/>
  <c r="W30" i="11"/>
  <c r="AD27" i="11" s="1"/>
  <c r="O56" i="1"/>
  <c r="G17" i="9" s="1"/>
  <c r="P56" i="1"/>
  <c r="H17" i="9" s="1"/>
  <c r="W31" i="11"/>
  <c r="AD28" i="11" s="1"/>
  <c r="X31" i="11"/>
  <c r="AE28" i="11" s="1"/>
  <c r="T61" i="8"/>
  <c r="T62" i="8"/>
  <c r="E67" i="8" s="1"/>
  <c r="I73" i="8" s="1"/>
  <c r="AE64" i="1"/>
  <c r="AD80" i="1"/>
  <c r="AD81" i="1" s="1"/>
  <c r="O84" i="1"/>
  <c r="P84" i="1"/>
  <c r="W32" i="11" l="1"/>
  <c r="AD29" i="11" s="1"/>
  <c r="X26" i="11"/>
  <c r="AE26" i="11" s="1"/>
  <c r="W34" i="11"/>
  <c r="AD31" i="11" s="1"/>
  <c r="W28" i="11"/>
  <c r="X27" i="11"/>
  <c r="E68" i="8"/>
  <c r="I74" i="8" s="1"/>
  <c r="W27" i="11"/>
  <c r="X29" i="11"/>
  <c r="X28" i="11"/>
  <c r="X32" i="11"/>
  <c r="AE29" i="11" s="1"/>
  <c r="X23" i="11"/>
  <c r="AE23" i="11" s="1"/>
  <c r="E65" i="8"/>
  <c r="G74" i="8" s="1"/>
  <c r="E64" i="8"/>
  <c r="G73" i="8" s="1"/>
  <c r="X24" i="11"/>
  <c r="AE24" i="11" s="1"/>
  <c r="X35" i="11"/>
  <c r="AE32" i="11" s="1"/>
  <c r="AF64" i="1"/>
  <c r="AF80" i="1" s="1"/>
  <c r="AE80" i="1"/>
  <c r="AE81" i="1" s="1"/>
  <c r="O89" i="1" l="1"/>
  <c r="P89" i="1"/>
  <c r="AF81" i="1"/>
  <c r="O90" i="1" s="1"/>
  <c r="P90" i="1" l="1"/>
</calcChain>
</file>

<file path=xl/sharedStrings.xml><?xml version="1.0" encoding="utf-8"?>
<sst xmlns="http://schemas.openxmlformats.org/spreadsheetml/2006/main" count="1562" uniqueCount="622">
  <si>
    <t>Output 2.1 Critical small scale fisheries infrastructure climate-proofed and improved</t>
  </si>
  <si>
    <t>Costs</t>
  </si>
  <si>
    <t>Key parameters and assumptions</t>
  </si>
  <si>
    <t>1)</t>
  </si>
  <si>
    <t>(in '000 USD)</t>
  </si>
  <si>
    <t>Site</t>
  </si>
  <si>
    <t>Main Activity</t>
  </si>
  <si>
    <t>Q1</t>
  </si>
  <si>
    <t>Q2</t>
  </si>
  <si>
    <t>Q3</t>
  </si>
  <si>
    <t>Q4</t>
  </si>
  <si>
    <t>ESIA STUDY</t>
  </si>
  <si>
    <t>DETAILED DESIGN</t>
  </si>
  <si>
    <t>AND SUPERVISION</t>
  </si>
  <si>
    <t>Banjul Jetty</t>
  </si>
  <si>
    <r>
      <t xml:space="preserve">MOBILISATION AND DREDGING                           </t>
    </r>
    <r>
      <rPr>
        <b/>
        <sz val="11"/>
        <color theme="1"/>
        <rFont val="Calibri"/>
        <family val="2"/>
        <scheme val="minor"/>
      </rPr>
      <t>PACKAGE 1</t>
    </r>
  </si>
  <si>
    <t>PILING WORKS</t>
  </si>
  <si>
    <t>FLOATING JETTIES</t>
  </si>
  <si>
    <t xml:space="preserve">BUILDINGS </t>
  </si>
  <si>
    <t>LIQUID WASTE TREATMENT</t>
  </si>
  <si>
    <t>EQUIPMENT AND ANCILLARIES</t>
  </si>
  <si>
    <t xml:space="preserve"> </t>
  </si>
  <si>
    <t>CONTINGENCIES</t>
  </si>
  <si>
    <t>Brufut</t>
  </si>
  <si>
    <r>
      <t xml:space="preserve">FISH SMOKING SHEDS                                           </t>
    </r>
    <r>
      <rPr>
        <b/>
        <sz val="11"/>
        <color theme="1"/>
        <rFont val="Calibri"/>
        <family val="2"/>
        <scheme val="minor"/>
      </rPr>
      <t xml:space="preserve"> PACKAGE 2</t>
    </r>
  </si>
  <si>
    <t>SOLAR-POWERED SEAWATER LINE</t>
  </si>
  <si>
    <t>FISH DRYING PLATFORM</t>
  </si>
  <si>
    <t>Tanji</t>
  </si>
  <si>
    <t>FISH SMOKING SHEDS</t>
  </si>
  <si>
    <t>Sanyang</t>
  </si>
  <si>
    <t>FISH DRYING PLATFORMS (2 No)</t>
  </si>
  <si>
    <t>Bintang</t>
  </si>
  <si>
    <r>
      <t xml:space="preserve">MOBILISATION                                        </t>
    </r>
    <r>
      <rPr>
        <b/>
        <sz val="10"/>
        <rFont val="Tahoma"/>
        <family val="2"/>
      </rPr>
      <t xml:space="preserve">    PACKAGE 3</t>
    </r>
  </si>
  <si>
    <t>PONTOONS</t>
  </si>
  <si>
    <t>RAINSING OF ROAD LEVEL</t>
  </si>
  <si>
    <t>Kartong</t>
  </si>
  <si>
    <t>MOBILISATION</t>
  </si>
  <si>
    <t>RAINSING OF ROAD AND PLATFORM LEVEL</t>
  </si>
  <si>
    <t>SOLAR-POWERED BRACKISH WATER FISH RINSING LINE</t>
  </si>
  <si>
    <t>TRAININGS</t>
  </si>
  <si>
    <t>Table 1 Proposed investment costs per landing site</t>
  </si>
  <si>
    <t>No.</t>
  </si>
  <si>
    <t>Banjul</t>
  </si>
  <si>
    <t>ESIA, detailed design, supervision</t>
  </si>
  <si>
    <t>Trainings</t>
  </si>
  <si>
    <t>-</t>
  </si>
  <si>
    <t>Cost item</t>
  </si>
  <si>
    <t>Weight by site</t>
  </si>
  <si>
    <t>Pro-rata</t>
  </si>
  <si>
    <t>Total</t>
  </si>
  <si>
    <t>Cost-benefit analysis of the proposed GCF investments in climate-proofing and improving small scale fisheries infrastructure at 6 landing sites in the Gambia</t>
  </si>
  <si>
    <t>US$ 7.4 million investment in studies, design, construction, supervision and training at 6 landing sites (see tab Output 2.1 Costs and table 1 below)</t>
  </si>
  <si>
    <t>2)</t>
  </si>
  <si>
    <t>Non-construction costs (studies, supervision, training, etc.) distributed pro-rata to each landing site</t>
  </si>
  <si>
    <t>3)</t>
  </si>
  <si>
    <t>Gradual phasing of costs from Q3 Y1 to Q2 Y4</t>
  </si>
  <si>
    <t>4)</t>
  </si>
  <si>
    <t>5% maintenance cost after completion (starting in Y4)</t>
  </si>
  <si>
    <t>Landing site</t>
  </si>
  <si>
    <t>Gunjur</t>
  </si>
  <si>
    <t>Bakau</t>
  </si>
  <si>
    <t>*average value of catches: 1,000 US$ per ton/1 US$ per kg</t>
  </si>
  <si>
    <t>Average</t>
  </si>
  <si>
    <t>% total</t>
  </si>
  <si>
    <t>Other sites</t>
  </si>
  <si>
    <t>Total artisanal catches</t>
  </si>
  <si>
    <t>Total marine/Atlantic</t>
  </si>
  <si>
    <t>Total river/inland</t>
  </si>
  <si>
    <t>Total annual landings</t>
  </si>
  <si>
    <t>Value (US$)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</si>
  <si>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</si>
  <si>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</si>
  <si>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</si>
  <si>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</si>
  <si>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</si>
  <si>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</si>
  <si>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</si>
  <si>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</si>
  <si>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</si>
  <si>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</si>
  <si>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</si>
  <si>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</si>
  <si>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</si>
  <si>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</si>
  <si>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</si>
  <si>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New/Old Jeshwang</t>
  </si>
  <si>
    <t>WOP</t>
  </si>
  <si>
    <t>WP</t>
  </si>
  <si>
    <t>WP-WOP</t>
  </si>
  <si>
    <t>Adj. average</t>
  </si>
  <si>
    <t>Benefits</t>
  </si>
  <si>
    <t>WOP: higher post-landing losses (currently 25% to 30%)</t>
  </si>
  <si>
    <t>Avoided losses</t>
  </si>
  <si>
    <t xml:space="preserve">Table 2 </t>
  </si>
  <si>
    <t>Quantity (ton)</t>
  </si>
  <si>
    <t>EIRR</t>
  </si>
  <si>
    <t>NPV</t>
  </si>
  <si>
    <t>Net add. Benefits</t>
  </si>
  <si>
    <t>Add. Benefits</t>
  </si>
  <si>
    <t>Economic results</t>
  </si>
  <si>
    <t>(phasing)</t>
  </si>
  <si>
    <t>Min. reduction</t>
  </si>
  <si>
    <t>Goal</t>
  </si>
  <si>
    <t>Unit</t>
  </si>
  <si>
    <t>Unit cost (US$)</t>
  </si>
  <si>
    <t>Aquaculture packages</t>
  </si>
  <si>
    <t>Aquaculture Package 1 - Integration of fish tanks in communal vegetable gardens</t>
  </si>
  <si>
    <t xml:space="preserve">1A. Integration in existing gardens </t>
  </si>
  <si>
    <t>Garden</t>
  </si>
  <si>
    <t>Infrastructure and equipment</t>
  </si>
  <si>
    <t>Fish tanks</t>
  </si>
  <si>
    <t>tank</t>
  </si>
  <si>
    <t>Fish tank shelter</t>
  </si>
  <si>
    <t>shelter</t>
  </si>
  <si>
    <t>Fish smoking ovens</t>
  </si>
  <si>
    <t>oven</t>
  </si>
  <si>
    <t>Oven shelter</t>
  </si>
  <si>
    <t>Start-up kits (incl. inputs for 2 cycles)</t>
  </si>
  <si>
    <t>Fingerlings (500 catfish/tank/cycle)</t>
  </si>
  <si>
    <t>unit</t>
  </si>
  <si>
    <t>Feed (700 g fish, FCR 1.2)</t>
  </si>
  <si>
    <t>kg</t>
  </si>
  <si>
    <t>Tools</t>
  </si>
  <si>
    <t>set</t>
  </si>
  <si>
    <t>Aquaculture training</t>
  </si>
  <si>
    <t>session</t>
  </si>
  <si>
    <t>Fish smoking training</t>
  </si>
  <si>
    <t xml:space="preserve">1B. Integration in new gardens </t>
  </si>
  <si>
    <t>Aquaculture Package 2 - Introduction of integrated rice-fish culture</t>
  </si>
  <si>
    <t>2. Integration rice-fish culture in new rice schemes</t>
  </si>
  <si>
    <t>ha</t>
  </si>
  <si>
    <t>Works</t>
  </si>
  <si>
    <t>Additional works (mechanical, incl. required studies)</t>
  </si>
  <si>
    <t>Fingerlings (3000 tilapia/ha/cycle)</t>
  </si>
  <si>
    <t>Suplimentary feed (330 g fish, FCR 1.5, only 50% of needs)</t>
  </si>
  <si>
    <t>Aquaculture Package 3 - Fish culture in earthen ponds</t>
  </si>
  <si>
    <t>3A. Development of new ponds (10 clusters of 5 ponds each = 50 ponds)</t>
  </si>
  <si>
    <t>cluster</t>
  </si>
  <si>
    <t>Work, infrastructure and equipment</t>
  </si>
  <si>
    <t>Borehole drilling</t>
  </si>
  <si>
    <t>Water pumps, controllers, inverters &amp; auxiliaries</t>
  </si>
  <si>
    <t>Solar Photovoltaic Panels support, cables, grounding SDB Panel</t>
  </si>
  <si>
    <t>Overhead tank</t>
  </si>
  <si>
    <t>Pond digging (400 m2/each)</t>
  </si>
  <si>
    <t>m2</t>
  </si>
  <si>
    <t>Pond lining</t>
  </si>
  <si>
    <t>pond</t>
  </si>
  <si>
    <t xml:space="preserve">Draining and filling pipes </t>
  </si>
  <si>
    <t>Fingerlings (3 tilapia/m2)</t>
  </si>
  <si>
    <t>Feed (500 g fish, FCR 1.5)</t>
  </si>
  <si>
    <t>Aquaculture training (2 sessions/cluster)</t>
  </si>
  <si>
    <t>3B. Rehabilitating and climate proofing existing ponds (existing clusters of 2 ponds)</t>
  </si>
  <si>
    <t>Water access improvements (add. drilling, piping, etc.)</t>
  </si>
  <si>
    <t>Aquaculture 4 - Promotion of sustainable clam and oyster culture</t>
  </si>
  <si>
    <t>4A - Improved clams and cockles harvesting (groups of 30 women)</t>
  </si>
  <si>
    <t>group</t>
  </si>
  <si>
    <t>Equipment</t>
  </si>
  <si>
    <t>Canoe</t>
  </si>
  <si>
    <t>Clams and cockles cultivation beds</t>
  </si>
  <si>
    <t>Culture training (3 sessions per group)</t>
  </si>
  <si>
    <t>4B - Oyster rearing (groups of 10 women)</t>
  </si>
  <si>
    <t>Motorized canoe</t>
  </si>
  <si>
    <t xml:space="preserve">Artificial substrate for oysters (roof tiles, poles, ropes) (per woman) </t>
  </si>
  <si>
    <t>lot</t>
  </si>
  <si>
    <t>Oyster rearing training (3 sessions per group)</t>
  </si>
  <si>
    <t>IFAD</t>
  </si>
  <si>
    <t>Rehab</t>
  </si>
  <si>
    <t>New</t>
  </si>
  <si>
    <t>Investment costs</t>
  </si>
  <si>
    <t>Recurrent costs</t>
  </si>
  <si>
    <t>fingerling</t>
  </si>
  <si>
    <t>cycles/year</t>
  </si>
  <si>
    <t>kit</t>
  </si>
  <si>
    <t>Maintenance and repairs (5%)</t>
  </si>
  <si>
    <t>%</t>
  </si>
  <si>
    <t>Production</t>
  </si>
  <si>
    <t>fish</t>
  </si>
  <si>
    <t>Produced catfish (10% mortality Y1-Y3, 5% thereafter)</t>
  </si>
  <si>
    <t>Produced fish (weight equivalent - 700 g fish)</t>
  </si>
  <si>
    <t>lumpsum</t>
  </si>
  <si>
    <t>Firewood and salt for smoking</t>
  </si>
  <si>
    <t>Depreciation</t>
  </si>
  <si>
    <t>Depreciation (10% per year)</t>
  </si>
  <si>
    <t>Smoked fish</t>
  </si>
  <si>
    <t>Price/unit (US$)</t>
  </si>
  <si>
    <t>Maintenance and repairs (5% of initial investment cost)</t>
  </si>
  <si>
    <t>Labor</t>
  </si>
  <si>
    <t>days</t>
  </si>
  <si>
    <t>(US$)</t>
  </si>
  <si>
    <t>Profit cashflow</t>
  </si>
  <si>
    <t>IRR (%)</t>
  </si>
  <si>
    <t>Smoking conversion ratio (1 kg fresh yields 350 g dried and smoked)</t>
  </si>
  <si>
    <t>lumpsum/ha</t>
  </si>
  <si>
    <t>Additional works</t>
  </si>
  <si>
    <t>Produced tilapia (10% mortality Y1-Y3, 5% thereafter)</t>
  </si>
  <si>
    <t>Produced fish (weight equivalent - 330 g fish)</t>
  </si>
  <si>
    <t>Maintenance @2.5%/year of investment cost</t>
  </si>
  <si>
    <t>Fresh fish</t>
  </si>
  <si>
    <t>Additional rice</t>
  </si>
  <si>
    <t>Maintenance @5%/year</t>
  </si>
  <si>
    <t>Rice production yield gains</t>
  </si>
  <si>
    <t>Cluster of 5 ponds</t>
  </si>
  <si>
    <t>Tool</t>
  </si>
  <si>
    <t>day</t>
  </si>
  <si>
    <t>Maintenance</t>
  </si>
  <si>
    <t>Produced fish (weight equivalent - 500 g fish)</t>
  </si>
  <si>
    <t>Produced tilapia (survival rate: 65% Y1, 70% Y2, 75% after)</t>
  </si>
  <si>
    <t>Fuel</t>
  </si>
  <si>
    <t>Fuel and other inputs</t>
  </si>
  <si>
    <t>LS/month</t>
  </si>
  <si>
    <t>Group of 10 women</t>
  </si>
  <si>
    <t>10 women, operating per season of 4 months, each producing 25 kg/month</t>
  </si>
  <si>
    <t>(US$ million)</t>
  </si>
  <si>
    <t>Net Add. Benefits</t>
  </si>
  <si>
    <t>Aquaculture package 1</t>
  </si>
  <si>
    <t>units</t>
  </si>
  <si>
    <t>Aquaculture package 2</t>
  </si>
  <si>
    <t>Aquaculture package 3</t>
  </si>
  <si>
    <t>Aquaculture package 4</t>
  </si>
  <si>
    <t>Aquaculture development</t>
  </si>
  <si>
    <t>Residual costs</t>
  </si>
  <si>
    <t>Net Aquaculture development</t>
  </si>
  <si>
    <t>Aquaculture development (Output 2.2)</t>
  </si>
  <si>
    <t>Small Scale Fisheries Infrastructure (Output 2.1)</t>
  </si>
  <si>
    <t>Total component 2</t>
  </si>
  <si>
    <t>Total add. Benefits</t>
  </si>
  <si>
    <t>Component 1 costs</t>
  </si>
  <si>
    <t>Component 2 costs (already included above)</t>
  </si>
  <si>
    <t>Component 3 costs</t>
  </si>
  <si>
    <t>PMC costs</t>
  </si>
  <si>
    <t>Total costs</t>
  </si>
  <si>
    <t>Total net add. Benefits</t>
  </si>
  <si>
    <t>NPV @ 6% (US$ mn)</t>
  </si>
  <si>
    <t>EIRR (%)</t>
  </si>
  <si>
    <t>NPV (@6%, US$ mn)</t>
  </si>
  <si>
    <t>Economic results (standard CBA)</t>
  </si>
  <si>
    <t>(%)</t>
  </si>
  <si>
    <t>(@6%, US$ mn)</t>
  </si>
  <si>
    <t>Break-even analysis (15-y @6%)</t>
  </si>
  <si>
    <t>Required reduction in losses</t>
  </si>
  <si>
    <t>Landing</t>
  </si>
  <si>
    <t>Rice-fish culture</t>
  </si>
  <si>
    <t>Fish culture in tanks</t>
  </si>
  <si>
    <t>Fish culture in ponds</t>
  </si>
  <si>
    <t>Clam and oyster culture</t>
  </si>
  <si>
    <t>*at full realization of benefits</t>
  </si>
  <si>
    <t>Yearly add. income* (US$/unit)</t>
  </si>
  <si>
    <t>Yearly add. income* (US$/beneficiary)</t>
  </si>
  <si>
    <t xml:space="preserve">Fish losses </t>
  </si>
  <si>
    <t>kg of oyster/clams</t>
  </si>
  <si>
    <t>Sensitivity Analysis</t>
  </si>
  <si>
    <t>Year</t>
  </si>
  <si>
    <t>ERR</t>
  </si>
  <si>
    <t>Base scenario</t>
  </si>
  <si>
    <t>costs      +</t>
  </si>
  <si>
    <t>costs        +</t>
  </si>
  <si>
    <t>costs    +</t>
  </si>
  <si>
    <t>Additional benefits</t>
  </si>
  <si>
    <t>benefits    +</t>
  </si>
  <si>
    <t>benefits    -</t>
  </si>
  <si>
    <t>benefits delayed by 1 year</t>
  </si>
  <si>
    <t>benefits delayed by 2 years</t>
  </si>
  <si>
    <t>benefits delayed by 3 years</t>
  </si>
  <si>
    <t>benefits delayed by 4 years</t>
  </si>
  <si>
    <t>Scenarios</t>
  </si>
  <si>
    <t>Net cash flow</t>
  </si>
  <si>
    <t>USD million</t>
  </si>
  <si>
    <t>Costs        +</t>
  </si>
  <si>
    <t>Benefits     -</t>
  </si>
  <si>
    <t>Benefits delayed by 1 year</t>
  </si>
  <si>
    <t>Benefits delayed by 2 year</t>
  </si>
  <si>
    <t>Benefits delayed by 3 year</t>
  </si>
  <si>
    <t>Benefits delayed by 4 year</t>
  </si>
  <si>
    <t>Adoption rate   -</t>
  </si>
  <si>
    <t>adoption rate     -</t>
  </si>
  <si>
    <t>Total GCF costs</t>
  </si>
  <si>
    <t>total costs</t>
  </si>
  <si>
    <t>Adoption</t>
  </si>
  <si>
    <t>output price     -</t>
  </si>
  <si>
    <t>Output price</t>
  </si>
  <si>
    <t>Fish prices   -</t>
  </si>
  <si>
    <t>NPV (6%)</t>
  </si>
  <si>
    <t>Squids</t>
  </si>
  <si>
    <t>Alestes dentex</t>
  </si>
  <si>
    <t>Chaah/gaindeh</t>
  </si>
  <si>
    <t>Sharks/Skates/Rays</t>
  </si>
  <si>
    <t>Elasmobranchii</t>
  </si>
  <si>
    <t>Nurse shark</t>
  </si>
  <si>
    <t>Ginglymostoma cirratum</t>
  </si>
  <si>
    <t>Blackchin guitarfish</t>
  </si>
  <si>
    <t>Rhinobatos cemiculus</t>
  </si>
  <si>
    <t>Kakolibo</t>
  </si>
  <si>
    <t>Torgeh</t>
  </si>
  <si>
    <t>Cobia</t>
  </si>
  <si>
    <t>Rachycentron canadum</t>
  </si>
  <si>
    <t>Great hammerhead</t>
  </si>
  <si>
    <t>Shyrna mokarran</t>
  </si>
  <si>
    <t>Brown ray</t>
  </si>
  <si>
    <t>Raja miraletus</t>
  </si>
  <si>
    <t>Thon</t>
  </si>
  <si>
    <t>Yellow fin tuna</t>
  </si>
  <si>
    <t>Thunnus albacares</t>
  </si>
  <si>
    <t>Sokoro</t>
  </si>
  <si>
    <t>Hydrocynus brevis</t>
  </si>
  <si>
    <t>Sepia spp</t>
  </si>
  <si>
    <t>Scallop hammerhead</t>
  </si>
  <si>
    <t>Shyrna lewini</t>
  </si>
  <si>
    <t>Trippo</t>
  </si>
  <si>
    <t>Parrot fishes</t>
  </si>
  <si>
    <t>Scaridae (Sparisoma spp, Scarus hoefleri, Nichosina)</t>
  </si>
  <si>
    <t>Suum</t>
  </si>
  <si>
    <t>Lobster</t>
  </si>
  <si>
    <t>Palinurus regius</t>
  </si>
  <si>
    <t>Gulper shark</t>
  </si>
  <si>
    <t>Centrophorus granulosus</t>
  </si>
  <si>
    <t>Marbled stingray</t>
  </si>
  <si>
    <t>Lsuitanian cownose ray</t>
  </si>
  <si>
    <t>Rhinoptera marginata</t>
  </si>
  <si>
    <t>White spotted guitarfish</t>
  </si>
  <si>
    <t>Rhinobatos albomaculatus</t>
  </si>
  <si>
    <t>Kululdomo</t>
  </si>
  <si>
    <t>Labeo coubie</t>
  </si>
  <si>
    <t>Crabs</t>
  </si>
  <si>
    <t>Callinectes spp</t>
  </si>
  <si>
    <t>Doctorfish</t>
  </si>
  <si>
    <t>Acanthurus monroviae</t>
  </si>
  <si>
    <t>Ngot</t>
  </si>
  <si>
    <t>Bluefish</t>
  </si>
  <si>
    <t>Pomatomus saltatrix</t>
  </si>
  <si>
    <t>Lowfin gulper shark</t>
  </si>
  <si>
    <t>Centrophorus lusitanicus</t>
  </si>
  <si>
    <t>Kokriko</t>
  </si>
  <si>
    <t>Synodontisbatensoda</t>
  </si>
  <si>
    <t>Blacktip shark</t>
  </si>
  <si>
    <t>Carcharhinus limbatus</t>
  </si>
  <si>
    <t>Konkareh</t>
  </si>
  <si>
    <t>Smooth puffer</t>
  </si>
  <si>
    <t>Tetraodontidae (Smooth and Prickly Puffer)</t>
  </si>
  <si>
    <t>N'dor</t>
  </si>
  <si>
    <t>Trigger fishes</t>
  </si>
  <si>
    <t>Balistidae (B. capriscus, B. punctatus)</t>
  </si>
  <si>
    <t>Milk shark</t>
  </si>
  <si>
    <t>Rhizoprionodon acutus</t>
  </si>
  <si>
    <t>HV</t>
  </si>
  <si>
    <t>Beur</t>
  </si>
  <si>
    <t>Meagre</t>
  </si>
  <si>
    <t>Argyrosomus regius</t>
  </si>
  <si>
    <t>Daisy stingray</t>
  </si>
  <si>
    <t>Dasyatis marginata</t>
  </si>
  <si>
    <t>Nalo</t>
  </si>
  <si>
    <t>Mormyrus spp</t>
  </si>
  <si>
    <t>Fantango</t>
  </si>
  <si>
    <t>Heterotis niloticus</t>
  </si>
  <si>
    <t>Lamba ceesay</t>
  </si>
  <si>
    <t>Papyrocranus afer</t>
  </si>
  <si>
    <t>John dory</t>
  </si>
  <si>
    <t>Zeus faber</t>
  </si>
  <si>
    <t>Sanko</t>
  </si>
  <si>
    <t>Hepsetus odeo</t>
  </si>
  <si>
    <t>Epinephellus aeneus.</t>
  </si>
  <si>
    <t>Taro</t>
  </si>
  <si>
    <t>Citharinus citharus</t>
  </si>
  <si>
    <t>Dentex spp</t>
  </si>
  <si>
    <t>Warrnge</t>
  </si>
  <si>
    <t>Seabream</t>
  </si>
  <si>
    <t>Pagellus spp</t>
  </si>
  <si>
    <t>Butter fish</t>
  </si>
  <si>
    <t>Stromateus fiatola</t>
  </si>
  <si>
    <t>Sayewo</t>
  </si>
  <si>
    <t>Polypterus bichil</t>
  </si>
  <si>
    <t>Yawal</t>
  </si>
  <si>
    <t>Alexandra pompano</t>
  </si>
  <si>
    <t>Alectis alexandrinus</t>
  </si>
  <si>
    <t>Nguka</t>
  </si>
  <si>
    <t>Law Croaker</t>
  </si>
  <si>
    <t>Pseudotolithus senegallus</t>
  </si>
  <si>
    <t>White skate</t>
  </si>
  <si>
    <t>Raja alba</t>
  </si>
  <si>
    <t>Others</t>
  </si>
  <si>
    <t>Kono kono</t>
  </si>
  <si>
    <t>Clarias senegalensis</t>
  </si>
  <si>
    <t>Common Octopus</t>
  </si>
  <si>
    <t>Octopus vulgaris</t>
  </si>
  <si>
    <t>Banda</t>
  </si>
  <si>
    <t>Rubberlip Grunt</t>
  </si>
  <si>
    <t>Plectorhynchus meditaraneus</t>
  </si>
  <si>
    <t>Tapandarr</t>
  </si>
  <si>
    <t>African Sicklefish</t>
  </si>
  <si>
    <t>Drepane africana</t>
  </si>
  <si>
    <t>Kosso</t>
  </si>
  <si>
    <t>Chrysicthys spp (nigrodigitatus, johnelsi, maurus)</t>
  </si>
  <si>
    <t>Sacca/Fetta</t>
  </si>
  <si>
    <t>Jacks,Crevalles,Nei</t>
  </si>
  <si>
    <t>Caranx spp.</t>
  </si>
  <si>
    <t>Tingo</t>
  </si>
  <si>
    <t>Malapterus electricus</t>
  </si>
  <si>
    <t>Centuir</t>
  </si>
  <si>
    <t>Hairtails</t>
  </si>
  <si>
    <t>Trichiuridae</t>
  </si>
  <si>
    <t>Choff</t>
  </si>
  <si>
    <t>Grouper</t>
  </si>
  <si>
    <t>Epinephellus spp.</t>
  </si>
  <si>
    <t>Tonnone</t>
  </si>
  <si>
    <t>Long Neck Croaker</t>
  </si>
  <si>
    <t>Pseudotolithus typus</t>
  </si>
  <si>
    <t>Chekem</t>
  </si>
  <si>
    <t>Lesser african threadfins</t>
  </si>
  <si>
    <t>Galeoides decadactylus</t>
  </si>
  <si>
    <t>Chub Mackerel</t>
  </si>
  <si>
    <t>Scomber japonicus</t>
  </si>
  <si>
    <t>Yeat</t>
  </si>
  <si>
    <t>Sea snails</t>
  </si>
  <si>
    <t>Cybium spp</t>
  </si>
  <si>
    <t>Walinyaba</t>
  </si>
  <si>
    <t>Bagrus bayad macropthalmus</t>
  </si>
  <si>
    <t>Mullet</t>
  </si>
  <si>
    <t>Mugilidae</t>
  </si>
  <si>
    <t>Galli dorr</t>
  </si>
  <si>
    <t>Common Cuttlefish</t>
  </si>
  <si>
    <t>Sepia officinalis.</t>
  </si>
  <si>
    <t>Sippa sippa</t>
  </si>
  <si>
    <t>Shrimps</t>
  </si>
  <si>
    <t>Penaeus notialis</t>
  </si>
  <si>
    <t>V</t>
  </si>
  <si>
    <t>Wass</t>
  </si>
  <si>
    <t>Tilapia</t>
  </si>
  <si>
    <t>Oreochromis (=Tilapia) spp</t>
  </si>
  <si>
    <t>Cunene horse mackerel</t>
  </si>
  <si>
    <t>Trachurus trecae</t>
  </si>
  <si>
    <t>Jortoh</t>
  </si>
  <si>
    <t>Bobo Croaker</t>
  </si>
  <si>
    <t>Pseudotolithus elongatus</t>
  </si>
  <si>
    <t>Sedda</t>
  </si>
  <si>
    <t>Barracudas</t>
  </si>
  <si>
    <t>Sphyraena spp.</t>
  </si>
  <si>
    <t>Scads</t>
  </si>
  <si>
    <t>Decapterus spp</t>
  </si>
  <si>
    <t>Kujeli</t>
  </si>
  <si>
    <t>Giant African threadfins</t>
  </si>
  <si>
    <t>Polydactylus quadrifilis</t>
  </si>
  <si>
    <t>Yaah</t>
  </si>
  <si>
    <t>Snapper</t>
  </si>
  <si>
    <t>Lutjanus spp.</t>
  </si>
  <si>
    <t>Nginyan</t>
  </si>
  <si>
    <t>West African Ladyfish</t>
  </si>
  <si>
    <t>Elops Lacerta</t>
  </si>
  <si>
    <t>sompat</t>
  </si>
  <si>
    <t>Sompat Grunt</t>
  </si>
  <si>
    <t>Pomadasys jubelini</t>
  </si>
  <si>
    <t>Y</t>
  </si>
  <si>
    <t>Solefish</t>
  </si>
  <si>
    <t>Solefishes</t>
  </si>
  <si>
    <t>Cynoglossidae</t>
  </si>
  <si>
    <t>N</t>
  </si>
  <si>
    <t>Fotta</t>
  </si>
  <si>
    <t>Cassava Croaker</t>
  </si>
  <si>
    <t>Pseudotolithus senegalensis</t>
  </si>
  <si>
    <t>Ngorr sikim</t>
  </si>
  <si>
    <t>Royal threadfin</t>
  </si>
  <si>
    <t>Pentanemus quinquarius</t>
  </si>
  <si>
    <t>Kong</t>
  </si>
  <si>
    <t>Catfishes</t>
  </si>
  <si>
    <t>Arius spp.</t>
  </si>
  <si>
    <t>Yabuoy</t>
  </si>
  <si>
    <t>Round sardinella</t>
  </si>
  <si>
    <t>Sardinella aurita</t>
  </si>
  <si>
    <t>Madeiren sardinella</t>
  </si>
  <si>
    <t>Sardinella  maderensis</t>
  </si>
  <si>
    <t>Bonga</t>
  </si>
  <si>
    <t>Shad</t>
  </si>
  <si>
    <t>Ethmalosa fimbriata</t>
  </si>
  <si>
    <t>5-y average</t>
  </si>
  <si>
    <t>share</t>
  </si>
  <si>
    <t>Local</t>
  </si>
  <si>
    <t>Common name</t>
  </si>
  <si>
    <t>Scientific</t>
  </si>
  <si>
    <t>Species Names</t>
  </si>
  <si>
    <t>Artisanal Fisheries Sub-sector</t>
  </si>
  <si>
    <r>
      <t xml:space="preserve">Projected increase in artisanal catches based on the average growth per year over the last 10 years (see statistics in sheet </t>
    </r>
    <r>
      <rPr>
        <i/>
        <sz val="11"/>
        <color theme="1"/>
        <rFont val="Calibri"/>
        <family val="2"/>
        <scheme val="minor"/>
      </rPr>
      <t>Artisanal catches)</t>
    </r>
  </si>
  <si>
    <t>Total emissions, tCO2-eq</t>
  </si>
  <si>
    <t>Per year</t>
  </si>
  <si>
    <t>Y16</t>
  </si>
  <si>
    <t>Y17</t>
  </si>
  <si>
    <t>Y18</t>
  </si>
  <si>
    <t>Y19</t>
  </si>
  <si>
    <t>Y20</t>
  </si>
  <si>
    <t>Factor</t>
  </si>
  <si>
    <t>Carbon prices</t>
  </si>
  <si>
    <t>from the Guidance note on shadow price of carbon in economic analysis September, 2017</t>
  </si>
  <si>
    <t>Low</t>
  </si>
  <si>
    <t>High</t>
  </si>
  <si>
    <t>Low env externalities valuation</t>
  </si>
  <si>
    <t>High env externalities valuation</t>
  </si>
  <si>
    <t>Investments costs</t>
  </si>
  <si>
    <t>Profit excl. investment</t>
  </si>
  <si>
    <t>Payback</t>
  </si>
  <si>
    <t>year 5</t>
  </si>
  <si>
    <t>year 6</t>
  </si>
  <si>
    <t>Add. rice production</t>
  </si>
  <si>
    <t>Assumptions</t>
  </si>
  <si>
    <t>100% Loan scenario</t>
  </si>
  <si>
    <t>Commercial loan for rounded up payback period (5 years)</t>
  </si>
  <si>
    <t>Interest rate</t>
  </si>
  <si>
    <t>Interest rate 18% p.a.</t>
  </si>
  <si>
    <t>Principal repayment</t>
  </si>
  <si>
    <t>Total investment cost</t>
  </si>
  <si>
    <t>50% Loan - 50% Grant scenario</t>
  </si>
  <si>
    <t>50% Commercial loan for rounded up payback period (5 years)</t>
  </si>
  <si>
    <t>50% Grant</t>
  </si>
  <si>
    <t>Grant</t>
  </si>
  <si>
    <t>NPV @ 18% (US$)</t>
  </si>
  <si>
    <t>Commercial loan for rounded up payback period (6 years)</t>
  </si>
  <si>
    <t>Baseline</t>
  </si>
  <si>
    <t>Fish prices - 10%</t>
  </si>
  <si>
    <t>Inputs prices + 10%</t>
  </si>
  <si>
    <t>NPV (US$)</t>
  </si>
  <si>
    <t>Higher discount rate</t>
  </si>
  <si>
    <t>Discount rate</t>
  </si>
  <si>
    <t>Inputs prices + 5%</t>
  </si>
  <si>
    <t>Fish prices - 5%</t>
  </si>
  <si>
    <t>NPV (@18%, US$)</t>
  </si>
  <si>
    <t>Base scenario without env. externalities</t>
  </si>
  <si>
    <t>Low env. externalities valuation</t>
  </si>
  <si>
    <t>High env. externalities valuation</t>
  </si>
  <si>
    <t>BACK-UP VERSION WITH SMALL MODIFICATIONS FOR TESTING ASSUMPTIONS</t>
  </si>
  <si>
    <t>fingerlings</t>
  </si>
  <si>
    <r>
      <t>Fingerlings (</t>
    </r>
    <r>
      <rPr>
        <sz val="11"/>
        <color rgb="FFFF0000"/>
        <rFont val="Calibri"/>
        <family val="2"/>
        <scheme val="minor"/>
      </rPr>
      <t>10000</t>
    </r>
    <r>
      <rPr>
        <sz val="11"/>
        <color theme="1"/>
        <rFont val="Calibri"/>
        <family val="2"/>
        <scheme val="minor"/>
      </rPr>
      <t xml:space="preserve"> tilapia/ha/cycle)</t>
    </r>
  </si>
  <si>
    <t>REVISED</t>
  </si>
  <si>
    <t>(updated March 2022)</t>
  </si>
  <si>
    <t>Annual carbon balance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</si>
  <si>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</si>
  <si>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</si>
  <si>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</si>
  <si>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</si>
  <si>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</si>
  <si>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</si>
  <si>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</si>
  <si>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</si>
  <si>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</si>
  <si>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</si>
  <si>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</si>
  <si>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</si>
  <si>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</si>
  <si>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</si>
  <si>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</si>
  <si>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</si>
  <si>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</si>
  <si>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</si>
  <si>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</si>
  <si>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</si>
  <si>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Yearly carbon balance</t>
  </si>
  <si>
    <t>Cumulative carbon balance</t>
  </si>
  <si>
    <t>From Ex-ACT (Annex 24 - March 2022)</t>
  </si>
  <si>
    <t>Total area (ha)</t>
  </si>
  <si>
    <t>Global warming potential</t>
  </si>
  <si>
    <t>Implementation</t>
  </si>
  <si>
    <t>Mineral soil</t>
  </si>
  <si>
    <t>Capitalization</t>
  </si>
  <si>
    <t>Organic soil</t>
  </si>
  <si>
    <t>Period analysis</t>
  </si>
  <si>
    <t>Waterbodies</t>
  </si>
  <si>
    <t>GROSS FLUXES</t>
  </si>
  <si>
    <t>SHARE PER GHG OF THE BALANCE</t>
  </si>
  <si>
    <t>AVERAGE ANNUAL EMISSIONS</t>
  </si>
  <si>
    <r>
      <t>In tCO</t>
    </r>
    <r>
      <rPr>
        <vertAlign val="subscript"/>
        <sz val="11"/>
        <color theme="1"/>
        <rFont val="Roboto"/>
      </rPr>
      <t>2</t>
    </r>
    <r>
      <rPr>
        <sz val="11"/>
        <color theme="1"/>
        <rFont val="Roboto"/>
      </rPr>
      <t>-e over the whole period analysis</t>
    </r>
  </si>
  <si>
    <r>
      <t>In tCO</t>
    </r>
    <r>
      <rPr>
        <vertAlign val="subscript"/>
        <sz val="11"/>
        <color theme="1"/>
        <rFont val="Roboto"/>
      </rPr>
      <t>2</t>
    </r>
    <r>
      <rPr>
        <sz val="11"/>
        <color theme="1"/>
        <rFont val="Roboto"/>
      </rPr>
      <t>-e/yr</t>
    </r>
  </si>
  <si>
    <t>PROJECT COMPONENTS</t>
  </si>
  <si>
    <t>WITHOUT</t>
  </si>
  <si>
    <t>WITH</t>
  </si>
  <si>
    <t>BALANCE</t>
  </si>
  <si>
    <r>
      <t>CO</t>
    </r>
    <r>
      <rPr>
        <b/>
        <vertAlign val="subscript"/>
        <sz val="14"/>
        <color theme="0"/>
        <rFont val="Roboto"/>
      </rPr>
      <t>2</t>
    </r>
    <r>
      <rPr>
        <b/>
        <sz val="14"/>
        <color theme="0"/>
        <rFont val="Roboto"/>
      </rPr>
      <t xml:space="preserve"> BIOMASS</t>
    </r>
  </si>
  <si>
    <r>
      <t>CO</t>
    </r>
    <r>
      <rPr>
        <b/>
        <vertAlign val="subscript"/>
        <sz val="14"/>
        <color theme="0"/>
        <rFont val="Roboto"/>
      </rPr>
      <t>2</t>
    </r>
    <r>
      <rPr>
        <b/>
        <sz val="14"/>
        <color theme="0"/>
        <rFont val="Roboto"/>
      </rPr>
      <t xml:space="preserve"> SOIL</t>
    </r>
  </si>
  <si>
    <r>
      <t>N</t>
    </r>
    <r>
      <rPr>
        <b/>
        <vertAlign val="subscript"/>
        <sz val="14"/>
        <color theme="0"/>
        <rFont val="Roboto"/>
      </rPr>
      <t>2</t>
    </r>
    <r>
      <rPr>
        <b/>
        <sz val="14"/>
        <color theme="0"/>
        <rFont val="Roboto"/>
      </rPr>
      <t>O</t>
    </r>
  </si>
  <si>
    <r>
      <t>CH</t>
    </r>
    <r>
      <rPr>
        <b/>
        <vertAlign val="subscript"/>
        <sz val="14"/>
        <color theme="0"/>
        <rFont val="Roboto"/>
      </rPr>
      <t>4</t>
    </r>
  </si>
  <si>
    <t>ALL NON-AFOLU EMISSIONS*</t>
  </si>
  <si>
    <t>Land use changes</t>
  </si>
  <si>
    <t>Deforestation</t>
  </si>
  <si>
    <t>Afforestation</t>
  </si>
  <si>
    <t>Other land-use</t>
  </si>
  <si>
    <t>Cropland</t>
  </si>
  <si>
    <t>Annual</t>
  </si>
  <si>
    <t>Perennial</t>
  </si>
  <si>
    <t>Flooded rice</t>
  </si>
  <si>
    <t>Grasslands &amp; Livestock</t>
  </si>
  <si>
    <t xml:space="preserve">Grasslands </t>
  </si>
  <si>
    <t>Livestock</t>
  </si>
  <si>
    <t>Forest mngt.</t>
  </si>
  <si>
    <t>Inland wetlands</t>
  </si>
  <si>
    <t>Coastal wetlands</t>
  </si>
  <si>
    <t>Fisheries and aquaculture</t>
  </si>
  <si>
    <t>Inputs &amp; Invest.</t>
  </si>
  <si>
    <r>
      <t>Total emissions, tCO</t>
    </r>
    <r>
      <rPr>
        <b/>
        <vertAlign val="subscript"/>
        <sz val="14"/>
        <color theme="1"/>
        <rFont val="Roboto"/>
      </rPr>
      <t>2</t>
    </r>
    <r>
      <rPr>
        <b/>
        <sz val="14"/>
        <color theme="1"/>
        <rFont val="Roboto"/>
      </rPr>
      <t>-e</t>
    </r>
  </si>
  <si>
    <r>
      <t>Total emissions, tCO</t>
    </r>
    <r>
      <rPr>
        <b/>
        <vertAlign val="subscript"/>
        <sz val="14"/>
        <color theme="1"/>
        <rFont val="Roboto"/>
      </rPr>
      <t>2</t>
    </r>
    <r>
      <rPr>
        <b/>
        <sz val="14"/>
        <color theme="1"/>
        <rFont val="Roboto"/>
      </rPr>
      <t>-e/ha</t>
    </r>
  </si>
  <si>
    <r>
      <t>Total emissions, tCO</t>
    </r>
    <r>
      <rPr>
        <b/>
        <vertAlign val="subscript"/>
        <sz val="14"/>
        <color theme="1"/>
        <rFont val="Roboto"/>
      </rPr>
      <t>2</t>
    </r>
    <r>
      <rPr>
        <b/>
        <sz val="14"/>
        <color theme="1"/>
        <rFont val="Roboto"/>
      </rPr>
      <t>-e/ha/yr</t>
    </r>
  </si>
  <si>
    <t>+ = Source / - = Sink</t>
  </si>
  <si>
    <t>Results presented here include GHG fluxes on mineral and organic soils</t>
  </si>
  <si>
    <t>Uncertainty level</t>
  </si>
  <si>
    <t>tCO2-e/yr</t>
  </si>
  <si>
    <t>Percent</t>
  </si>
  <si>
    <t>See further down for detailed results on organic soils</t>
  </si>
  <si>
    <t>Without</t>
  </si>
  <si>
    <t>* Includes fisheries, acquaculture and inputs &amp; investments that are not included in the AFOLU definition.</t>
  </si>
  <si>
    <t>With</t>
  </si>
  <si>
    <t>Balance</t>
  </si>
  <si>
    <t xml:space="preserve">Project name </t>
  </si>
  <si>
    <t>PROREFISH</t>
  </si>
  <si>
    <t xml:space="preserve">Continent </t>
  </si>
  <si>
    <t>Western Africa</t>
  </si>
  <si>
    <t>Country</t>
  </si>
  <si>
    <t>Gambia</t>
  </si>
  <si>
    <t xml:space="preserve">Climate </t>
  </si>
  <si>
    <t>Tropical</t>
  </si>
  <si>
    <t xml:space="preserve">Moisture </t>
  </si>
  <si>
    <t>Moist</t>
  </si>
  <si>
    <t>Project duration (in years)</t>
  </si>
  <si>
    <t>CO2</t>
  </si>
  <si>
    <t>CH4</t>
  </si>
  <si>
    <t>N2O</t>
  </si>
  <si>
    <t>DETAILED RESULTS (from Ex-ACT Annex 24 - March 22 version)</t>
  </si>
  <si>
    <t>Output 2.1 Fisheries communities are equipped  with climate-proofed and improved critical small scale fisheries infrastructure (artisanal fish landing sites) and with climate-smart fish processing equipment (solar dryers and improved ovens</t>
  </si>
  <si>
    <t xml:space="preserve">   </t>
  </si>
  <si>
    <t>TCP costs (co-fin)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</si>
</sst>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&quot;$&quot;#,##0.00_);[Red]\(&quot;$&quot;#,##0.00\)"/>
    <numFmt numFmtId="165" formatCode="_(* #,##0.00_);_(* \(#,##0.00\);_(* &quot;-&quot;??_);_(@_)"/>
    <numFmt numFmtId="166" formatCode="0.0%"/>
    <numFmt numFmtId="167" formatCode="#,##0.0"/>
    <numFmt numFmtId="168" formatCode="_(* #,##0_);_(* \(#,##0\);_(* &quot;-&quot;??_);_(@_)"/>
    <numFmt numFmtId="169" formatCode="&quot;$&quot;#,##0.0_);[Red]\(&quot;$&quot;#,##0.0\)"/>
  </numFmts>
  <fonts count="6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Tahoma"/>
      <family val="2"/>
    </font>
    <font>
      <sz val="10"/>
      <color rgb="FFFF0000"/>
      <name val="Tahoma"/>
      <family val="2"/>
    </font>
    <font>
      <b/>
      <sz val="10"/>
      <name val="Tahoma"/>
      <family val="2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10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</font>
    <font>
      <sz val="11"/>
      <color rgb="FF000000"/>
      <name val="Times New Roman"/>
      <family val="1"/>
    </font>
    <font>
      <i/>
      <sz val="9"/>
      <name val="Times New Roman"/>
      <family val="1"/>
    </font>
    <font>
      <sz val="9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9.5"/>
      <color theme="1"/>
      <name val="Calibri Light"/>
      <family val="2"/>
    </font>
    <font>
      <sz val="11"/>
      <color theme="1"/>
      <name val="Roboto Light"/>
    </font>
    <font>
      <b/>
      <sz val="14"/>
      <color theme="0"/>
      <name val="Roboto"/>
    </font>
    <font>
      <sz val="14"/>
      <color theme="1"/>
      <name val="Roboto"/>
    </font>
    <font>
      <sz val="14"/>
      <name val="Roboto"/>
    </font>
    <font>
      <b/>
      <sz val="11"/>
      <color theme="1"/>
      <name val="Roboto Light"/>
    </font>
    <font>
      <sz val="36"/>
      <color theme="0"/>
      <name val="Roboto"/>
    </font>
    <font>
      <sz val="11"/>
      <color theme="1"/>
      <name val="Roboto"/>
    </font>
    <font>
      <b/>
      <sz val="14"/>
      <name val="Roboto"/>
    </font>
    <font>
      <sz val="12"/>
      <color theme="1"/>
      <name val="Roboto Light"/>
    </font>
    <font>
      <sz val="12"/>
      <name val="Roboto"/>
    </font>
    <font>
      <sz val="12"/>
      <name val="Roboto Light"/>
    </font>
    <font>
      <sz val="12"/>
      <color theme="1"/>
      <name val="Roboto"/>
    </font>
    <font>
      <b/>
      <sz val="18"/>
      <color theme="1"/>
      <name val="Roboto"/>
    </font>
    <font>
      <sz val="16"/>
      <color theme="1"/>
      <name val="Roboto"/>
    </font>
    <font>
      <vertAlign val="subscript"/>
      <sz val="11"/>
      <color theme="1"/>
      <name val="Roboto"/>
    </font>
    <font>
      <b/>
      <vertAlign val="subscript"/>
      <sz val="14"/>
      <color theme="0"/>
      <name val="Roboto"/>
    </font>
    <font>
      <sz val="14"/>
      <color theme="0"/>
      <name val="Roboto"/>
    </font>
    <font>
      <b/>
      <sz val="14"/>
      <color theme="1"/>
      <name val="Roboto"/>
    </font>
    <font>
      <b/>
      <vertAlign val="subscript"/>
      <sz val="14"/>
      <color theme="1"/>
      <name val="Roboto"/>
    </font>
    <font>
      <sz val="14"/>
      <color theme="1"/>
      <name val="Roboto Light"/>
    </font>
    <font>
      <sz val="10"/>
      <color theme="1"/>
      <name val="Roboto Light"/>
    </font>
    <font>
      <b/>
      <sz val="11"/>
      <color theme="1"/>
      <name val="Roboto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172735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0" fontId="20" fillId="0" borderId="0"/>
    <xf numFmtId="0" fontId="17" fillId="0" borderId="0"/>
    <xf numFmtId="0" fontId="28" fillId="0" borderId="0"/>
    <xf numFmtId="0" fontId="29" fillId="0" borderId="0"/>
    <xf numFmtId="165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46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4" borderId="4" xfId="0" applyFill="1" applyBorder="1"/>
    <xf numFmtId="0" fontId="4" fillId="5" borderId="4" xfId="0" applyFont="1" applyFill="1" applyBorder="1" applyAlignment="1">
      <alignment horizontal="center"/>
    </xf>
    <xf numFmtId="0" fontId="0" fillId="5" borderId="0" xfId="0" applyFill="1"/>
    <xf numFmtId="0" fontId="0" fillId="6" borderId="4" xfId="0" applyFill="1" applyBorder="1"/>
    <xf numFmtId="0" fontId="0" fillId="7" borderId="0" xfId="0" applyFill="1"/>
    <xf numFmtId="4" fontId="0" fillId="7" borderId="4" xfId="0" applyNumberFormat="1" applyFill="1" applyBorder="1"/>
    <xf numFmtId="0" fontId="0" fillId="5" borderId="4" xfId="0" applyFill="1" applyBorder="1"/>
    <xf numFmtId="0" fontId="0" fillId="0" borderId="4" xfId="0" applyBorder="1"/>
    <xf numFmtId="4" fontId="3" fillId="7" borderId="4" xfId="0" applyNumberFormat="1" applyFont="1" applyFill="1" applyBorder="1"/>
    <xf numFmtId="0" fontId="0" fillId="5" borderId="4" xfId="0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0" fillId="8" borderId="0" xfId="0" applyFill="1"/>
    <xf numFmtId="0" fontId="0" fillId="8" borderId="4" xfId="0" applyFill="1" applyBorder="1"/>
    <xf numFmtId="0" fontId="3" fillId="8" borderId="4" xfId="0" applyFont="1" applyFill="1" applyBorder="1"/>
    <xf numFmtId="0" fontId="8" fillId="8" borderId="4" xfId="0" applyFont="1" applyFill="1" applyBorder="1" applyAlignment="1">
      <alignment horizontal="left"/>
    </xf>
    <xf numFmtId="0" fontId="0" fillId="5" borderId="5" xfId="0" applyFill="1" applyBorder="1"/>
    <xf numFmtId="165" fontId="8" fillId="5" borderId="4" xfId="1" applyFont="1" applyFill="1" applyBorder="1" applyAlignment="1">
      <alignment horizontal="center"/>
    </xf>
    <xf numFmtId="0" fontId="9" fillId="8" borderId="4" xfId="0" applyFont="1" applyFill="1" applyBorder="1" applyAlignment="1">
      <alignment horizontal="left"/>
    </xf>
    <xf numFmtId="0" fontId="0" fillId="9" borderId="0" xfId="0" applyFill="1"/>
    <xf numFmtId="0" fontId="8" fillId="9" borderId="4" xfId="0" applyFont="1" applyFill="1" applyBorder="1" applyAlignment="1">
      <alignment horizontal="left"/>
    </xf>
    <xf numFmtId="0" fontId="3" fillId="9" borderId="4" xfId="0" applyFont="1" applyFill="1" applyBorder="1"/>
    <xf numFmtId="0" fontId="9" fillId="9" borderId="4" xfId="0" applyFont="1" applyFill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0" fillId="10" borderId="4" xfId="0" applyFill="1" applyBorder="1"/>
    <xf numFmtId="3" fontId="0" fillId="0" borderId="0" xfId="0" applyNumberFormat="1" applyAlignment="1">
      <alignment horizontal="center"/>
    </xf>
    <xf numFmtId="9" fontId="0" fillId="0" borderId="0" xfId="2" applyFont="1" applyAlignment="1">
      <alignment horizontal="center"/>
    </xf>
    <xf numFmtId="3" fontId="0" fillId="0" borderId="0" xfId="0" applyNumberFormat="1"/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9" fontId="0" fillId="0" borderId="0" xfId="2" applyFont="1"/>
    <xf numFmtId="165" fontId="0" fillId="0" borderId="0" xfId="0" applyNumberFormat="1"/>
    <xf numFmtId="0" fontId="0" fillId="0" borderId="0" xfId="0" applyFill="1" applyBorder="1"/>
    <xf numFmtId="165" fontId="0" fillId="0" borderId="4" xfId="0" applyNumberFormat="1" applyBorder="1"/>
    <xf numFmtId="3" fontId="0" fillId="0" borderId="4" xfId="1" applyNumberFormat="1" applyFont="1" applyBorder="1"/>
    <xf numFmtId="3" fontId="0" fillId="0" borderId="4" xfId="0" applyNumberFormat="1" applyBorder="1"/>
    <xf numFmtId="9" fontId="0" fillId="0" borderId="4" xfId="2" applyFont="1" applyBorder="1"/>
    <xf numFmtId="3" fontId="0" fillId="13" borderId="4" xfId="0" applyNumberFormat="1" applyFill="1" applyBorder="1"/>
    <xf numFmtId="9" fontId="0" fillId="13" borderId="4" xfId="2" applyFont="1" applyFill="1" applyBorder="1"/>
    <xf numFmtId="0" fontId="0" fillId="13" borderId="4" xfId="0" applyFill="1" applyBorder="1"/>
    <xf numFmtId="3" fontId="0" fillId="14" borderId="4" xfId="0" applyNumberFormat="1" applyFill="1" applyBorder="1"/>
    <xf numFmtId="9" fontId="0" fillId="14" borderId="4" xfId="2" applyFont="1" applyFill="1" applyBorder="1"/>
    <xf numFmtId="0" fontId="0" fillId="15" borderId="4" xfId="0" applyFill="1" applyBorder="1" applyAlignment="1">
      <alignment horizontal="center"/>
    </xf>
    <xf numFmtId="0" fontId="0" fillId="15" borderId="4" xfId="0" applyFill="1" applyBorder="1"/>
    <xf numFmtId="0" fontId="0" fillId="14" borderId="4" xfId="0" applyFill="1" applyBorder="1" applyAlignment="1">
      <alignment horizontal="center"/>
    </xf>
    <xf numFmtId="0" fontId="0" fillId="14" borderId="5" xfId="0" applyFill="1" applyBorder="1" applyAlignment="1">
      <alignment horizontal="center"/>
    </xf>
    <xf numFmtId="3" fontId="0" fillId="14" borderId="4" xfId="1" applyNumberFormat="1" applyFont="1" applyFill="1" applyBorder="1"/>
    <xf numFmtId="0" fontId="0" fillId="7" borderId="4" xfId="0" applyFill="1" applyBorder="1" applyAlignment="1">
      <alignment horizontal="center"/>
    </xf>
    <xf numFmtId="0" fontId="0" fillId="7" borderId="4" xfId="0" applyFill="1" applyBorder="1"/>
    <xf numFmtId="37" fontId="0" fillId="14" borderId="4" xfId="1" applyNumberFormat="1" applyFont="1" applyFill="1" applyBorder="1" applyAlignment="1">
      <alignment horizontal="right"/>
    </xf>
    <xf numFmtId="0" fontId="4" fillId="0" borderId="8" xfId="0" applyFont="1" applyBorder="1" applyAlignment="1">
      <alignment horizontal="right"/>
    </xf>
    <xf numFmtId="3" fontId="3" fillId="14" borderId="4" xfId="0" applyNumberFormat="1" applyFont="1" applyFill="1" applyBorder="1"/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9" fontId="0" fillId="0" borderId="0" xfId="0" applyNumberFormat="1" applyAlignment="1">
      <alignment horizontal="center"/>
    </xf>
    <xf numFmtId="9" fontId="0" fillId="0" borderId="4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37" fontId="0" fillId="14" borderId="0" xfId="1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4" fontId="0" fillId="0" borderId="4" xfId="0" applyNumberFormat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164" fontId="0" fillId="0" borderId="0" xfId="0" applyNumberFormat="1"/>
    <xf numFmtId="166" fontId="0" fillId="0" borderId="4" xfId="0" applyNumberFormat="1" applyBorder="1" applyAlignment="1">
      <alignment horizontal="center"/>
    </xf>
    <xf numFmtId="164" fontId="0" fillId="0" borderId="4" xfId="0" applyNumberFormat="1" applyBorder="1"/>
    <xf numFmtId="37" fontId="3" fillId="14" borderId="0" xfId="1" applyNumberFormat="1" applyFont="1" applyFill="1" applyBorder="1" applyAlignment="1">
      <alignment horizontal="right"/>
    </xf>
    <xf numFmtId="0" fontId="4" fillId="0" borderId="4" xfId="0" applyFont="1" applyBorder="1"/>
    <xf numFmtId="37" fontId="0" fillId="0" borderId="4" xfId="1" applyNumberFormat="1" applyFont="1" applyFill="1" applyBorder="1" applyAlignment="1">
      <alignment horizontal="right"/>
    </xf>
    <xf numFmtId="37" fontId="0" fillId="0" borderId="0" xfId="1" applyNumberFormat="1" applyFont="1" applyFill="1" applyBorder="1" applyAlignment="1">
      <alignment horizontal="right"/>
    </xf>
    <xf numFmtId="3" fontId="0" fillId="0" borderId="0" xfId="0" applyNumberFormat="1" applyBorder="1"/>
    <xf numFmtId="165" fontId="0" fillId="0" borderId="0" xfId="0" applyNumberFormat="1" applyBorder="1"/>
    <xf numFmtId="0" fontId="0" fillId="0" borderId="0" xfId="0" applyBorder="1"/>
    <xf numFmtId="4" fontId="0" fillId="0" borderId="0" xfId="0" applyNumberFormat="1" applyBorder="1" applyAlignment="1">
      <alignment horizontal="center"/>
    </xf>
    <xf numFmtId="0" fontId="0" fillId="14" borderId="15" xfId="0" applyFill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0" fontId="0" fillId="0" borderId="2" xfId="0" applyBorder="1"/>
    <xf numFmtId="0" fontId="0" fillId="0" borderId="19" xfId="0" applyBorder="1"/>
    <xf numFmtId="4" fontId="0" fillId="0" borderId="19" xfId="0" applyNumberFormat="1" applyBorder="1" applyAlignment="1">
      <alignment horizontal="center"/>
    </xf>
    <xf numFmtId="0" fontId="0" fillId="0" borderId="3" xfId="0" applyBorder="1"/>
    <xf numFmtId="0" fontId="0" fillId="14" borderId="20" xfId="0" applyFill="1" applyBorder="1" applyAlignment="1">
      <alignment horizontal="center"/>
    </xf>
    <xf numFmtId="166" fontId="0" fillId="0" borderId="20" xfId="0" applyNumberFormat="1" applyBorder="1" applyAlignment="1">
      <alignment horizontal="center"/>
    </xf>
    <xf numFmtId="164" fontId="0" fillId="0" borderId="20" xfId="0" applyNumberFormat="1" applyBorder="1"/>
    <xf numFmtId="0" fontId="0" fillId="0" borderId="12" xfId="0" applyBorder="1"/>
    <xf numFmtId="0" fontId="0" fillId="0" borderId="13" xfId="0" applyBorder="1"/>
    <xf numFmtId="0" fontId="11" fillId="0" borderId="0" xfId="0" applyFont="1" applyFill="1" applyBorder="1" applyAlignment="1">
      <alignment horizontal="center"/>
    </xf>
    <xf numFmtId="9" fontId="11" fillId="0" borderId="0" xfId="0" applyNumberFormat="1" applyFont="1" applyBorder="1" applyAlignment="1">
      <alignment horizontal="center"/>
    </xf>
    <xf numFmtId="9" fontId="12" fillId="0" borderId="0" xfId="0" applyNumberFormat="1" applyFont="1" applyBorder="1" applyAlignment="1">
      <alignment horizontal="center"/>
    </xf>
    <xf numFmtId="9" fontId="11" fillId="0" borderId="19" xfId="0" applyNumberFormat="1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166" fontId="0" fillId="0" borderId="4" xfId="2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2" xfId="0" applyNumberFormat="1" applyFill="1" applyBorder="1" applyAlignment="1">
      <alignment horizontal="center"/>
    </xf>
    <xf numFmtId="3" fontId="4" fillId="0" borderId="23" xfId="0" applyNumberFormat="1" applyFont="1" applyBorder="1" applyAlignment="1">
      <alignment horizontal="center"/>
    </xf>
    <xf numFmtId="3" fontId="4" fillId="0" borderId="24" xfId="0" applyNumberFormat="1" applyFont="1" applyBorder="1" applyAlignment="1">
      <alignment horizontal="center"/>
    </xf>
    <xf numFmtId="3" fontId="4" fillId="0" borderId="25" xfId="0" applyNumberFormat="1" applyFont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0" fillId="0" borderId="19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Fill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0" fontId="0" fillId="0" borderId="22" xfId="0" applyFill="1" applyBorder="1" applyAlignment="1">
      <alignment horizontal="center"/>
    </xf>
    <xf numFmtId="3" fontId="4" fillId="0" borderId="6" xfId="0" applyNumberFormat="1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3" fontId="13" fillId="0" borderId="0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center"/>
    </xf>
    <xf numFmtId="0" fontId="13" fillId="0" borderId="0" xfId="0" applyFont="1" applyFill="1"/>
    <xf numFmtId="0" fontId="0" fillId="0" borderId="4" xfId="0" applyFill="1" applyBorder="1"/>
    <xf numFmtId="0" fontId="0" fillId="0" borderId="4" xfId="0" applyFont="1" applyBorder="1"/>
    <xf numFmtId="3" fontId="0" fillId="15" borderId="4" xfId="0" applyNumberFormat="1" applyFill="1" applyBorder="1" applyAlignment="1">
      <alignment horizontal="center"/>
    </xf>
    <xf numFmtId="0" fontId="0" fillId="16" borderId="4" xfId="0" applyFill="1" applyBorder="1" applyAlignment="1">
      <alignment horizontal="center"/>
    </xf>
    <xf numFmtId="3" fontId="0" fillId="7" borderId="4" xfId="0" applyNumberFormat="1" applyFill="1" applyBorder="1" applyAlignment="1">
      <alignment horizontal="center"/>
    </xf>
    <xf numFmtId="38" fontId="0" fillId="0" borderId="4" xfId="0" applyNumberForma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0" fillId="0" borderId="26" xfId="0" applyBorder="1"/>
    <xf numFmtId="2" fontId="0" fillId="0" borderId="0" xfId="0" applyNumberFormat="1" applyAlignment="1">
      <alignment horizontal="center"/>
    </xf>
    <xf numFmtId="2" fontId="0" fillId="11" borderId="0" xfId="0" applyNumberFormat="1" applyFill="1" applyAlignment="1">
      <alignment horizontal="center"/>
    </xf>
    <xf numFmtId="0" fontId="0" fillId="11" borderId="0" xfId="0" applyFill="1" applyAlignment="1">
      <alignment horizontal="center"/>
    </xf>
    <xf numFmtId="0" fontId="0" fillId="11" borderId="0" xfId="0" applyFill="1"/>
    <xf numFmtId="0" fontId="0" fillId="16" borderId="4" xfId="0" applyFill="1" applyBorder="1"/>
    <xf numFmtId="4" fontId="0" fillId="16" borderId="4" xfId="0" applyNumberFormat="1" applyFill="1" applyBorder="1" applyAlignment="1">
      <alignment horizontal="center"/>
    </xf>
    <xf numFmtId="0" fontId="0" fillId="12" borderId="0" xfId="0" applyFill="1"/>
    <xf numFmtId="0" fontId="0" fillId="12" borderId="4" xfId="0" applyFill="1" applyBorder="1" applyAlignment="1">
      <alignment horizontal="center"/>
    </xf>
    <xf numFmtId="4" fontId="0" fillId="12" borderId="0" xfId="0" applyNumberFormat="1" applyFill="1" applyAlignment="1">
      <alignment horizontal="center"/>
    </xf>
    <xf numFmtId="0" fontId="0" fillId="12" borderId="0" xfId="0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14" fillId="6" borderId="0" xfId="0" applyFont="1" applyFill="1"/>
    <xf numFmtId="0" fontId="15" fillId="0" borderId="4" xfId="0" applyFont="1" applyBorder="1" applyAlignment="1">
      <alignment horizontal="center"/>
    </xf>
    <xf numFmtId="0" fontId="15" fillId="0" borderId="4" xfId="0" applyFont="1" applyBorder="1"/>
    <xf numFmtId="166" fontId="14" fillId="0" borderId="4" xfId="0" applyNumberFormat="1" applyFont="1" applyBorder="1" applyAlignment="1">
      <alignment horizontal="center"/>
    </xf>
    <xf numFmtId="166" fontId="14" fillId="0" borderId="4" xfId="2" applyNumberFormat="1" applyFont="1" applyBorder="1" applyAlignment="1">
      <alignment horizontal="center"/>
    </xf>
    <xf numFmtId="166" fontId="15" fillId="0" borderId="4" xfId="0" applyNumberFormat="1" applyFont="1" applyBorder="1" applyAlignment="1">
      <alignment horizontal="center"/>
    </xf>
    <xf numFmtId="0" fontId="14" fillId="6" borderId="0" xfId="0" applyFont="1" applyFill="1" applyAlignment="1">
      <alignment horizontal="center"/>
    </xf>
    <xf numFmtId="0" fontId="16" fillId="6" borderId="0" xfId="0" applyFont="1" applyFill="1" applyAlignment="1">
      <alignment horizontal="center"/>
    </xf>
    <xf numFmtId="0" fontId="16" fillId="0" borderId="4" xfId="0" applyFont="1" applyBorder="1" applyAlignment="1">
      <alignment horizontal="center"/>
    </xf>
    <xf numFmtId="4" fontId="16" fillId="0" borderId="4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3" fontId="14" fillId="0" borderId="4" xfId="0" applyNumberFormat="1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166" fontId="4" fillId="0" borderId="16" xfId="0" applyNumberFormat="1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7" fontId="4" fillId="0" borderId="33" xfId="0" applyNumberFormat="1" applyFon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5" xfId="0" applyBorder="1"/>
    <xf numFmtId="0" fontId="0" fillId="7" borderId="5" xfId="0" applyFill="1" applyBorder="1"/>
    <xf numFmtId="0" fontId="13" fillId="0" borderId="4" xfId="0" applyFont="1" applyFill="1" applyBorder="1" applyAlignment="1">
      <alignment horizontal="center"/>
    </xf>
    <xf numFmtId="3" fontId="13" fillId="0" borderId="4" xfId="0" applyNumberFormat="1" applyFont="1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0" fontId="13" fillId="0" borderId="4" xfId="0" applyFont="1" applyBorder="1" applyAlignment="1">
      <alignment horizontal="center"/>
    </xf>
    <xf numFmtId="4" fontId="13" fillId="0" borderId="4" xfId="0" applyNumberFormat="1" applyFont="1" applyBorder="1" applyAlignment="1">
      <alignment horizontal="center"/>
    </xf>
    <xf numFmtId="3" fontId="18" fillId="0" borderId="0" xfId="3" applyNumberFormat="1" applyFont="1" applyFill="1" applyAlignment="1">
      <alignment horizontal="left"/>
    </xf>
    <xf numFmtId="3" fontId="18" fillId="0" borderId="0" xfId="3" applyNumberFormat="1" applyFont="1" applyFill="1" applyBorder="1" applyAlignment="1">
      <alignment horizontal="left"/>
    </xf>
    <xf numFmtId="3" fontId="18" fillId="0" borderId="0" xfId="3" applyNumberFormat="1" applyFont="1" applyFill="1" applyBorder="1" applyAlignment="1">
      <alignment horizontal="center"/>
    </xf>
    <xf numFmtId="3" fontId="18" fillId="0" borderId="0" xfId="3" applyNumberFormat="1" applyFont="1" applyFill="1" applyBorder="1"/>
    <xf numFmtId="166" fontId="18" fillId="0" borderId="0" xfId="3" applyNumberFormat="1" applyFont="1" applyFill="1" applyBorder="1" applyAlignment="1">
      <alignment horizontal="center"/>
    </xf>
    <xf numFmtId="3" fontId="23" fillId="0" borderId="0" xfId="3" applyNumberFormat="1" applyFont="1" applyFill="1" applyBorder="1" applyAlignment="1">
      <alignment horizontal="centerContinuous"/>
    </xf>
    <xf numFmtId="3" fontId="23" fillId="0" borderId="0" xfId="3" applyNumberFormat="1" applyFont="1" applyFill="1"/>
    <xf numFmtId="166" fontId="23" fillId="0" borderId="0" xfId="3" applyNumberFormat="1" applyFont="1" applyFill="1" applyAlignment="1">
      <alignment horizontal="center"/>
    </xf>
    <xf numFmtId="3" fontId="24" fillId="0" borderId="34" xfId="3" applyNumberFormat="1" applyFont="1" applyFill="1" applyBorder="1" applyAlignment="1">
      <alignment horizontal="center"/>
    </xf>
    <xf numFmtId="3" fontId="24" fillId="0" borderId="0" xfId="3" applyNumberFormat="1" applyFont="1" applyFill="1" applyBorder="1" applyAlignment="1">
      <alignment horizontal="center"/>
    </xf>
    <xf numFmtId="3" fontId="23" fillId="0" borderId="0" xfId="3" applyNumberFormat="1" applyFont="1" applyFill="1" applyBorder="1" applyAlignment="1">
      <alignment horizontal="center"/>
    </xf>
    <xf numFmtId="3" fontId="25" fillId="0" borderId="5" xfId="3" applyNumberFormat="1" applyFont="1" applyFill="1" applyBorder="1"/>
    <xf numFmtId="3" fontId="25" fillId="0" borderId="26" xfId="3" applyNumberFormat="1" applyFont="1" applyFill="1" applyBorder="1"/>
    <xf numFmtId="3" fontId="25" fillId="0" borderId="35" xfId="3" applyNumberFormat="1" applyFont="1" applyFill="1" applyBorder="1" applyAlignment="1">
      <alignment horizontal="center"/>
    </xf>
    <xf numFmtId="3" fontId="25" fillId="0" borderId="5" xfId="3" applyNumberFormat="1" applyFont="1" applyFill="1" applyBorder="1" applyAlignment="1">
      <alignment horizontal="center"/>
    </xf>
    <xf numFmtId="3" fontId="25" fillId="0" borderId="26" xfId="3" applyNumberFormat="1" applyFont="1" applyFill="1" applyBorder="1" applyAlignment="1">
      <alignment horizontal="center"/>
    </xf>
    <xf numFmtId="3" fontId="18" fillId="0" borderId="0" xfId="3" applyNumberFormat="1" applyFont="1" applyFill="1"/>
    <xf numFmtId="166" fontId="18" fillId="0" borderId="0" xfId="3" applyNumberFormat="1" applyFont="1" applyFill="1" applyAlignment="1">
      <alignment horizontal="center"/>
    </xf>
    <xf numFmtId="3" fontId="26" fillId="0" borderId="36" xfId="3" applyNumberFormat="1" applyFont="1" applyFill="1" applyBorder="1"/>
    <xf numFmtId="3" fontId="26" fillId="0" borderId="37" xfId="3" applyNumberFormat="1" applyFont="1" applyFill="1" applyBorder="1" applyAlignment="1">
      <alignment horizontal="left"/>
    </xf>
    <xf numFmtId="3" fontId="27" fillId="0" borderId="38" xfId="3" applyNumberFormat="1" applyFont="1" applyFill="1" applyBorder="1" applyAlignment="1">
      <alignment horizontal="center"/>
    </xf>
    <xf numFmtId="3" fontId="27" fillId="0" borderId="36" xfId="3" applyNumberFormat="1" applyFont="1" applyFill="1" applyBorder="1" applyAlignment="1">
      <alignment horizontal="center"/>
    </xf>
    <xf numFmtId="3" fontId="27" fillId="0" borderId="37" xfId="3" applyNumberFormat="1" applyFont="1" applyFill="1" applyBorder="1" applyAlignment="1">
      <alignment horizontal="center"/>
    </xf>
    <xf numFmtId="3" fontId="27" fillId="0" borderId="6" xfId="3" applyNumberFormat="1" applyFont="1" applyFill="1" applyBorder="1"/>
    <xf numFmtId="3" fontId="27" fillId="0" borderId="7" xfId="3" applyNumberFormat="1" applyFont="1" applyFill="1" applyBorder="1" applyAlignment="1">
      <alignment horizontal="left"/>
    </xf>
    <xf numFmtId="3" fontId="27" fillId="0" borderId="0" xfId="3" applyNumberFormat="1" applyFont="1" applyFill="1" applyBorder="1" applyAlignment="1">
      <alignment horizontal="right"/>
    </xf>
    <xf numFmtId="3" fontId="27" fillId="0" borderId="6" xfId="3" applyNumberFormat="1" applyFont="1" applyFill="1" applyBorder="1" applyAlignment="1">
      <alignment horizontal="center"/>
    </xf>
    <xf numFmtId="3" fontId="27" fillId="0" borderId="7" xfId="3" applyNumberFormat="1" applyFont="1" applyFill="1" applyBorder="1" applyAlignment="1">
      <alignment horizontal="center"/>
    </xf>
    <xf numFmtId="9" fontId="27" fillId="0" borderId="7" xfId="3" applyNumberFormat="1" applyFont="1" applyFill="1" applyBorder="1" applyAlignment="1">
      <alignment horizontal="left"/>
    </xf>
    <xf numFmtId="3" fontId="26" fillId="0" borderId="6" xfId="3" applyNumberFormat="1" applyFont="1" applyFill="1" applyBorder="1"/>
    <xf numFmtId="3" fontId="26" fillId="0" borderId="7" xfId="3" applyNumberFormat="1" applyFont="1" applyFill="1" applyBorder="1"/>
    <xf numFmtId="3" fontId="27" fillId="0" borderId="7" xfId="3" applyNumberFormat="1" applyFont="1" applyFill="1" applyBorder="1"/>
    <xf numFmtId="166" fontId="27" fillId="0" borderId="6" xfId="3" applyNumberFormat="1" applyFont="1" applyFill="1" applyBorder="1" applyAlignment="1">
      <alignment horizontal="right"/>
    </xf>
    <xf numFmtId="3" fontId="27" fillId="0" borderId="7" xfId="3" applyNumberFormat="1" applyFont="1" applyFill="1" applyBorder="1" applyAlignment="1">
      <alignment horizontal="right"/>
    </xf>
    <xf numFmtId="166" fontId="27" fillId="0" borderId="2" xfId="7" applyNumberFormat="1" applyFont="1" applyFill="1" applyBorder="1" applyAlignment="1">
      <alignment horizontal="right"/>
    </xf>
    <xf numFmtId="167" fontId="18" fillId="0" borderId="0" xfId="3" applyNumberFormat="1" applyFont="1" applyFill="1"/>
    <xf numFmtId="3" fontId="18" fillId="0" borderId="0" xfId="3" applyNumberFormat="1" applyFont="1" applyFill="1" applyAlignment="1">
      <alignment horizontal="center"/>
    </xf>
    <xf numFmtId="3" fontId="27" fillId="0" borderId="0" xfId="3" applyNumberFormat="1" applyFont="1" applyFill="1"/>
    <xf numFmtId="3" fontId="27" fillId="0" borderId="0" xfId="3" applyNumberFormat="1" applyFont="1" applyFill="1" applyAlignment="1">
      <alignment horizontal="center"/>
    </xf>
    <xf numFmtId="166" fontId="27" fillId="0" borderId="0" xfId="3" applyNumberFormat="1" applyFont="1" applyFill="1" applyAlignment="1">
      <alignment horizontal="center"/>
    </xf>
    <xf numFmtId="4" fontId="0" fillId="0" borderId="0" xfId="0" applyNumberFormat="1"/>
    <xf numFmtId="2" fontId="27" fillId="0" borderId="0" xfId="3" applyNumberFormat="1" applyFont="1" applyFill="1" applyBorder="1" applyAlignment="1">
      <alignment horizontal="right"/>
    </xf>
    <xf numFmtId="4" fontId="27" fillId="0" borderId="0" xfId="5" applyNumberFormat="1" applyFont="1" applyFill="1" applyBorder="1" applyAlignment="1">
      <alignment horizontal="right"/>
    </xf>
    <xf numFmtId="4" fontId="27" fillId="0" borderId="0" xfId="3" applyNumberFormat="1" applyFont="1" applyFill="1" applyBorder="1" applyAlignment="1">
      <alignment horizontal="right"/>
    </xf>
    <xf numFmtId="4" fontId="27" fillId="0" borderId="7" xfId="3" applyNumberFormat="1" applyFont="1" applyFill="1" applyBorder="1" applyAlignment="1">
      <alignment horizontal="right"/>
    </xf>
    <xf numFmtId="9" fontId="3" fillId="0" borderId="0" xfId="2" applyFont="1"/>
    <xf numFmtId="3" fontId="0" fillId="0" borderId="0" xfId="2" applyNumberFormat="1" applyFont="1"/>
    <xf numFmtId="3" fontId="0" fillId="0" borderId="0" xfId="2" applyNumberFormat="1" applyFont="1" applyAlignment="1">
      <alignment horizontal="center"/>
    </xf>
    <xf numFmtId="0" fontId="30" fillId="6" borderId="3" xfId="6" applyFont="1" applyFill="1" applyBorder="1"/>
    <xf numFmtId="0" fontId="30" fillId="6" borderId="13" xfId="6" applyFont="1" applyFill="1" applyBorder="1"/>
    <xf numFmtId="0" fontId="30" fillId="6" borderId="13" xfId="6" applyFont="1" applyFill="1" applyBorder="1" applyAlignment="1">
      <alignment horizontal="center" vertical="center"/>
    </xf>
    <xf numFmtId="0" fontId="30" fillId="6" borderId="3" xfId="6" applyFont="1" applyFill="1" applyBorder="1" applyAlignment="1">
      <alignment vertical="center"/>
    </xf>
    <xf numFmtId="0" fontId="30" fillId="6" borderId="13" xfId="6" applyFont="1" applyFill="1" applyBorder="1" applyAlignment="1">
      <alignment vertical="center"/>
    </xf>
    <xf numFmtId="166" fontId="30" fillId="6" borderId="13" xfId="6" applyNumberFormat="1" applyFont="1" applyFill="1" applyBorder="1" applyAlignment="1">
      <alignment horizontal="center" vertical="center"/>
    </xf>
    <xf numFmtId="167" fontId="30" fillId="6" borderId="13" xfId="6" applyNumberFormat="1" applyFont="1" applyFill="1" applyBorder="1" applyAlignment="1">
      <alignment horizontal="center" vertical="center"/>
    </xf>
    <xf numFmtId="0" fontId="30" fillId="6" borderId="30" xfId="6" applyFont="1" applyFill="1" applyBorder="1" applyAlignment="1">
      <alignment vertical="center"/>
    </xf>
    <xf numFmtId="9" fontId="30" fillId="6" borderId="13" xfId="6" applyNumberFormat="1" applyFont="1" applyFill="1" applyBorder="1" applyAlignment="1">
      <alignment horizontal="center" vertical="center"/>
    </xf>
    <xf numFmtId="0" fontId="30" fillId="6" borderId="40" xfId="6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3" fontId="0" fillId="0" borderId="4" xfId="0" applyNumberFormat="1" applyBorder="1" applyAlignment="1">
      <alignment horizontal="center"/>
    </xf>
    <xf numFmtId="0" fontId="31" fillId="0" borderId="0" xfId="4" applyFont="1"/>
    <xf numFmtId="43" fontId="31" fillId="0" borderId="0" xfId="4" applyNumberFormat="1" applyFont="1"/>
    <xf numFmtId="168" fontId="0" fillId="0" borderId="0" xfId="8" applyNumberFormat="1" applyFont="1"/>
    <xf numFmtId="0" fontId="20" fillId="0" borderId="0" xfId="4" applyAlignment="1">
      <alignment horizontal="left" indent="2"/>
    </xf>
    <xf numFmtId="166" fontId="31" fillId="11" borderId="0" xfId="4" applyNumberFormat="1" applyFont="1" applyFill="1"/>
    <xf numFmtId="166" fontId="31" fillId="0" borderId="0" xfId="9" applyNumberFormat="1" applyFont="1"/>
    <xf numFmtId="3" fontId="31" fillId="0" borderId="0" xfId="4" applyNumberFormat="1" applyFont="1"/>
    <xf numFmtId="9" fontId="31" fillId="0" borderId="0" xfId="9" applyFont="1"/>
    <xf numFmtId="3" fontId="32" fillId="0" borderId="4" xfId="4" applyNumberFormat="1" applyFont="1" applyBorder="1"/>
    <xf numFmtId="0" fontId="31" fillId="0" borderId="4" xfId="4" applyFont="1" applyBorder="1"/>
    <xf numFmtId="3" fontId="33" fillId="0" borderId="4" xfId="4" applyNumberFormat="1" applyFont="1" applyBorder="1" applyAlignment="1">
      <alignment horizontal="right" vertical="center"/>
    </xf>
    <xf numFmtId="3" fontId="31" fillId="0" borderId="4" xfId="4" applyNumberFormat="1" applyFont="1" applyBorder="1"/>
    <xf numFmtId="3" fontId="23" fillId="0" borderId="4" xfId="8" applyNumberFormat="1" applyFont="1" applyBorder="1"/>
    <xf numFmtId="3" fontId="23" fillId="0" borderId="4" xfId="4" applyNumberFormat="1" applyFont="1" applyBorder="1" applyAlignment="1">
      <alignment horizontal="left" indent="2"/>
    </xf>
    <xf numFmtId="3" fontId="23" fillId="0" borderId="4" xfId="4" applyNumberFormat="1" applyFont="1" applyBorder="1" applyAlignment="1">
      <alignment horizontal="right" vertical="center"/>
    </xf>
    <xf numFmtId="0" fontId="34" fillId="0" borderId="4" xfId="4" applyFont="1" applyBorder="1"/>
    <xf numFmtId="0" fontId="32" fillId="0" borderId="4" xfId="4" applyFont="1" applyBorder="1"/>
    <xf numFmtId="168" fontId="31" fillId="0" borderId="4" xfId="8" applyNumberFormat="1" applyFont="1" applyFill="1" applyBorder="1" applyAlignment="1"/>
    <xf numFmtId="3" fontId="23" fillId="0" borderId="4" xfId="4" applyNumberFormat="1" applyFont="1" applyBorder="1"/>
    <xf numFmtId="0" fontId="31" fillId="17" borderId="0" xfId="4" applyFont="1" applyFill="1"/>
    <xf numFmtId="0" fontId="35" fillId="0" borderId="0" xfId="4" applyFont="1"/>
    <xf numFmtId="3" fontId="35" fillId="0" borderId="0" xfId="4" applyNumberFormat="1" applyFont="1"/>
    <xf numFmtId="9" fontId="35" fillId="0" borderId="0" xfId="9" applyFont="1"/>
    <xf numFmtId="3" fontId="36" fillId="0" borderId="4" xfId="4" applyNumberFormat="1" applyFont="1" applyBorder="1" applyAlignment="1">
      <alignment horizontal="right" vertical="center"/>
    </xf>
    <xf numFmtId="3" fontId="37" fillId="0" borderId="4" xfId="4" applyNumberFormat="1" applyFont="1" applyBorder="1"/>
    <xf numFmtId="3" fontId="37" fillId="0" borderId="4" xfId="4" applyNumberFormat="1" applyFont="1" applyBorder="1" applyAlignment="1">
      <alignment horizontal="right" vertical="center"/>
    </xf>
    <xf numFmtId="0" fontId="35" fillId="0" borderId="4" xfId="4" applyFont="1" applyBorder="1"/>
    <xf numFmtId="0" fontId="32" fillId="0" borderId="4" xfId="4" applyFont="1" applyBorder="1" applyAlignment="1">
      <alignment horizontal="left"/>
    </xf>
    <xf numFmtId="0" fontId="32" fillId="0" borderId="4" xfId="4" applyFont="1" applyBorder="1" applyAlignment="1">
      <alignment horizontal="center"/>
    </xf>
    <xf numFmtId="0" fontId="31" fillId="0" borderId="22" xfId="4" applyFont="1" applyBorder="1"/>
    <xf numFmtId="0" fontId="31" fillId="0" borderId="27" xfId="4" applyFont="1" applyBorder="1"/>
    <xf numFmtId="0" fontId="32" fillId="0" borderId="1" xfId="4" applyFont="1" applyBorder="1"/>
    <xf numFmtId="166" fontId="0" fillId="11" borderId="0" xfId="2" applyNumberFormat="1" applyFont="1" applyFill="1" applyAlignment="1">
      <alignment horizontal="center"/>
    </xf>
    <xf numFmtId="166" fontId="0" fillId="11" borderId="0" xfId="2" applyNumberFormat="1" applyFont="1" applyFill="1" applyAlignment="1">
      <alignment horizontal="center" vertical="center"/>
    </xf>
    <xf numFmtId="0" fontId="39" fillId="0" borderId="0" xfId="0" applyFont="1"/>
    <xf numFmtId="3" fontId="39" fillId="0" borderId="0" xfId="0" applyNumberFormat="1" applyFont="1"/>
    <xf numFmtId="0" fontId="39" fillId="0" borderId="4" xfId="0" applyFont="1" applyBorder="1" applyAlignment="1">
      <alignment horizontal="center"/>
    </xf>
    <xf numFmtId="0" fontId="39" fillId="0" borderId="26" xfId="0" applyFont="1" applyBorder="1" applyAlignment="1">
      <alignment horizontal="center"/>
    </xf>
    <xf numFmtId="3" fontId="39" fillId="0" borderId="0" xfId="0" applyNumberFormat="1" applyFont="1" applyAlignment="1">
      <alignment horizont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166" fontId="31" fillId="17" borderId="0" xfId="9" applyNumberFormat="1" applyFont="1" applyFill="1"/>
    <xf numFmtId="9" fontId="0" fillId="18" borderId="4" xfId="2" applyNumberFormat="1" applyFont="1" applyFill="1" applyBorder="1" applyAlignment="1">
      <alignment horizontal="center"/>
    </xf>
    <xf numFmtId="9" fontId="0" fillId="18" borderId="4" xfId="0" applyNumberFormat="1" applyFill="1" applyBorder="1" applyAlignment="1">
      <alignment horizontal="center"/>
    </xf>
    <xf numFmtId="0" fontId="11" fillId="0" borderId="0" xfId="0" applyFont="1"/>
    <xf numFmtId="3" fontId="0" fillId="0" borderId="0" xfId="0" applyNumberFormat="1" applyAlignment="1">
      <alignment horizontal="center" vertical="center"/>
    </xf>
    <xf numFmtId="38" fontId="0" fillId="0" borderId="0" xfId="0" applyNumberFormat="1"/>
    <xf numFmtId="166" fontId="0" fillId="0" borderId="0" xfId="0" applyNumberFormat="1" applyAlignment="1"/>
    <xf numFmtId="169" fontId="15" fillId="0" borderId="4" xfId="0" applyNumberFormat="1" applyFont="1" applyBorder="1" applyAlignment="1">
      <alignment horizontal="center"/>
    </xf>
    <xf numFmtId="169" fontId="14" fillId="0" borderId="4" xfId="0" applyNumberFormat="1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3" fillId="11" borderId="0" xfId="0" applyFont="1" applyFill="1"/>
    <xf numFmtId="0" fontId="0" fillId="0" borderId="44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3" fontId="0" fillId="11" borderId="4" xfId="0" applyNumberFormat="1" applyFill="1" applyBorder="1" applyAlignment="1">
      <alignment horizontal="center"/>
    </xf>
    <xf numFmtId="168" fontId="0" fillId="11" borderId="0" xfId="1" applyNumberFormat="1" applyFont="1" applyFill="1" applyAlignment="1">
      <alignment horizontal="center"/>
    </xf>
    <xf numFmtId="168" fontId="0" fillId="0" borderId="0" xfId="1" applyNumberFormat="1" applyFont="1" applyAlignment="1">
      <alignment horizontal="center"/>
    </xf>
    <xf numFmtId="3" fontId="41" fillId="11" borderId="0" xfId="0" applyNumberFormat="1" applyFont="1" applyFill="1"/>
    <xf numFmtId="3" fontId="0" fillId="11" borderId="0" xfId="0" applyNumberFormat="1" applyFill="1"/>
    <xf numFmtId="0" fontId="42" fillId="6" borderId="0" xfId="0" applyFont="1" applyFill="1"/>
    <xf numFmtId="0" fontId="43" fillId="19" borderId="45" xfId="0" applyFont="1" applyFill="1" applyBorder="1" applyAlignment="1">
      <alignment vertical="center"/>
    </xf>
    <xf numFmtId="0" fontId="44" fillId="6" borderId="0" xfId="0" applyFont="1" applyFill="1"/>
    <xf numFmtId="3" fontId="45" fillId="6" borderId="47" xfId="0" applyNumberFormat="1" applyFont="1" applyFill="1" applyBorder="1" applyAlignment="1">
      <alignment horizontal="center" vertical="center"/>
    </xf>
    <xf numFmtId="0" fontId="46" fillId="6" borderId="1" xfId="0" applyFont="1" applyFill="1" applyBorder="1"/>
    <xf numFmtId="0" fontId="42" fillId="6" borderId="22" xfId="0" applyFont="1" applyFill="1" applyBorder="1"/>
    <xf numFmtId="0" fontId="42" fillId="6" borderId="27" xfId="0" applyFont="1" applyFill="1" applyBorder="1"/>
    <xf numFmtId="0" fontId="42" fillId="6" borderId="2" xfId="0" applyFont="1" applyFill="1" applyBorder="1"/>
    <xf numFmtId="0" fontId="42" fillId="6" borderId="0" xfId="0" applyFont="1" applyFill="1" applyBorder="1"/>
    <xf numFmtId="0" fontId="42" fillId="6" borderId="19" xfId="0" applyFont="1" applyFill="1" applyBorder="1"/>
    <xf numFmtId="0" fontId="43" fillId="19" borderId="48" xfId="0" applyFont="1" applyFill="1" applyBorder="1" applyAlignment="1">
      <alignment vertical="center"/>
    </xf>
    <xf numFmtId="0" fontId="44" fillId="6" borderId="2" xfId="0" applyFont="1" applyFill="1" applyBorder="1"/>
    <xf numFmtId="0" fontId="44" fillId="6" borderId="0" xfId="0" applyFont="1" applyFill="1" applyBorder="1"/>
    <xf numFmtId="3" fontId="45" fillId="6" borderId="49" xfId="0" applyNumberFormat="1" applyFont="1" applyFill="1" applyBorder="1" applyAlignment="1">
      <alignment horizontal="center" vertical="center"/>
    </xf>
    <xf numFmtId="2" fontId="44" fillId="6" borderId="0" xfId="0" applyNumberFormat="1" applyFont="1" applyFill="1" applyBorder="1"/>
    <xf numFmtId="2" fontId="44" fillId="6" borderId="19" xfId="0" applyNumberFormat="1" applyFont="1" applyFill="1" applyBorder="1"/>
    <xf numFmtId="0" fontId="44" fillId="6" borderId="3" xfId="0" applyFont="1" applyFill="1" applyBorder="1"/>
    <xf numFmtId="0" fontId="44" fillId="6" borderId="12" xfId="0" applyFont="1" applyFill="1" applyBorder="1"/>
    <xf numFmtId="3" fontId="45" fillId="6" borderId="50" xfId="0" applyNumberFormat="1" applyFont="1" applyFill="1" applyBorder="1" applyAlignment="1">
      <alignment horizontal="center" vertical="center"/>
    </xf>
    <xf numFmtId="3" fontId="45" fillId="6" borderId="51" xfId="0" applyNumberFormat="1" applyFont="1" applyFill="1" applyBorder="1" applyAlignment="1">
      <alignment horizontal="center" vertical="center"/>
    </xf>
    <xf numFmtId="3" fontId="4" fillId="0" borderId="0" xfId="0" applyNumberFormat="1" applyFont="1" applyAlignment="1">
      <alignment horizontal="center"/>
    </xf>
    <xf numFmtId="0" fontId="4" fillId="6" borderId="1" xfId="0" applyFont="1" applyFill="1" applyBorder="1"/>
    <xf numFmtId="0" fontId="4" fillId="6" borderId="22" xfId="0" applyFont="1" applyFill="1" applyBorder="1"/>
    <xf numFmtId="0" fontId="0" fillId="6" borderId="22" xfId="0" applyFill="1" applyBorder="1"/>
    <xf numFmtId="0" fontId="0" fillId="6" borderId="27" xfId="0" applyFill="1" applyBorder="1"/>
    <xf numFmtId="0" fontId="0" fillId="6" borderId="2" xfId="0" applyFill="1" applyBorder="1"/>
    <xf numFmtId="0" fontId="0" fillId="6" borderId="0" xfId="0" applyFill="1" applyBorder="1"/>
    <xf numFmtId="0" fontId="0" fillId="6" borderId="19" xfId="0" applyFill="1" applyBorder="1"/>
    <xf numFmtId="0" fontId="0" fillId="6" borderId="3" xfId="0" applyFill="1" applyBorder="1"/>
    <xf numFmtId="0" fontId="0" fillId="6" borderId="12" xfId="0" applyFill="1" applyBorder="1"/>
    <xf numFmtId="0" fontId="0" fillId="6" borderId="13" xfId="0" applyFill="1" applyBorder="1"/>
    <xf numFmtId="0" fontId="48" fillId="5" borderId="0" xfId="0" applyFont="1" applyFill="1"/>
    <xf numFmtId="0" fontId="42" fillId="5" borderId="0" xfId="0" applyFont="1" applyFill="1"/>
    <xf numFmtId="0" fontId="49" fillId="5" borderId="0" xfId="0" applyFont="1" applyFill="1"/>
    <xf numFmtId="14" fontId="45" fillId="5" borderId="0" xfId="0" applyNumberFormat="1" applyFont="1" applyFill="1"/>
    <xf numFmtId="0" fontId="50" fillId="5" borderId="0" xfId="0" applyFont="1" applyFill="1"/>
    <xf numFmtId="0" fontId="45" fillId="5" borderId="0" xfId="0" applyFont="1" applyFill="1"/>
    <xf numFmtId="0" fontId="44" fillId="5" borderId="0" xfId="0" applyFont="1" applyFill="1"/>
    <xf numFmtId="0" fontId="51" fillId="5" borderId="0" xfId="0" applyFont="1" applyFill="1"/>
    <xf numFmtId="0" fontId="52" fillId="5" borderId="0" xfId="0" applyFont="1" applyFill="1"/>
    <xf numFmtId="0" fontId="49" fillId="5" borderId="34" xfId="0" applyFont="1" applyFill="1" applyBorder="1"/>
    <xf numFmtId="0" fontId="45" fillId="5" borderId="34" xfId="0" applyFont="1" applyFill="1" applyBorder="1"/>
    <xf numFmtId="0" fontId="49" fillId="5" borderId="34" xfId="0" applyFont="1" applyFill="1" applyBorder="1" applyAlignment="1">
      <alignment horizontal="left"/>
    </xf>
    <xf numFmtId="3" fontId="45" fillId="5" borderId="34" xfId="0" applyNumberFormat="1" applyFont="1" applyFill="1" applyBorder="1"/>
    <xf numFmtId="0" fontId="45" fillId="5" borderId="0" xfId="0" applyFont="1" applyFill="1" applyAlignment="1">
      <alignment horizontal="left"/>
    </xf>
    <xf numFmtId="3" fontId="45" fillId="5" borderId="0" xfId="0" applyNumberFormat="1" applyFont="1" applyFill="1"/>
    <xf numFmtId="0" fontId="45" fillId="5" borderId="0" xfId="0" applyFont="1" applyFill="1" applyAlignment="1">
      <alignment horizontal="right"/>
    </xf>
    <xf numFmtId="0" fontId="53" fillId="5" borderId="0" xfId="0" applyFont="1" applyFill="1"/>
    <xf numFmtId="0" fontId="50" fillId="6" borderId="0" xfId="0" applyFont="1" applyFill="1"/>
    <xf numFmtId="0" fontId="52" fillId="6" borderId="0" xfId="0" applyFont="1" applyFill="1"/>
    <xf numFmtId="0" fontId="54" fillId="6" borderId="0" xfId="0" applyFont="1" applyFill="1" applyAlignment="1">
      <alignment vertical="center"/>
    </xf>
    <xf numFmtId="0" fontId="55" fillId="6" borderId="0" xfId="0" applyFont="1" applyFill="1"/>
    <xf numFmtId="0" fontId="48" fillId="6" borderId="0" xfId="0" applyFont="1" applyFill="1"/>
    <xf numFmtId="0" fontId="42" fillId="6" borderId="0" xfId="0" applyFont="1" applyFill="1" applyAlignment="1">
      <alignment vertical="center"/>
    </xf>
    <xf numFmtId="0" fontId="48" fillId="6" borderId="0" xfId="0" applyFont="1" applyFill="1" applyAlignment="1">
      <alignment vertical="center"/>
    </xf>
    <xf numFmtId="0" fontId="43" fillId="19" borderId="52" xfId="0" applyFont="1" applyFill="1" applyBorder="1" applyAlignment="1">
      <alignment horizontal="center" vertical="center"/>
    </xf>
    <xf numFmtId="0" fontId="43" fillId="19" borderId="52" xfId="0" applyFont="1" applyFill="1" applyBorder="1" applyAlignment="1">
      <alignment horizontal="center" vertical="center" wrapText="1"/>
    </xf>
    <xf numFmtId="0" fontId="45" fillId="6" borderId="54" xfId="0" applyFont="1" applyFill="1" applyBorder="1" applyAlignment="1">
      <alignment horizontal="right" vertical="center"/>
    </xf>
    <xf numFmtId="3" fontId="45" fillId="6" borderId="53" xfId="0" applyNumberFormat="1" applyFont="1" applyFill="1" applyBorder="1" applyAlignment="1">
      <alignment horizontal="center" vertical="center"/>
    </xf>
    <xf numFmtId="3" fontId="58" fillId="6" borderId="0" xfId="0" applyNumberFormat="1" applyFont="1" applyFill="1" applyAlignment="1">
      <alignment vertical="center"/>
    </xf>
    <xf numFmtId="3" fontId="45" fillId="6" borderId="54" xfId="0" applyNumberFormat="1" applyFont="1" applyFill="1" applyBorder="1" applyAlignment="1">
      <alignment horizontal="center" vertical="center"/>
    </xf>
    <xf numFmtId="0" fontId="45" fillId="6" borderId="0" xfId="0" applyFont="1" applyFill="1" applyAlignment="1">
      <alignment vertical="center"/>
    </xf>
    <xf numFmtId="0" fontId="50" fillId="6" borderId="0" xfId="0" applyFont="1" applyFill="1" applyAlignment="1">
      <alignment vertical="center"/>
    </xf>
    <xf numFmtId="0" fontId="45" fillId="6" borderId="45" xfId="0" applyFont="1" applyFill="1" applyBorder="1" applyAlignment="1">
      <alignment horizontal="right" vertical="center"/>
    </xf>
    <xf numFmtId="3" fontId="45" fillId="6" borderId="55" xfId="0" applyNumberFormat="1" applyFont="1" applyFill="1" applyBorder="1" applyAlignment="1">
      <alignment horizontal="center" vertical="center"/>
    </xf>
    <xf numFmtId="3" fontId="45" fillId="6" borderId="56" xfId="0" applyNumberFormat="1" applyFont="1" applyFill="1" applyBorder="1" applyAlignment="1">
      <alignment horizontal="center" vertical="center"/>
    </xf>
    <xf numFmtId="3" fontId="45" fillId="6" borderId="46" xfId="0" applyNumberFormat="1" applyFont="1" applyFill="1" applyBorder="1" applyAlignment="1">
      <alignment horizontal="center" vertical="center"/>
    </xf>
    <xf numFmtId="0" fontId="45" fillId="6" borderId="52" xfId="0" applyFont="1" applyFill="1" applyBorder="1" applyAlignment="1">
      <alignment horizontal="right" vertical="center"/>
    </xf>
    <xf numFmtId="3" fontId="45" fillId="6" borderId="52" xfId="0" applyNumberFormat="1" applyFont="1" applyFill="1" applyBorder="1" applyAlignment="1">
      <alignment horizontal="center" vertical="center"/>
    </xf>
    <xf numFmtId="0" fontId="45" fillId="6" borderId="57" xfId="0" applyFont="1" applyFill="1" applyBorder="1" applyAlignment="1">
      <alignment horizontal="right" vertical="center"/>
    </xf>
    <xf numFmtId="3" fontId="45" fillId="6" borderId="45" xfId="0" applyNumberFormat="1" applyFont="1" applyFill="1" applyBorder="1" applyAlignment="1">
      <alignment horizontal="center" vertical="center"/>
    </xf>
    <xf numFmtId="3" fontId="45" fillId="6" borderId="0" xfId="0" applyNumberFormat="1" applyFont="1" applyFill="1" applyAlignment="1">
      <alignment horizontal="center" vertical="center"/>
    </xf>
    <xf numFmtId="0" fontId="45" fillId="6" borderId="45" xfId="0" applyFont="1" applyFill="1" applyBorder="1" applyAlignment="1">
      <alignment vertical="center"/>
    </xf>
    <xf numFmtId="0" fontId="45" fillId="6" borderId="0" xfId="0" applyFont="1" applyFill="1" applyAlignment="1">
      <alignment horizontal="right" vertical="center"/>
    </xf>
    <xf numFmtId="3" fontId="45" fillId="6" borderId="58" xfId="0" applyNumberFormat="1" applyFont="1" applyFill="1" applyBorder="1" applyAlignment="1">
      <alignment horizontal="center" vertical="center"/>
    </xf>
    <xf numFmtId="3" fontId="45" fillId="6" borderId="59" xfId="0" applyNumberFormat="1" applyFont="1" applyFill="1" applyBorder="1" applyAlignment="1">
      <alignment horizontal="center" vertical="center"/>
    </xf>
    <xf numFmtId="0" fontId="44" fillId="6" borderId="0" xfId="0" applyFont="1" applyFill="1" applyAlignment="1">
      <alignment vertical="center"/>
    </xf>
    <xf numFmtId="3" fontId="44" fillId="6" borderId="58" xfId="0" applyNumberFormat="1" applyFont="1" applyFill="1" applyBorder="1" applyAlignment="1">
      <alignment horizontal="center" vertical="center"/>
    </xf>
    <xf numFmtId="3" fontId="44" fillId="6" borderId="54" xfId="0" applyNumberFormat="1" applyFont="1" applyFill="1" applyBorder="1" applyAlignment="1">
      <alignment horizontal="center" vertical="center"/>
    </xf>
    <xf numFmtId="3" fontId="44" fillId="6" borderId="59" xfId="0" applyNumberFormat="1" applyFont="1" applyFill="1" applyBorder="1" applyAlignment="1">
      <alignment horizontal="center" vertical="center"/>
    </xf>
    <xf numFmtId="3" fontId="44" fillId="6" borderId="46" xfId="0" applyNumberFormat="1" applyFont="1" applyFill="1" applyBorder="1" applyAlignment="1">
      <alignment horizontal="center" vertical="center"/>
    </xf>
    <xf numFmtId="3" fontId="44" fillId="6" borderId="52" xfId="0" applyNumberFormat="1" applyFont="1" applyFill="1" applyBorder="1" applyAlignment="1">
      <alignment horizontal="center" vertical="center"/>
    </xf>
    <xf numFmtId="0" fontId="44" fillId="6" borderId="34" xfId="0" applyFont="1" applyFill="1" applyBorder="1" applyAlignment="1">
      <alignment vertical="center"/>
    </xf>
    <xf numFmtId="0" fontId="59" fillId="6" borderId="0" xfId="0" applyFont="1" applyFill="1" applyAlignment="1">
      <alignment vertical="center"/>
    </xf>
    <xf numFmtId="3" fontId="59" fillId="6" borderId="47" xfId="0" applyNumberFormat="1" applyFont="1" applyFill="1" applyBorder="1" applyAlignment="1">
      <alignment horizontal="center" vertical="center"/>
    </xf>
    <xf numFmtId="3" fontId="59" fillId="6" borderId="52" xfId="0" applyNumberFormat="1" applyFont="1" applyFill="1" applyBorder="1" applyAlignment="1">
      <alignment horizontal="center" vertical="center"/>
    </xf>
    <xf numFmtId="0" fontId="59" fillId="6" borderId="60" xfId="0" applyFont="1" applyFill="1" applyBorder="1" applyAlignment="1">
      <alignment vertical="center"/>
    </xf>
    <xf numFmtId="0" fontId="59" fillId="6" borderId="55" xfId="0" applyFont="1" applyFill="1" applyBorder="1" applyAlignment="1">
      <alignment vertical="center"/>
    </xf>
    <xf numFmtId="167" fontId="59" fillId="6" borderId="53" xfId="0" applyNumberFormat="1" applyFont="1" applyFill="1" applyBorder="1" applyAlignment="1">
      <alignment horizontal="center" vertical="center"/>
    </xf>
    <xf numFmtId="167" fontId="59" fillId="6" borderId="52" xfId="0" applyNumberFormat="1" applyFont="1" applyFill="1" applyBorder="1" applyAlignment="1">
      <alignment horizontal="center" vertical="center"/>
    </xf>
    <xf numFmtId="167" fontId="59" fillId="6" borderId="54" xfId="0" applyNumberFormat="1" applyFont="1" applyFill="1" applyBorder="1" applyAlignment="1">
      <alignment horizontal="center" vertical="center"/>
    </xf>
    <xf numFmtId="0" fontId="50" fillId="6" borderId="0" xfId="0" quotePrefix="1" applyFont="1" applyFill="1" applyAlignment="1">
      <alignment vertical="center"/>
    </xf>
    <xf numFmtId="0" fontId="61" fillId="6" borderId="0" xfId="0" applyFont="1" applyFill="1"/>
    <xf numFmtId="0" fontId="62" fillId="6" borderId="0" xfId="0" applyFont="1" applyFill="1"/>
    <xf numFmtId="0" fontId="63" fillId="6" borderId="34" xfId="0" applyFont="1" applyFill="1" applyBorder="1"/>
    <xf numFmtId="0" fontId="48" fillId="6" borderId="34" xfId="0" applyFont="1" applyFill="1" applyBorder="1" applyAlignment="1">
      <alignment horizontal="center"/>
    </xf>
    <xf numFmtId="0" fontId="63" fillId="6" borderId="0" xfId="0" applyFont="1" applyFill="1"/>
    <xf numFmtId="3" fontId="48" fillId="6" borderId="0" xfId="0" applyNumberFormat="1" applyFont="1" applyFill="1" applyAlignment="1">
      <alignment horizontal="center"/>
    </xf>
    <xf numFmtId="9" fontId="48" fillId="6" borderId="0" xfId="0" applyNumberFormat="1" applyFont="1" applyFill="1" applyAlignment="1">
      <alignment horizontal="center"/>
    </xf>
    <xf numFmtId="0" fontId="43" fillId="19" borderId="2" xfId="0" applyFont="1" applyFill="1" applyBorder="1" applyAlignment="1">
      <alignment horizontal="center" vertical="center" wrapText="1"/>
    </xf>
    <xf numFmtId="0" fontId="43" fillId="19" borderId="4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textRotation="90"/>
    </xf>
    <xf numFmtId="0" fontId="4" fillId="0" borderId="29" xfId="0" applyFont="1" applyBorder="1" applyAlignment="1">
      <alignment horizontal="center" vertical="center" textRotation="90"/>
    </xf>
    <xf numFmtId="0" fontId="4" fillId="0" borderId="30" xfId="0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67" fontId="0" fillId="0" borderId="32" xfId="0" applyNumberFormat="1" applyBorder="1" applyAlignment="1">
      <alignment horizontal="center"/>
    </xf>
    <xf numFmtId="167" fontId="0" fillId="0" borderId="20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0" fontId="0" fillId="0" borderId="31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4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16" xfId="0" applyFont="1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166" fontId="0" fillId="0" borderId="43" xfId="0" applyNumberFormat="1" applyBorder="1" applyAlignment="1">
      <alignment horizontal="center"/>
    </xf>
    <xf numFmtId="0" fontId="30" fillId="6" borderId="9" xfId="6" applyFont="1" applyFill="1" applyBorder="1" applyAlignment="1">
      <alignment vertical="center"/>
    </xf>
    <xf numFmtId="0" fontId="30" fillId="6" borderId="39" xfId="6" applyFont="1" applyFill="1" applyBorder="1" applyAlignment="1">
      <alignment vertical="center"/>
    </xf>
    <xf numFmtId="3" fontId="19" fillId="0" borderId="0" xfId="3" applyNumberFormat="1" applyFont="1" applyFill="1" applyBorder="1" applyAlignment="1">
      <alignment horizontal="right"/>
    </xf>
    <xf numFmtId="0" fontId="21" fillId="0" borderId="0" xfId="4" applyFont="1" applyAlignment="1">
      <alignment horizontal="right"/>
    </xf>
    <xf numFmtId="0" fontId="22" fillId="0" borderId="0" xfId="4" applyFont="1" applyBorder="1" applyAlignment="1">
      <alignment horizontal="center"/>
    </xf>
    <xf numFmtId="0" fontId="30" fillId="6" borderId="1" xfId="6" applyFont="1" applyFill="1" applyBorder="1" applyAlignment="1">
      <alignment horizontal="center" vertical="center" wrapText="1"/>
    </xf>
    <xf numFmtId="0" fontId="30" fillId="6" borderId="27" xfId="6" applyFont="1" applyFill="1" applyBorder="1" applyAlignment="1">
      <alignment horizontal="center" vertical="center" wrapText="1"/>
    </xf>
    <xf numFmtId="166" fontId="30" fillId="6" borderId="28" xfId="6" applyNumberFormat="1" applyFont="1" applyFill="1" applyBorder="1" applyAlignment="1">
      <alignment horizontal="center" vertical="center"/>
    </xf>
    <xf numFmtId="166" fontId="30" fillId="6" borderId="30" xfId="6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4" fillId="6" borderId="0" xfId="0" applyFont="1" applyFill="1" applyAlignment="1">
      <alignment horizontal="left"/>
    </xf>
    <xf numFmtId="0" fontId="32" fillId="0" borderId="2" xfId="4" applyFont="1" applyBorder="1" applyAlignment="1">
      <alignment horizontal="center"/>
    </xf>
    <xf numFmtId="0" fontId="32" fillId="0" borderId="0" xfId="4" applyFont="1" applyAlignment="1">
      <alignment horizontal="center"/>
    </xf>
    <xf numFmtId="0" fontId="32" fillId="0" borderId="19" xfId="4" applyFont="1" applyBorder="1" applyAlignment="1">
      <alignment horizontal="center"/>
    </xf>
    <xf numFmtId="0" fontId="47" fillId="19" borderId="0" xfId="0" applyFont="1" applyFill="1" applyAlignment="1">
      <alignment horizontal="center" vertical="center"/>
    </xf>
    <xf numFmtId="0" fontId="43" fillId="19" borderId="45" xfId="0" applyFont="1" applyFill="1" applyBorder="1" applyAlignment="1">
      <alignment horizontal="center" vertical="center"/>
    </xf>
    <xf numFmtId="0" fontId="43" fillId="19" borderId="46" xfId="0" applyFont="1" applyFill="1" applyBorder="1" applyAlignment="1">
      <alignment horizontal="center" vertical="center"/>
    </xf>
    <xf numFmtId="0" fontId="45" fillId="6" borderId="5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3" fontId="0" fillId="0" borderId="0" xfId="0" applyNumberFormat="1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38" fontId="0" fillId="0" borderId="0" xfId="0" applyNumberFormat="1" applyFont="1" applyAlignment="1">
      <alignment horizontal="center"/>
    </xf>
  </cellXfs>
  <cellStyles count="10">
    <cellStyle name="Comma" xfId="1" builtinId="3"/>
    <cellStyle name="Comma 2" xfId="8"/>
    <cellStyle name="Normal" xfId="0" builtinId="0"/>
    <cellStyle name="Normal 2" xfId="6"/>
    <cellStyle name="Normal 5" xfId="4"/>
    <cellStyle name="Normal 7" xfId="7"/>
    <cellStyle name="Normal_DT 9 App 2 Taux de rentabilité Cas de base" xfId="5"/>
    <cellStyle name="Normal_Sensitivity" xfId="3"/>
    <cellStyle name="Per cent 2" xfId="9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55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28.xml"/><Relationship Id="rId54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56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trendline>
            <c:trendlineType val="linear"/>
            <c:dispRSqr val="0"/>
            <c:dispEq val="0"/>
          </c:trendline>
          <c:cat>
            <c:numRef>
              <c:f>'Artisanal Catches'!$D$3:$M$3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'Artisanal Catches'!$D$86:$M$86</c:f>
              <c:numCache>
                <c:formatCode>#,##0</c:formatCode>
                <c:ptCount val="10"/>
                <c:pt idx="0">
                  <c:v>46218.889000000017</c:v>
                </c:pt>
                <c:pt idx="1">
                  <c:v>47959.604699999982</c:v>
                </c:pt>
                <c:pt idx="2">
                  <c:v>48455.94</c:v>
                </c:pt>
                <c:pt idx="3">
                  <c:v>48273.137980626176</c:v>
                </c:pt>
                <c:pt idx="4">
                  <c:v>50316.419474999988</c:v>
                </c:pt>
                <c:pt idx="5">
                  <c:v>51914.103751130788</c:v>
                </c:pt>
                <c:pt idx="6">
                  <c:v>55086.850191046105</c:v>
                </c:pt>
                <c:pt idx="7">
                  <c:v>52211.014000000017</c:v>
                </c:pt>
                <c:pt idx="8">
                  <c:v>53944.041601926539</c:v>
                </c:pt>
                <c:pt idx="9">
                  <c:v>57099.099999999977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7F-774A-A072-F7A32BE9A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3537999"/>
        <c:axId val="1"/>
      </c:barChart>
      <c:catAx>
        <c:axId val="743537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4353799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Artisal fisheries sub-sector captures, ton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17708692787903"/>
          <c:y val="0.15304152637485974"/>
          <c:w val="0.864822913072121"/>
          <c:h val="0.72934559947683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'Artisanal Catches'!$D$3:$M$3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'Artisanal Catches'!$D$4:$M$4</c:f>
              <c:numCache>
                <c:formatCode>#,##0</c:formatCode>
                <c:ptCount val="10"/>
                <c:pt idx="0">
                  <c:v>18159.147000000001</c:v>
                </c:pt>
                <c:pt idx="1">
                  <c:v>15660.581</c:v>
                </c:pt>
                <c:pt idx="2">
                  <c:v>14051.700999999999</c:v>
                </c:pt>
                <c:pt idx="3">
                  <c:v>11097.6683462617</c:v>
                </c:pt>
                <c:pt idx="4">
                  <c:v>16880.839865000002</c:v>
                </c:pt>
                <c:pt idx="5">
                  <c:v>17558.7290986308</c:v>
                </c:pt>
                <c:pt idx="6">
                  <c:v>15059.992202388599</c:v>
                </c:pt>
                <c:pt idx="7">
                  <c:v>28445.65</c:v>
                </c:pt>
                <c:pt idx="8">
                  <c:v>17724.178561542405</c:v>
                </c:pt>
                <c:pt idx="9">
                  <c:v>11636.5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FA-C640-9D58-D63656A9E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2547487"/>
        <c:axId val="1"/>
      </c:barChart>
      <c:catAx>
        <c:axId val="74254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425474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10.Results'!AG62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467273</xdr:colOff>
      <xdr:row>67</xdr:row>
      <xdr:rowOff>38539</xdr:rowOff>
    </xdr:from>
    <xdr:to>
      <xdr:col>17</xdr:col>
      <xdr:colOff>528145</xdr:colOff>
      <xdr:row>82</xdr:row>
      <xdr:rowOff>91967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FA0B8C-5540-3043-95F2-416E4531F0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112985</xdr:colOff>
      <xdr:row>5</xdr:row>
      <xdr:rowOff>161598</xdr:rowOff>
    </xdr:from>
    <xdr:to>
      <xdr:col>33</xdr:col>
      <xdr:colOff>686238</xdr:colOff>
      <xdr:row>20</xdr:row>
      <xdr:rowOff>138824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70CCADD-F01E-A949-B31F-DB6CD27ED2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317500</xdr:colOff>
      <xdr:row>72</xdr:row>
      <xdr:rowOff>127000</xdr:rowOff>
    </xdr:from>
    <xdr:to>
      <xdr:col>16</xdr:col>
      <xdr:colOff>335540</xdr:colOff>
      <xdr:row>78</xdr:row>
      <xdr:rowOff>142240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784AF7A-31A7-8B4F-A7B6-660DBBCCE8C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136" y="14016182"/>
          <a:ext cx="13052137" cy="115824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14</xdr:col>
      <xdr:colOff>1265466</xdr:colOff>
      <xdr:row>10</xdr:row>
      <xdr:rowOff>68037</xdr:rowOff>
    </xdr:from>
    <xdr:to>
      <xdr:col>16</xdr:col>
      <xdr:colOff>0</xdr:colOff>
      <xdr:row>13</xdr:row>
      <xdr:rowOff>136072</xdr:rowOff>
    </xdr:to>
    <xdr:sp macro="" textlink="">
      <xdr:nvSpPr>
        <xdr:cNvPr id="8" name="Rounded Rectangle 1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2200-00001E000000}"/>
            </a:ext>
          </a:extLst>
        </xdr:cNvPr>
        <xdr:cNvSpPr/>
      </xdr:nvSpPr>
      <xdr:spPr>
        <a:xfrm>
          <a:off x="20058291" y="25575987"/>
          <a:ext cx="1363434" cy="877660"/>
        </a:xfrm>
        <a:prstGeom prst="roundRect">
          <a:avLst/>
        </a:prstGeom>
        <a:solidFill>
          <a:srgbClr val="EEA54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  <a:latin typeface="Roboto Light" panose="02000000000000000000" pitchFamily="2" charset="0"/>
              <a:ea typeface="Roboto Light" panose="02000000000000000000" pitchFamily="2" charset="0"/>
            </a:rPr>
            <a:t>Tier 2 </a:t>
          </a:r>
        </a:p>
        <a:p>
          <a:pPr algn="ctr"/>
          <a:r>
            <a:rPr lang="en-US" sz="1400" b="1">
              <a:solidFill>
                <a:sysClr val="windowText" lastClr="000000"/>
              </a:solidFill>
              <a:latin typeface="Roboto Light" panose="02000000000000000000" pitchFamily="2" charset="0"/>
              <a:ea typeface="Roboto Light" panose="02000000000000000000" pitchFamily="2" charset="0"/>
            </a:rPr>
            <a:t>Annual emissions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c/AppData/Local/Microsoft/Windows/INetCache/Content.Outlook/AR0QEN44/WB%20LDAHP%20EFA%2007OC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himuco/Local%20Settings/Temporary%20Internet%20Files/OLKA/Model%20wb%20las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acevich/Dropbox/Countries/Gambia/rev_CIC2%20-%2017%20Feb%202022/Ex-ACT/Annex%2024%20-%20PROREFISH%20-%20EX-ACT_V9.3%20Spreadsheet%20(Mar%202022).xlsb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B/Downloads/PRODEFI%20EFA%20ANA%20ECO_QA_version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/Documents/Round_10_Data_Zip/Round%2010%20Data/Zambia%20R10%20Performance%20Framework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OIFWP%20Economic%20and%20Financial%20Analysis%20calculations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glietti/PROJECTS%20BY%20COUNTRY/Rwanda/Formulation_Irrigation%20and%20SWC%20Project_Nov07/Economic%20and%20financial%20analysis/Farm%20Models_30Nov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ado/Desktop/FINALS/new/Vietnam%20IFAD/Other%20projects%20Vietnam/SRDP/SRDP-WP2-Appendices%201-4-%20Fin%20Model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B\Downloads\F:\Users\Manomi\AppData\Local\Microsoft\Windows\Temporary%20Internet%20Files\Content.Outlook\WT1AFVHC\Nouveau%20Dossier\MALI04\FICHES%20mali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Manomi\AppData\Local\Microsoft\Windows\Temporary%20Internet%20Files\Content.Outlook\WT1AFVHC\Nouveau%20Dossier\MALI04\FICHES%20mali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B\Downloads\F:\PDDMA%20-%20Budget%20et%20Programm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ntinet/My%20Documents/Countries/Liberia/Tree%20crop%20dev.%20project%20STCRSP/July%20Formulation%20mission/Mission%20report/Working%20Papers/Jean/Crop%20Models%2023%20nov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B/Downloads/F:/PDDMA%20-%20Budget%20et%20Programm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nomi\AppData\Local\Microsoft\Windows\Temporary%20Internet%20Files\Content.Outlook\WT1AFVHC\DOCUME~1\g8\IMPOST~1\Temp\Hypothese_formation_PADMIR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B\Downloads\F:\Users\Manomi\AppData\Local\Microsoft\Windows\Temporary%20Internet%20Files\Content.Outlook\WT1AFVHC\DOCUME~1\g8\IMPOST~1\Temp\Hypothese_formation_PADMI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GLIE~1/AppData/Local/Temp/Documents%20and%20Settings/Traniello/Local%20Settings/Temp/PRODER%203%20Appui%20Initiatives%20Base%20(Sylvie+Marc)-%2013%20Nov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ntinet/My%20Documents/Countries/Liberia/Tree%20crop%20dev.%20project%20STCRSP/Nov%20Pre-Appraisal%20mission/Anx%204%20Cost/STCRSP%20Project%20costs%204%20nov.xls" TargetMode="External"/></Relationships>
</file>

<file path=xl/externalLinks/_rels/externalLink25.xml.rels><?xml version="1.0" encoding="UTF-8" standalone="yes"?>
<Relationships xmlns="http://schemas.openxmlformats.org/package/2006/relationships"><Relationship Id="rId2" Type="http://schemas.microsoft.com/office/2019/04/relationships/externalLinkLongPath" Target="file:///F:/Users/Manomi/AppData/Local/Microsoft/Windows/Temporary%20Internet%20Files/Content.Outlook/WT1AFVHC/Fantinet/Niger/projet%20IRDAR/Rapport%20de%20formulation%20-%20EN%20FORMATAGE/DT%201%20Pr&#233;vention%20des%20risques%20-%20Format&#233;/DT1%20AP5%20Couts%20-final.xls?C7505007" TargetMode="External"/><Relationship Id="rId1" Type="http://schemas.openxmlformats.org/officeDocument/2006/relationships/externalLinkPath" Target="file:///\\C7505007\DT1%20AP5%20Couts%20-final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bro%20MANOMI/Documents/AGP2%20AEF/V%207%20janvier%20revue/AGP2%20Anx%207%20FEA%20Appendix%201%20Financial%20Crop%20&amp;%20Farm%20models%20(30%20Jan%2015)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ao.sharepoint.com/sites/GCF/Shared%20Documents/GCF/4_TEMPORARY_FILES/The%20Gambia/Annex%203%20Economic%20and%20financial%20analysis/ProPAD%20EFA%2019DEC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GLIE~1/AppData/Local/Temp/NUNO%20DT11%20AP%201%20Analyse%20&#233;conomique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c/AppData/Local/Microsoft/Windows/INetCache/Content.Outlook/AR0QEN44/CARD_Africa_West_Central_v1.4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rma/AppData/Local/Microsoft/Windows/INetCache/Content.Outlook/NJ2RZFBI/D:/&amp;%20&amp;%20&amp;%20PADAG/PADAG%20-%20Coffee%20models%20HP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rma/AppData/Local/Microsoft/Windows/INetCache/Content.Outlook/NJ2RZFBI/C:/Users/boc/AppData/Local/Temp/Temp1_WP2%20ecofin%20analysis%2026%20oct.zip/STCRSP%20WP2%20AP3%20Oil%20Palm%20Crop%20Model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c/Documents/PADFA/PADFA%20EFA%2030MAY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c/AppData/Local/Microsoft/Windows/Temporary%20Internet%20Files/Content.Outlook/30ABND6B/PRODEFI%20EFA%20Mod&#232;le%20Calif%201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eur/Desktop/Cogiterre%2003-08-06/DAFANI/Dossier%20calculation%20(fedevaco10-12-01)%20mise%20&#224;%20jour%20le%208-04-0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B\Downloads\C:\Documents%20and%20Settings\Traniello\Local%20Settings\Temp\PRODER%203%20Appui%20Initiatives%20Base%20(Sylvie+Marc)-%2013%20Nov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raniello/Local%20Settings/Temp/PRODER%203%20Appui%20Initiatives%20Base%20(Sylvie+Marc)-%2013%20Nov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mazzoli/Dropbox/Lesotho-WAMP/Lesotho%20WAMP%20complete%20EFA%204rd%20versio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c/Dropbox/IFAD/IFAD%20ROOTS/___________EFA%20Updates/IFAD%20EFA%20ROOTS%2003JU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rinne%20IMHOFF/Documents/DAFANI-SA/DAFANI%20SA-COURANT/DAFANI-SA/DAFANI%20-%20COGITERRE/Calculation%20Cogiterr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B\Downloads\F:\Users\Manomi\AppData\Local\Microsoft\Windows\Temporary%20Internet%20Files\Content.Outlook\WT1AFVHC\CMR%20PIRDEP%20ecofin%20agri%202006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Manomi\AppData\Local\Microsoft\Windows\Temporary%20Internet%20Files\Content.Outlook\WT1AFVHC\CMR%20PIRDEP%20ecofin%20agri%202006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nomi\AppData\Local\Microsoft\Windows\Temporary%20Internet%20Files\Content.Outlook\WT1AFVHC\CMR%20PIRDEP%20ecofin%20agri%202006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rma/AppData/Local/Microsoft/Windows/INetCache/Content.Outlook/NJ2RZFBI/C:/Users/Disonama/AppData/Local/Microsoft/Windows/Temporary%20Internet%20Files/Content.Outlook/RL1XKLG5/PADEF-EX-ACT-_v6.0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all results"/>
      <sheetName val="Vaccination Analysis"/>
      <sheetName val="Cattle Vaccination"/>
      <sheetName val="PROJ WP"/>
      <sheetName val="PROJ WOP"/>
      <sheetName val="TmpProjection WOP"/>
      <sheetName val="TmpProjection WP"/>
      <sheetName val="NCD Vaccination_New"/>
      <sheetName val="NCD Vaccination"/>
      <sheetName val="MGs Adoption Analysis"/>
      <sheetName val="C2 Aggregation"/>
      <sheetName val="MG Adoption rates"/>
      <sheetName val="Conversion factors"/>
      <sheetName val="Pig Production ECO"/>
      <sheetName val="Dairy Production ECO"/>
      <sheetName val="Beef Production ECO"/>
      <sheetName val="Village Chicken ECO"/>
      <sheetName val="Goat Production ECO"/>
      <sheetName val="Forage Production (1 ha) ECO"/>
      <sheetName val="Summary FIN models"/>
      <sheetName val="Pig Production FIN"/>
      <sheetName val="Dairy Production FIN"/>
      <sheetName val="Beef Production FIN"/>
      <sheetName val="Broiler Chicken FIN"/>
      <sheetName val="Layer Chicken FIN"/>
      <sheetName val="Village Chicken FIN"/>
      <sheetName val="Goat Production FIN"/>
      <sheetName val="Forage Production (1 ha) FIN"/>
      <sheetName val="MG Main stats"/>
      <sheetName val="MG Database Clean"/>
      <sheetName val="Expenditure by Quarter"/>
      <sheetName val="Expenditure by Year"/>
      <sheetName val="A3 Project Cost by Component"/>
      <sheetName val="Original COMY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E5">
            <v>0.86206896551724144</v>
          </cell>
        </row>
        <row r="7">
          <cell r="E7">
            <v>0.86206896551724144</v>
          </cell>
        </row>
        <row r="8">
          <cell r="E8">
            <v>1</v>
          </cell>
        </row>
        <row r="9">
          <cell r="E9">
            <v>0.75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ffee"/>
      <sheetName val="planting plan"/>
      <sheetName val="project design"/>
      <sheetName val="Summary of costs and investment"/>
      <sheetName val="CocoaUP "/>
      <sheetName val="RubberUP "/>
      <sheetName val="OP"/>
      <sheetName val="PRice list"/>
      <sheetName val="Feuil1"/>
      <sheetName val="Feui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B5">
            <v>2.4700000000000002</v>
          </cell>
        </row>
        <row r="56">
          <cell r="G56">
            <v>1200</v>
          </cell>
        </row>
        <row r="58">
          <cell r="G58">
            <v>0.2</v>
          </cell>
        </row>
        <row r="63">
          <cell r="G63">
            <v>25</v>
          </cell>
        </row>
        <row r="72">
          <cell r="G72">
            <v>1.3</v>
          </cell>
        </row>
        <row r="73">
          <cell r="G73">
            <v>218.39999999999998</v>
          </cell>
        </row>
        <row r="74">
          <cell r="G74">
            <v>3</v>
          </cell>
        </row>
        <row r="75">
          <cell r="G75">
            <v>130</v>
          </cell>
        </row>
      </sheetData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Start"/>
      <sheetName val="1.Description"/>
      <sheetName val="2.LUC"/>
      <sheetName val="defo"/>
      <sheetName val="affo"/>
      <sheetName val="luc"/>
      <sheetName val="3.Cropland"/>
      <sheetName val="crop H2O"/>
      <sheetName val="annual"/>
      <sheetName val="perennial"/>
      <sheetName val="rice"/>
      <sheetName val="4.Grassland"/>
      <sheetName val="grass"/>
      <sheetName val="Livestock"/>
      <sheetName val="5.Management"/>
      <sheetName val="degradation"/>
      <sheetName val="6.Inland wetlands"/>
      <sheetName val="Inl. wetlands"/>
      <sheetName val="Sheet1"/>
      <sheetName val="list"/>
      <sheetName val="IPCC"/>
      <sheetName val="7.Coastal wetlands"/>
      <sheetName val="Coastal"/>
      <sheetName val="Fish and aqua"/>
      <sheetName val="8. Fisheries and aquaculture"/>
      <sheetName val="Database fish"/>
      <sheetName val="Atwood"/>
      <sheetName val="List countries GLEAM"/>
      <sheetName val="9.Inputs"/>
      <sheetName val="Inputs"/>
      <sheetName val="Energy DB"/>
      <sheetName val="BALANCE"/>
      <sheetName val="Gross results"/>
      <sheetName val="Graph"/>
      <sheetName val="10.Results"/>
      <sheetName val="Elec"/>
      <sheetName val="Matrix"/>
      <sheetName val="YEARLY"/>
      <sheetName val="Calculations"/>
      <sheetName val="Earth Map"/>
      <sheetName val="Definitions"/>
      <sheetName val="HELP"/>
      <sheetName val="Languages"/>
      <sheetName val="Stats_yield_ton_per_ha"/>
      <sheetName val="list_region_country"/>
    </sheetNames>
    <sheetDataSet>
      <sheetData sheetId="0"/>
      <sheetData sheetId="1">
        <row r="8">
          <cell r="Q8" t="str">
            <v>Western Africa</v>
          </cell>
        </row>
        <row r="9">
          <cell r="Q9" t="str">
            <v>Gambia</v>
          </cell>
        </row>
        <row r="13">
          <cell r="T13">
            <v>6</v>
          </cell>
        </row>
        <row r="14">
          <cell r="T14">
            <v>14</v>
          </cell>
        </row>
        <row r="26">
          <cell r="G26">
            <v>34</v>
          </cell>
        </row>
        <row r="27">
          <cell r="G27">
            <v>298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YRB"/>
      <sheetName val="SER"/>
      <sheetName val="Bénéfices Envir."/>
      <sheetName val="Bénéfices globaux"/>
      <sheetName val="Sensibilité"/>
      <sheetName val="résumé sensibilité"/>
      <sheetName val="Résumé"/>
    </sheetNames>
    <sheetDataSet>
      <sheetData sheetId="0" refreshError="1"/>
      <sheetData sheetId="1" refreshError="1">
        <row r="19">
          <cell r="P19">
            <v>348.72720205732719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Performance Framework"/>
      <sheetName val="HIV"/>
      <sheetName val="TB"/>
      <sheetName val="Malaria"/>
      <sheetName val="HSS"/>
      <sheetName val="Sheet1"/>
    </sheetNames>
    <sheetDataSet>
      <sheetData sheetId="0"/>
      <sheetData sheetId="1"/>
      <sheetData sheetId="2">
        <row r="2">
          <cell r="A2" t="str">
            <v>Please select…</v>
          </cell>
          <cell r="B2" t="str">
            <v>Please select…</v>
          </cell>
          <cell r="D2" t="str">
            <v>Please select…</v>
          </cell>
          <cell r="E2" t="str">
            <v>Please select…</v>
          </cell>
        </row>
        <row r="3">
          <cell r="A3" t="str">
            <v>BCC - Mass media</v>
          </cell>
          <cell r="B3" t="str">
            <v xml:space="preserve">% of young women and men aged 15-24 who are HIV infected </v>
          </cell>
          <cell r="D3" t="str">
            <v xml:space="preserve">% of women and men aged 15-49 who have had sexual intercourse with more than one partner in the last 12 months </v>
          </cell>
          <cell r="E3" t="str">
            <v>HMIS</v>
          </cell>
        </row>
        <row r="4">
          <cell r="A4" t="str">
            <v>BCC - community outreach and schools</v>
          </cell>
          <cell r="B4" t="str">
            <v xml:space="preserve">% of adults and children with HIV known to be on treatment 12 months after initiation of antiretroviral therapy </v>
          </cell>
          <cell r="D4" t="str">
            <v>% of never married young men and women aged 15-24 who have never had sex</v>
          </cell>
          <cell r="E4" t="str">
            <v>Patient records</v>
          </cell>
          <cell r="F4" t="str">
            <v>Please enter a data source here…</v>
          </cell>
        </row>
        <row r="5">
          <cell r="A5" t="str">
            <v xml:space="preserve">Condom </v>
          </cell>
          <cell r="B5" t="str">
            <v xml:space="preserve">% of infants born to HIV infected mothers who are infected </v>
          </cell>
          <cell r="D5" t="str">
            <v xml:space="preserve">% of young women and men aged 15-24 who have had sexual intercourse before the age of 15 </v>
          </cell>
          <cell r="E5" t="str">
            <v>Training records</v>
          </cell>
          <cell r="F5" t="str">
            <v>Please enter a SDA here…</v>
          </cell>
        </row>
        <row r="6">
          <cell r="A6" t="str">
            <v>Testing and Counseling</v>
          </cell>
          <cell r="B6" t="str">
            <v xml:space="preserve">% of most-at-risk population(s) (sex workers, clients of sex workers, men who have sex with men, injecting drug users) who are HIV infected </v>
          </cell>
          <cell r="D6" t="str">
            <v xml:space="preserve">% of injecting drug users reporting the use of sterile injecting equipment the last time they injected </v>
          </cell>
          <cell r="E6" t="str">
            <v>MICS (Multiple Indicator Cluster Survey)</v>
          </cell>
        </row>
        <row r="7">
          <cell r="A7" t="str">
            <v>PMTCT</v>
          </cell>
          <cell r="B7" t="str">
            <v>% of children under age 18 who are orphans</v>
          </cell>
          <cell r="D7" t="str">
            <v xml:space="preserve">% of injecting drug users reporting the use of a condom the last time they had sexual intercourse </v>
          </cell>
          <cell r="E7" t="str">
            <v>DHS/DHS+ (Demographic and HealthSurvey)</v>
          </cell>
        </row>
        <row r="8">
          <cell r="A8" t="str">
            <v>Post-exposure prophylaxis (PEP)</v>
          </cell>
          <cell r="D8" t="str">
            <v>Current school attendance among orphans and non-orphans</v>
          </cell>
          <cell r="E8" t="str">
            <v>AIS (AIDS Indicator Survey)</v>
          </cell>
        </row>
        <row r="9">
          <cell r="A9" t="str">
            <v>STI diagnosis and treatment</v>
          </cell>
          <cell r="D9" t="str">
            <v>% of women and men aged 15-49 who have had more than one sexual partner in the past 12 months reporting the use of a condom during their last sexual intercourse</v>
          </cell>
          <cell r="E9" t="str">
            <v>BSS (Behavioral Surveillance Survey)</v>
          </cell>
        </row>
        <row r="10">
          <cell r="A10" t="str">
            <v>Blood safety and universal precaution</v>
          </cell>
          <cell r="D10" t="str">
            <v xml:space="preserve">% of women and men aged 15-49 expressing accepting attitudes towards people with HIV </v>
          </cell>
          <cell r="E10" t="str">
            <v>Health Facility survey</v>
          </cell>
        </row>
        <row r="11">
          <cell r="A11" t="str">
            <v>Antiretroviral treatment (ARV) and monitoring</v>
          </cell>
          <cell r="D11" t="str">
            <v xml:space="preserve">% of female and male sex workers reporting the use of a condom with their most recent client </v>
          </cell>
          <cell r="E11" t="str">
            <v>SAMS (Service Availability MappingSurvey)</v>
          </cell>
        </row>
        <row r="12">
          <cell r="A12" t="str">
            <v>Prophylaxis and treatment for opportunistic infections</v>
          </cell>
          <cell r="D12" t="str">
            <v xml:space="preserve">% of men aged 15-49 reporting sex with a sex worker in the last 12 months who used a condom during last paid intercourse </v>
          </cell>
          <cell r="E12" t="str">
            <v>Households survey</v>
          </cell>
        </row>
        <row r="13">
          <cell r="A13" t="str">
            <v>Care and support for the chronically ill</v>
          </cell>
          <cell r="D13" t="str">
            <v xml:space="preserve">% of men reporting the use of condom the last time they had anal sex with a male partner </v>
          </cell>
          <cell r="E13" t="str">
            <v>Specific surveys and research (specify)</v>
          </cell>
        </row>
        <row r="14">
          <cell r="A14" t="str">
            <v>Support for orphans and vulnerable children</v>
          </cell>
          <cell r="E14" t="str">
            <v>Reports (specify)</v>
          </cell>
        </row>
        <row r="15">
          <cell r="A15" t="str">
            <v>TB/HIV</v>
          </cell>
          <cell r="E15" t="str">
            <v>Vital and disease-specific registry</v>
          </cell>
        </row>
        <row r="16">
          <cell r="A16" t="str">
            <v>Policy development including workplace policy</v>
          </cell>
          <cell r="E16" t="str">
            <v>Operational Research</v>
          </cell>
        </row>
        <row r="17">
          <cell r="A17" t="str">
            <v xml:space="preserve">Strengthening of civil society and institutional capacity building </v>
          </cell>
          <cell r="E17" t="str">
            <v>Health Provider survey</v>
          </cell>
        </row>
        <row r="18">
          <cell r="A18" t="str">
            <v>Stigma reduction in all settings</v>
          </cell>
          <cell r="E18" t="str">
            <v>National Health Account</v>
          </cell>
        </row>
        <row r="19">
          <cell r="A19" t="str">
            <v>HSS: Service delivery</v>
          </cell>
          <cell r="E19" t="str">
            <v>Administrative records</v>
          </cell>
        </row>
        <row r="20">
          <cell r="A20" t="str">
            <v>HSS: Health Workforce</v>
          </cell>
        </row>
        <row r="21">
          <cell r="A21" t="str">
            <v>HSS: Medical Products, vaccines and technology</v>
          </cell>
        </row>
        <row r="22">
          <cell r="A22" t="str">
            <v>HSS: Financing</v>
          </cell>
        </row>
        <row r="23">
          <cell r="A23" t="str">
            <v>HSS: Leadership and Governance</v>
          </cell>
        </row>
        <row r="24">
          <cell r="A24" t="str">
            <v xml:space="preserve">HSS: Information system </v>
          </cell>
        </row>
        <row r="25">
          <cell r="A25" t="str">
            <v>CSS: Monitoring and documentation of community and government interventions</v>
          </cell>
        </row>
        <row r="26">
          <cell r="A26" t="str">
            <v xml:space="preserve">CSS: Advocacy, communication and social mobilization </v>
          </cell>
        </row>
        <row r="27">
          <cell r="A27" t="str">
            <v xml:space="preserve">CSS: Building community linkages, collaboration and coordination </v>
          </cell>
        </row>
        <row r="28">
          <cell r="A28" t="str">
            <v xml:space="preserve">CSS: Human resources: skills building for service delivery, advocacy and leadership </v>
          </cell>
        </row>
        <row r="29">
          <cell r="A29" t="str">
            <v xml:space="preserve">CSS: Financial resources </v>
          </cell>
        </row>
        <row r="30">
          <cell r="A30" t="str">
            <v>CSS: Material resources - infrastructure and essential commodities (including medical and other products &amp; technologies)</v>
          </cell>
        </row>
        <row r="31">
          <cell r="A31" t="str">
            <v xml:space="preserve">CSS: Community based activities and services - delivery, use and quality </v>
          </cell>
        </row>
        <row r="32">
          <cell r="A32" t="str">
            <v xml:space="preserve">CSS: Management, accountability and leadership </v>
          </cell>
        </row>
        <row r="33">
          <cell r="A33" t="str">
            <v xml:space="preserve">CSS: Monitoring &amp; evaluation, evidence-building </v>
          </cell>
        </row>
        <row r="34">
          <cell r="A34" t="str">
            <v xml:space="preserve">CSS: Strategic planning </v>
          </cell>
        </row>
      </sheetData>
      <sheetData sheetId="3">
        <row r="2">
          <cell r="A2" t="str">
            <v>Please select…</v>
          </cell>
          <cell r="B2" t="str">
            <v>Please select…</v>
          </cell>
          <cell r="D2" t="str">
            <v>Please select…</v>
          </cell>
          <cell r="E2" t="str">
            <v>Please select…</v>
          </cell>
        </row>
        <row r="3">
          <cell r="A3" t="str">
            <v>High Quality DOTS</v>
          </cell>
          <cell r="B3" t="str">
            <v>TB prevalence rate</v>
          </cell>
          <cell r="D3" t="str">
            <v>Case detection rate: new smear positive TB cases</v>
          </cell>
          <cell r="E3" t="str">
            <v>R&amp;R TB system, quarterly reports</v>
          </cell>
        </row>
        <row r="4">
          <cell r="A4" t="str">
            <v>Improving diagnosis</v>
          </cell>
          <cell r="B4" t="str">
            <v>TB incidence rate</v>
          </cell>
          <cell r="D4" t="str">
            <v>Treatment success rate: new smear positive TB cases</v>
          </cell>
          <cell r="E4" t="str">
            <v xml:space="preserve">R&amp;R TB system, yearly management report </v>
          </cell>
        </row>
        <row r="5">
          <cell r="A5" t="str">
            <v xml:space="preserve">Patient support </v>
          </cell>
          <cell r="B5" t="str">
            <v>TB mortality rate</v>
          </cell>
          <cell r="E5" t="str">
            <v>TB prevalence survey</v>
          </cell>
        </row>
        <row r="6">
          <cell r="A6" t="str">
            <v xml:space="preserve">Procurement and supply management (First line drugs) </v>
          </cell>
          <cell r="E6" t="str">
            <v>TB patient register</v>
          </cell>
        </row>
        <row r="7">
          <cell r="A7" t="str">
            <v>M&amp;E</v>
          </cell>
          <cell r="E7" t="str">
            <v>TB laboratory register</v>
          </cell>
        </row>
        <row r="8">
          <cell r="A8" t="str">
            <v>TB/HIV</v>
          </cell>
          <cell r="E8" t="str">
            <v>TB treatment card</v>
          </cell>
        </row>
        <row r="9">
          <cell r="A9" t="str">
            <v>MDR-TB</v>
          </cell>
          <cell r="E9" t="str">
            <v>Training records</v>
          </cell>
        </row>
        <row r="10">
          <cell r="A10" t="str">
            <v xml:space="preserve">High-risk groups </v>
          </cell>
          <cell r="E10" t="str">
            <v>Specify- Reports, Surveys, Questionnaires etc.</v>
          </cell>
        </row>
        <row r="11">
          <cell r="A11" t="str">
            <v>PAL (Practical Approach to Lung Health)</v>
          </cell>
          <cell r="E11" t="str">
            <v>Health Provider survey</v>
          </cell>
        </row>
        <row r="12">
          <cell r="A12" t="str">
            <v>All care providers (PPM / ISTC - Public-Public, Public-Private Mix (PPM) approaches and International standards for TB care)</v>
          </cell>
          <cell r="E12" t="str">
            <v>Health Facility survey</v>
          </cell>
        </row>
        <row r="13">
          <cell r="A13" t="str">
            <v xml:space="preserve">ACSM (Advocacy, communication and social mobilization) </v>
          </cell>
          <cell r="E13" t="str">
            <v>National Health Account</v>
          </cell>
        </row>
        <row r="14">
          <cell r="A14" t="str">
            <v xml:space="preserve">Community TB care </v>
          </cell>
          <cell r="E14" t="str">
            <v>Households survey</v>
          </cell>
        </row>
        <row r="15">
          <cell r="A15" t="str">
            <v>Operational Research</v>
          </cell>
          <cell r="E15" t="str">
            <v>SAMS (Service Availability Mapping Survey)</v>
          </cell>
        </row>
        <row r="16">
          <cell r="A16" t="str">
            <v>HSS: Service delivery</v>
          </cell>
          <cell r="E16" t="str">
            <v>Administrative records</v>
          </cell>
        </row>
        <row r="17">
          <cell r="A17" t="str">
            <v>HSS:  Health Workforce</v>
          </cell>
        </row>
        <row r="18">
          <cell r="A18" t="str">
            <v>HSS:  Medical Products, Vaccines and Technology</v>
          </cell>
        </row>
        <row r="19">
          <cell r="A19" t="str">
            <v>HSS:  Financing</v>
          </cell>
        </row>
        <row r="20">
          <cell r="A20" t="str">
            <v>HSS:  Information System</v>
          </cell>
        </row>
        <row r="21">
          <cell r="A21" t="str">
            <v>HSS:  Leadership and Goverance</v>
          </cell>
        </row>
        <row r="22">
          <cell r="A22" t="str">
            <v>CSS: Monitoring and documentation of community and government interventions</v>
          </cell>
        </row>
        <row r="23">
          <cell r="A23" t="str">
            <v xml:space="preserve">CSS: Advocacy, communication and social mobilization </v>
          </cell>
        </row>
        <row r="24">
          <cell r="A24" t="str">
            <v xml:space="preserve">CSS: Building community linkages, collaboration and coordination </v>
          </cell>
        </row>
        <row r="25">
          <cell r="A25" t="str">
            <v xml:space="preserve">CSS: Human resources: skills building for service delivery, advocacy and leadership </v>
          </cell>
        </row>
        <row r="26">
          <cell r="A26" t="str">
            <v xml:space="preserve">CSS: Financial resources </v>
          </cell>
        </row>
        <row r="27">
          <cell r="A27" t="str">
            <v>CSS: Material resources - infrastructure and essential commodities (including medical and other products &amp; technologies)</v>
          </cell>
        </row>
        <row r="28">
          <cell r="A28" t="str">
            <v xml:space="preserve">CSS: Community based activities and services - delivery, use and quality </v>
          </cell>
        </row>
        <row r="29">
          <cell r="A29" t="str">
            <v xml:space="preserve">CSS: Management, accountability and leadership </v>
          </cell>
        </row>
        <row r="30">
          <cell r="A30" t="str">
            <v xml:space="preserve">CSS: Monitoring &amp; evaluation, evidence-building </v>
          </cell>
        </row>
        <row r="31">
          <cell r="A31" t="str">
            <v xml:space="preserve">CSS: Strategic planning </v>
          </cell>
        </row>
      </sheetData>
      <sheetData sheetId="4">
        <row r="2">
          <cell r="A2" t="str">
            <v>Please select…</v>
          </cell>
          <cell r="B2" t="str">
            <v>Please select…</v>
          </cell>
          <cell r="D2" t="str">
            <v>Please select…</v>
          </cell>
          <cell r="E2" t="str">
            <v>Please select…</v>
          </cell>
        </row>
        <row r="3">
          <cell r="A3" t="str">
            <v>BCC - Mass media</v>
          </cell>
          <cell r="B3" t="str">
            <v xml:space="preserve">Death rates associated with Malaria: all-cause under-5 mortality rate in highly endemic areas </v>
          </cell>
          <cell r="D3" t="str">
            <v>% of U5 children (and other target groups) with malaria/fever receiving appropriate treatment within 24 hours (community/health facility)</v>
          </cell>
          <cell r="E3" t="str">
            <v>DHS/DHS+ (Demographic and Health Survey)</v>
          </cell>
        </row>
        <row r="4">
          <cell r="A4" t="str">
            <v>BCC - community outreach</v>
          </cell>
          <cell r="B4" t="str">
            <v xml:space="preserve">Incidence of clinical malaria cases (estimated and/or reported) </v>
          </cell>
          <cell r="D4" t="str">
            <v>% of U5 children (and other target group) with uncomplicated malaria correctly managed at health facilities</v>
          </cell>
          <cell r="E4" t="str">
            <v>MIS (Malaria Indicator Survey)</v>
          </cell>
        </row>
        <row r="5">
          <cell r="A5" t="str">
            <v>Insecticide-treated nets (ITNs)</v>
          </cell>
          <cell r="B5" t="str">
            <v>Anaemia prevalence in children under 5 years of age</v>
          </cell>
          <cell r="D5" t="str">
            <v>% of U5 children (and other target groups) admitted with severe malaria and correctly managed at health facilities</v>
          </cell>
          <cell r="E5" t="str">
            <v>MICS (Multiple Indicator Cluster Survey)</v>
          </cell>
        </row>
        <row r="6">
          <cell r="A6" t="str">
            <v>Malaria prevention during pregnancy</v>
          </cell>
          <cell r="B6" t="str">
            <v xml:space="preserve">Prevalence of malaria parasite infection </v>
          </cell>
          <cell r="D6" t="str">
            <v>% of children U5 sleeping under an ITN</v>
          </cell>
          <cell r="E6" t="str">
            <v>Situation Analysis</v>
          </cell>
        </row>
        <row r="7">
          <cell r="A7" t="str">
            <v>Indoor Residual Spraying</v>
          </cell>
          <cell r="B7" t="str">
            <v>Laboratory-confirmed malaria cases seen in heath facilities</v>
          </cell>
          <cell r="D7" t="str">
            <v>% of households with at least one ITN</v>
          </cell>
          <cell r="E7" t="str">
            <v>HMIS</v>
          </cell>
        </row>
        <row r="8">
          <cell r="A8" t="str">
            <v>Prompt, effective anti-malarial treatment</v>
          </cell>
          <cell r="B8" t="str">
            <v>Laboratory-confirmed malaria deaths seen in health facilities</v>
          </cell>
          <cell r="D8" t="str">
            <v>% of pregnant women (and other target groups) sleeping under an ITN</v>
          </cell>
          <cell r="E8" t="str">
            <v>Health Facility survey</v>
          </cell>
        </row>
        <row r="9">
          <cell r="A9" t="str">
            <v>Home based management of malaria</v>
          </cell>
          <cell r="B9" t="str">
            <v>Malaria-attributed deaths in sentinel demographic surveillance sites</v>
          </cell>
          <cell r="D9" t="str">
            <v>% of pregnant women on Intermittent preventive treatment (IPT) according to national policy (specific to Sub-Saharian Africa)</v>
          </cell>
          <cell r="E9" t="str">
            <v>Health Provider survey</v>
          </cell>
        </row>
        <row r="10">
          <cell r="A10" t="str">
            <v>Diagnosis</v>
          </cell>
          <cell r="B10" t="str">
            <v>API (Annual Parasite Index) (specific to Latin America and Asia)</v>
          </cell>
          <cell r="D10" t="str">
            <v>% of households in malaria areas protected by IRS</v>
          </cell>
          <cell r="E10" t="str">
            <v>Key informant survey</v>
          </cell>
        </row>
        <row r="11">
          <cell r="A11" t="str">
            <v>Monitoring drug resistance</v>
          </cell>
          <cell r="B11" t="str">
            <v xml:space="preserve">Incidence of confirmed malaria cases  </v>
          </cell>
          <cell r="D11" t="str">
            <v>% of households covered by ITN or IRS</v>
          </cell>
          <cell r="E11" t="str">
            <v>Households survey</v>
          </cell>
        </row>
        <row r="12">
          <cell r="A12" t="str">
            <v>Monitoring insecticide resistance</v>
          </cell>
          <cell r="E12" t="str">
            <v>Vital registration systems</v>
          </cell>
        </row>
        <row r="13">
          <cell r="A13" t="str">
            <v>Coordination and partnership development (national, community, public-private)</v>
          </cell>
          <cell r="E13" t="str">
            <v>Training records</v>
          </cell>
        </row>
        <row r="14">
          <cell r="A14" t="str">
            <v>HSS: Service delivery</v>
          </cell>
          <cell r="E14" t="str">
            <v>Patients records</v>
          </cell>
        </row>
        <row r="15">
          <cell r="A15" t="str">
            <v xml:space="preserve">HSS: Health Workforce </v>
          </cell>
          <cell r="E15" t="str">
            <v>Surveillance systems</v>
          </cell>
        </row>
        <row r="16">
          <cell r="A16" t="str">
            <v xml:space="preserve">HSS: Medical Products, Vaccines and Technology </v>
          </cell>
          <cell r="E16" t="str">
            <v>Other report, specify</v>
          </cell>
        </row>
        <row r="17">
          <cell r="A17" t="str">
            <v xml:space="preserve">HSS: Information system </v>
          </cell>
          <cell r="E17" t="str">
            <v>National Health Account</v>
          </cell>
        </row>
        <row r="18">
          <cell r="A18" t="str">
            <v xml:space="preserve">HSS: Financing </v>
          </cell>
          <cell r="E18" t="str">
            <v>SAMS (Service Availability Mapping Survey)</v>
          </cell>
        </row>
        <row r="19">
          <cell r="A19" t="str">
            <v xml:space="preserve">HSS: Leadership and Goverance </v>
          </cell>
          <cell r="E19" t="str">
            <v>Other survey, specify</v>
          </cell>
        </row>
        <row r="20">
          <cell r="A20" t="str">
            <v>CSS: Monitoring and documentation of community and government interventions</v>
          </cell>
          <cell r="E20" t="str">
            <v>Administrative records</v>
          </cell>
        </row>
        <row r="21">
          <cell r="A21" t="str">
            <v xml:space="preserve">CSS: Advocacy, communication and social mobilization </v>
          </cell>
        </row>
        <row r="22">
          <cell r="A22" t="str">
            <v xml:space="preserve">CSS: Building community linkages, collaboration and coordination </v>
          </cell>
        </row>
        <row r="23">
          <cell r="A23" t="str">
            <v xml:space="preserve">CSS: Human resources: skills building for service delivery, advocacy and leadership </v>
          </cell>
        </row>
        <row r="24">
          <cell r="A24" t="str">
            <v xml:space="preserve">CSS: Financial resources </v>
          </cell>
        </row>
        <row r="25">
          <cell r="A25" t="str">
            <v>CSS: Material resources - infrastructure and essential commodities (including medical and other products &amp; technologies)</v>
          </cell>
        </row>
        <row r="26">
          <cell r="A26" t="str">
            <v xml:space="preserve">CSS: Community based activities and services - delivery, use and quality </v>
          </cell>
        </row>
        <row r="27">
          <cell r="A27" t="str">
            <v xml:space="preserve">CSS: Management, accountability and leadership </v>
          </cell>
        </row>
        <row r="28">
          <cell r="A28" t="str">
            <v xml:space="preserve">CSS: Monitoring &amp; evaluation, evidence-building </v>
          </cell>
        </row>
        <row r="29">
          <cell r="A29" t="str">
            <v xml:space="preserve">CSS: Strategic planning </v>
          </cell>
        </row>
      </sheetData>
      <sheetData sheetId="5">
        <row r="2">
          <cell r="A2" t="str">
            <v>Please select…</v>
          </cell>
          <cell r="B2" t="str">
            <v>Please select…</v>
          </cell>
          <cell r="C2" t="str">
            <v>Please select…</v>
          </cell>
          <cell r="D2" t="str">
            <v>Please select…</v>
          </cell>
        </row>
        <row r="3">
          <cell r="A3" t="str">
            <v>HSS: Service delivery</v>
          </cell>
          <cell r="B3" t="str">
            <v xml:space="preserve">All-cause mortality rate among children younger than five years </v>
          </cell>
          <cell r="C3" t="str">
            <v xml:space="preserve">% of women and men aged 15-49 who have had sexual intercourse with more than one partner in the last 12 months </v>
          </cell>
          <cell r="D3" t="str">
            <v>HMIS</v>
          </cell>
        </row>
        <row r="4">
          <cell r="A4" t="str">
            <v>HSS: Health Workforce</v>
          </cell>
          <cell r="B4" t="str">
            <v xml:space="preserve">% of young women and men aged 15-24 who are HIV infected </v>
          </cell>
          <cell r="C4" t="str">
            <v>% of never married young men and women aged 15-24 who have never had sex</v>
          </cell>
          <cell r="D4" t="str">
            <v>Patient records</v>
          </cell>
        </row>
        <row r="5">
          <cell r="A5" t="str">
            <v>HSS: Medical Products, vaccines and technology</v>
          </cell>
          <cell r="B5" t="str">
            <v xml:space="preserve">% of adults and children with HIV known to be on treatment 12 months after initiation of antiretroviral therapy </v>
          </cell>
          <cell r="C5" t="str">
            <v xml:space="preserve">% of young women and men aged 15-24 who have had sexual intercourse before the age of 15 </v>
          </cell>
          <cell r="D5" t="str">
            <v>Training records</v>
          </cell>
        </row>
        <row r="6">
          <cell r="A6" t="str">
            <v>HSS: Financing</v>
          </cell>
          <cell r="B6" t="str">
            <v xml:space="preserve">% of infants born to HIV infected mothers who are infected </v>
          </cell>
          <cell r="C6" t="str">
            <v xml:space="preserve">% of injecting drug users reporting the use of sterile injecting equipment the last time they injected </v>
          </cell>
          <cell r="D6" t="str">
            <v>MICS (Multiple Indicator Cluster Survey)</v>
          </cell>
        </row>
        <row r="7">
          <cell r="A7" t="str">
            <v>HSS: Leadership and Governance</v>
          </cell>
          <cell r="B7" t="str">
            <v xml:space="preserve">% of most-at-risk population(s) (sex workers, clients of sex workers, men who have sex with men, injecting drug users) who are HIV infected </v>
          </cell>
          <cell r="C7" t="str">
            <v xml:space="preserve">% of injecting drug users reporting the use of a condom the last time they had sexual intercourse </v>
          </cell>
          <cell r="D7" t="str">
            <v>DHS/DHS+ (Demographic and Health Survey)</v>
          </cell>
        </row>
        <row r="8">
          <cell r="A8" t="str">
            <v xml:space="preserve">HSS: Information system </v>
          </cell>
          <cell r="B8" t="str">
            <v>% of children under age 18 who are orphans</v>
          </cell>
          <cell r="C8" t="str">
            <v>Current school attendance among orphans and non-orphans</v>
          </cell>
          <cell r="D8" t="str">
            <v>AIS (AIDS Indicator Survey)</v>
          </cell>
        </row>
        <row r="9">
          <cell r="A9" t="str">
            <v>CSS: Monitoring and documentation of community and government interventions</v>
          </cell>
          <cell r="B9" t="str">
            <v>TB prevalence rate</v>
          </cell>
          <cell r="C9" t="str">
            <v>% of women and men aged 15-49 who have had more than one sexual partner in the past 12 months reporting the use of a condom during their last sexual intercourse</v>
          </cell>
          <cell r="D9" t="str">
            <v>BSS (Behavioral Surveillance Survey)</v>
          </cell>
        </row>
        <row r="10">
          <cell r="A10" t="str">
            <v xml:space="preserve">CSS: Advocacy, communication and social mobilization </v>
          </cell>
          <cell r="B10" t="str">
            <v>TB incidence rate</v>
          </cell>
          <cell r="C10" t="str">
            <v xml:space="preserve">% of women and men aged 15-49 expressing accepting attitudes towards people with HIV </v>
          </cell>
          <cell r="D10" t="str">
            <v>Health Facility survey</v>
          </cell>
        </row>
        <row r="11">
          <cell r="A11" t="str">
            <v xml:space="preserve">CSS: Building community linkages, collaboration and coordination </v>
          </cell>
          <cell r="B11" t="str">
            <v>TB mortality rate</v>
          </cell>
          <cell r="C11" t="str">
            <v xml:space="preserve">% of female and male sex workers reporting the use of a condom with their most recent client </v>
          </cell>
          <cell r="D11" t="str">
            <v>SAMS (Service Availability Mapping Survey)</v>
          </cell>
        </row>
        <row r="12">
          <cell r="A12" t="str">
            <v xml:space="preserve">CSS: Human resources: skills building for service delivery, advocacy and leadership </v>
          </cell>
          <cell r="B12" t="str">
            <v xml:space="preserve">Death rates associated with Malaria: all-cause under-5 mortality rate in highly endemic areas </v>
          </cell>
          <cell r="C12" t="str">
            <v xml:space="preserve">% of men aged 15-49 reporting sex with a sex worker in the last 12 months who used a condom during last paid intercourse </v>
          </cell>
          <cell r="D12" t="str">
            <v>Households survey</v>
          </cell>
        </row>
        <row r="13">
          <cell r="A13" t="str">
            <v xml:space="preserve">CSS: Financial resources </v>
          </cell>
          <cell r="B13" t="str">
            <v xml:space="preserve">Incidence of clinical malaria cases (estimated and/or reported) </v>
          </cell>
          <cell r="C13" t="str">
            <v xml:space="preserve">% of men reporting the use of condom the last time they had anal sex with a male partner </v>
          </cell>
          <cell r="D13" t="str">
            <v>Specific surveys and research (specify)</v>
          </cell>
        </row>
        <row r="14">
          <cell r="A14" t="str">
            <v>CSS: Material resources - infrastructure and essential commodities (including medical and other products &amp; technologies)</v>
          </cell>
          <cell r="B14" t="str">
            <v>Anaemia prevalence in children under 5 years of age</v>
          </cell>
          <cell r="C14" t="str">
            <v>Case detection rate: new smear positive TB cases</v>
          </cell>
          <cell r="D14" t="str">
            <v>Reports (specify)</v>
          </cell>
        </row>
        <row r="15">
          <cell r="A15" t="str">
            <v xml:space="preserve">CSS: Community based activities and services - delivery, use and quality </v>
          </cell>
          <cell r="B15" t="str">
            <v xml:space="preserve">Prevalence of malaria parasite infection </v>
          </cell>
          <cell r="C15" t="str">
            <v>Treatment success rate: new smear positive TB cases</v>
          </cell>
          <cell r="D15" t="str">
            <v>Vital and disease-specific registry</v>
          </cell>
        </row>
        <row r="16">
          <cell r="A16" t="str">
            <v xml:space="preserve">CSS: Management, accountability and leadership </v>
          </cell>
          <cell r="B16" t="str">
            <v>Laboratory-confirmed malaria cases seen in heath facilities</v>
          </cell>
          <cell r="C16" t="str">
            <v>% of U5 children (and other target groups) with malaria/fever receiving appropriate treatment within 24 hours (community/health facility)</v>
          </cell>
          <cell r="D16" t="str">
            <v>Operational Research</v>
          </cell>
        </row>
        <row r="17">
          <cell r="A17" t="str">
            <v xml:space="preserve">CSS: Monitoring &amp; evaluation, evidence-building </v>
          </cell>
          <cell r="B17" t="str">
            <v>Laboratory-confirmed malaria deaths seen in health facilities</v>
          </cell>
          <cell r="C17" t="str">
            <v>% of U5 children (and other target group) with uncomplicated malaria correctly managed at health facilities</v>
          </cell>
          <cell r="D17" t="str">
            <v>Health Provider survey</v>
          </cell>
        </row>
        <row r="18">
          <cell r="A18" t="str">
            <v xml:space="preserve">CSS: Strategic planning </v>
          </cell>
          <cell r="B18" t="str">
            <v>Malaria-attributed deaths in sentinel demographic surveillance sites</v>
          </cell>
          <cell r="C18" t="str">
            <v>% of U5 children (and other target groups) admitted with severe malaria and correctly managed at health facilities</v>
          </cell>
          <cell r="D18" t="str">
            <v>National Health Account</v>
          </cell>
        </row>
        <row r="19">
          <cell r="B19" t="str">
            <v>API (Annual Parasite Index) (specific to Latin America and Asia)</v>
          </cell>
          <cell r="C19" t="str">
            <v>% of children U5 sleeping under an ITN</v>
          </cell>
          <cell r="D19" t="str">
            <v>Administrative records</v>
          </cell>
        </row>
        <row r="20">
          <cell r="B20" t="str">
            <v xml:space="preserve">Incidence of confirmed malaria cases  </v>
          </cell>
          <cell r="C20" t="str">
            <v>% of households with at least one ITN</v>
          </cell>
          <cell r="D20" t="str">
            <v>R&amp;R TB system, quarterly reports</v>
          </cell>
        </row>
        <row r="21">
          <cell r="C21" t="str">
            <v>% of pregnant women (and other target groups) sleeping under an ITN</v>
          </cell>
          <cell r="D21" t="str">
            <v xml:space="preserve">R&amp;R TB system, yearly management report </v>
          </cell>
        </row>
        <row r="22">
          <cell r="C22" t="str">
            <v>% of pregnant women on Intermittent preventive treatment (IPT) according to national policy (specific to Sub-Saharian Africa)</v>
          </cell>
          <cell r="D22" t="str">
            <v>TB prevalence survey</v>
          </cell>
        </row>
        <row r="23">
          <cell r="C23" t="str">
            <v>% of households in malaria areas protected by IRS</v>
          </cell>
          <cell r="D23" t="str">
            <v>TB patient register</v>
          </cell>
        </row>
        <row r="24">
          <cell r="C24" t="str">
            <v>% of households covered by ITN or IRS</v>
          </cell>
          <cell r="D24" t="str">
            <v>TB laboratory register</v>
          </cell>
        </row>
        <row r="25">
          <cell r="D25" t="str">
            <v>TB treatment card</v>
          </cell>
        </row>
        <row r="26">
          <cell r="D26" t="str">
            <v>MIS (Malaria Indicator Survey)</v>
          </cell>
        </row>
        <row r="27">
          <cell r="D27" t="str">
            <v>Situation Analysis</v>
          </cell>
        </row>
        <row r="28">
          <cell r="D28" t="str">
            <v>Key informant survey</v>
          </cell>
        </row>
        <row r="29">
          <cell r="D29" t="str">
            <v>Patients records</v>
          </cell>
        </row>
        <row r="30">
          <cell r="D30" t="str">
            <v>Surveillance systems</v>
          </cell>
        </row>
        <row r="31">
          <cell r="D31" t="str">
            <v>Specify- Reports, Surveys, Questionnaires etc.</v>
          </cell>
        </row>
      </sheetData>
      <sheetData sheetId="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ces"/>
      <sheetName val="Input-Output "/>
      <sheetName val="ECON costs"/>
      <sheetName val="ECON analysis"/>
      <sheetName val="Sensitivity Analysis"/>
      <sheetName val="Household model"/>
      <sheetName val="Model - Home garden "/>
      <sheetName val="Model -  Tree crop re-planting"/>
      <sheetName val="Model - Poultry"/>
      <sheetName val="Model - Commercial growers"/>
      <sheetName val="ECON - village water supply"/>
      <sheetName val="Household consumption abemama"/>
    </sheetNames>
    <sheetDataSet>
      <sheetData sheetId="0">
        <row r="2">
          <cell r="E2">
            <v>0.94428706326723333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 1_Financial Prices"/>
      <sheetName val="APP 1_yields"/>
      <sheetName val="Crop Budgets Summary"/>
      <sheetName val="Farm Models Assumptions"/>
      <sheetName val="APP 3_ Farm Model 1"/>
      <sheetName val="APP 3_Farm model 2"/>
      <sheetName val="APP 3_Farm Model 3"/>
      <sheetName val="APP 3_Farm Model 4"/>
      <sheetName val="APP 3_Farm Model 5"/>
      <sheetName val="App 2 _Beans Model"/>
      <sheetName val="App 2_Maize Crop"/>
      <sheetName val="App 2_Sorghum Crop"/>
      <sheetName val="App 2_Cassava Crop"/>
      <sheetName val="App 2_Sweet Potato Crop"/>
      <sheetName val="App 2_banana Crop"/>
      <sheetName val="App 2_Pineapple Crop"/>
      <sheetName val="App 2_Forage Model"/>
      <sheetName val="App 2_Cows Model"/>
      <sheetName val="App 2_Goat Model"/>
      <sheetName val="App 2_Pig model"/>
      <sheetName val="App 2_irrigated _Rice Model"/>
      <sheetName val="App 2_Irrigated Tomato Model"/>
      <sheetName val="App 2_Irrigated Onion Model"/>
      <sheetName val="App 2_Irrigated Cabbage Model"/>
      <sheetName val="App 2_maracuja Crop"/>
      <sheetName val="App 2_Soya Crop"/>
    </sheetNames>
    <sheetDataSet>
      <sheetData sheetId="0">
        <row r="29">
          <cell r="C29">
            <v>12000</v>
          </cell>
        </row>
        <row r="56">
          <cell r="C56">
            <v>250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APPENDIX II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1">
          <cell r="A1" t="str">
            <v>APPENDIX II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t 2-Table 2.1 Tomato Budg (2)"/>
      <sheetName val="WP-2-Ap 1-Prices"/>
      <sheetName val="WP2-Ap 1-Inputs"/>
      <sheetName val="WP2-Ap 1-Outputs"/>
      <sheetName val="WP2-Ap 2-Tab2.1-Orange1ha"/>
      <sheetName val="WP2-Ap 2-Tab2.2-Rubber1ha"/>
      <sheetName val="WP2-Ap 2-Tab2.3-WRice1ha"/>
      <sheetName val="WP2-Ap 2-Tab2.4-SRice1ha"/>
      <sheetName val="Summary Prod Models"/>
      <sheetName val="WP2-Ap 3-Tab3.1-Orange SPM"/>
      <sheetName val="WP2-Ap 3-Tab3.2-Rubber SPM"/>
      <sheetName val="WP2-Ap 3-Tab3.3-Rice SPM"/>
      <sheetName val="WP2-Ap 3-Tab 3.4-Pig"/>
      <sheetName val="WP2-Ap 3-Tab3.5-PigFattening"/>
      <sheetName val="WP2-Ap 3-Tab 3.6-OrangeProces"/>
      <sheetName val="WP2-Ap 3-Tab 3.6.1-FarmContr"/>
      <sheetName val="WP2-Ap 3Tab 3.6.2-5-Market&amp;Tr"/>
      <sheetName val="WP2 Ap3 Tab3.7 RiceProcess"/>
      <sheetName val="WP2 Ap 3 Tab3.8 Slaughter"/>
      <sheetName val="WP2- Ap 3-Table 3.9-Irrigation"/>
      <sheetName val="WP2-Ap3-Table 3.10-Road"/>
      <sheetName val="Summary"/>
      <sheetName val="Summary ($)"/>
      <sheetName val="SummaryFinancial Results ($)"/>
      <sheetName val="Att 3-Table 3.3-Milk Proces (2)"/>
      <sheetName val="WP2-Ap 4-Tab4.1-VCM-Orange"/>
      <sheetName val="WP2-Ap 4-Tab4.2-VCM-Rubber"/>
      <sheetName val="WP2-Ap 4-Tab4.3-VCM-Rice"/>
      <sheetName val="WP2-Ap 4-Tab4.4-VCM-Pig"/>
      <sheetName val="Summary VCPM"/>
      <sheetName val="Summary VCPM2"/>
    </sheetNames>
    <sheetDataSet>
      <sheetData sheetId="0" refreshError="1"/>
      <sheetData sheetId="1" refreshError="1">
        <row r="29">
          <cell r="F29">
            <v>1200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sult"/>
      <sheetName val="Coût _H"/>
      <sheetName val="base"/>
      <sheetName val="Assol"/>
      <sheetName val="Pédo"/>
      <sheetName val="SyntRd&amp;PV"/>
      <sheetName val="RizCs"/>
      <sheetName val="RizS"/>
      <sheetName val="RizS IPTRID"/>
      <sheetName val="Financement"/>
      <sheetName val="P de T"/>
      <sheetName val="Tom"/>
      <sheetName val="Gombo"/>
      <sheetName val="Oign"/>
      <sheetName val="Maïs"/>
      <sheetName val="Four"/>
      <sheetName val="Agr1"/>
      <sheetName val="AgrM"/>
      <sheetName val="Ban"/>
      <sheetName val="Bois1"/>
      <sheetName val="BoisM"/>
      <sheetName val="RizV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</sheetNames>
    <sheetDataSet>
      <sheetData sheetId="0"/>
      <sheetData sheetId="1"/>
      <sheetData sheetId="2">
        <row r="30">
          <cell r="C30">
            <v>30000</v>
          </cell>
        </row>
        <row r="34">
          <cell r="C34">
            <v>250000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 des Coût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bber"/>
      <sheetName val="Cocoa "/>
      <sheetName val="Coffee"/>
      <sheetName val="Oil Palm"/>
      <sheetName val="PRice list"/>
      <sheetName val="Summary of models"/>
    </sheetNames>
    <sheetDataSet>
      <sheetData sheetId="0"/>
      <sheetData sheetId="1"/>
      <sheetData sheetId="2"/>
      <sheetData sheetId="3"/>
      <sheetData sheetId="4">
        <row r="5">
          <cell r="B5">
            <v>2.4700000000000002</v>
          </cell>
        </row>
        <row r="10">
          <cell r="G10">
            <v>3</v>
          </cell>
        </row>
        <row r="11">
          <cell r="G11">
            <v>1.5</v>
          </cell>
        </row>
        <row r="12">
          <cell r="G12">
            <v>35</v>
          </cell>
        </row>
        <row r="19">
          <cell r="G19">
            <v>1924.9999999999998</v>
          </cell>
        </row>
        <row r="22">
          <cell r="G22">
            <v>1</v>
          </cell>
        </row>
        <row r="42">
          <cell r="D42">
            <v>0.25</v>
          </cell>
        </row>
        <row r="47">
          <cell r="B47">
            <v>137.5</v>
          </cell>
        </row>
        <row r="49">
          <cell r="B49">
            <v>87.666666666666671</v>
          </cell>
        </row>
      </sheetData>
      <sheetData sheetId="5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 des Coûts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- formationCU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- formationCU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ÉchéancierInterventions"/>
      <sheetName val="2. animationTT-Likouala"/>
      <sheetName val="3. animationTT-Sangha"/>
      <sheetName val="4. animationTT-Pool"/>
      <sheetName val="5.animation-couts"/>
      <sheetName val="5-12 formationCU"/>
      <sheetName val="13.IEC"/>
      <sheetName val="14a formationEch"/>
      <sheetName val="14b formationEch"/>
      <sheetName val="15. formationcouts"/>
    </sheetNames>
    <sheetDataSet>
      <sheetData sheetId="0"/>
      <sheetData sheetId="1"/>
      <sheetData sheetId="2"/>
      <sheetData sheetId="3"/>
      <sheetData sheetId="4"/>
      <sheetData sheetId="5">
        <row r="1">
          <cell r="B1">
            <v>460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1 Cocoa &amp; Coffee"/>
      <sheetName val="1.2 Oil Palm"/>
      <sheetName val="1.3 Rubber"/>
      <sheetName val="1.4 Training FO-Coops"/>
      <sheetName val="2. Inst. Building"/>
      <sheetName val="3. Project coord M&amp;E"/>
      <sheetName val="4 - Unit Costs"/>
      <sheetName val="no. of FOs-Coo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Hypothèses"/>
      <sheetName val="2. Coûts"/>
      <sheetName val="3-9 C.U."/>
      <sheetName val="10-11 Recap"/>
      <sheetName val="liste tableaux"/>
      <sheetName val="page garde"/>
    </sheetNames>
    <sheetDataSet>
      <sheetData sheetId="0"/>
      <sheetData sheetId="1"/>
      <sheetData sheetId="2">
        <row r="23">
          <cell r="C23">
            <v>20000</v>
          </cell>
        </row>
        <row r="28">
          <cell r="C28">
            <v>10000</v>
          </cell>
        </row>
      </sheetData>
      <sheetData sheetId="3"/>
      <sheetData sheetId="4"/>
      <sheetData sheetId="5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Teff"/>
      <sheetName val="2.Wheat"/>
      <sheetName val="3.Barley"/>
      <sheetName val="4.Maize"/>
      <sheetName val="5.Sorghum"/>
      <sheetName val="6.Common bean"/>
      <sheetName val="7.Chickpea"/>
      <sheetName val="8.Lentil"/>
      <sheetName val="9.Sesame"/>
      <sheetName val="10.Rainfed Farm Model"/>
      <sheetName val="11.Onion"/>
      <sheetName val="12.Tomato"/>
      <sheetName val="13.Cabbage"/>
      <sheetName val="14.Green Pepper"/>
      <sheetName val="15.HHI Model"/>
      <sheetName val="16.Prices"/>
      <sheetName val="17.crop stats"/>
      <sheetName val="18.farm implements"/>
    </sheetNames>
    <sheetDataSet>
      <sheetData sheetId="0" refreshError="1">
        <row r="73">
          <cell r="H7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Eco Aggregation"/>
      <sheetName val="SensitivityAnalysis"/>
      <sheetName val="GHG Accounting (ExACT)"/>
      <sheetName val="Summary profitability models"/>
      <sheetName val="Hypotheses &amp; Prices"/>
      <sheetName val="Sorghum_full"/>
      <sheetName val="Sorghum_seed"/>
      <sheetName val="Berbéré_full"/>
      <sheetName val="Berbéré_Seed"/>
      <sheetName val="Maize_full"/>
      <sheetName val="Maize_seed"/>
      <sheetName val="Groundnut"/>
      <sheetName val="Cowpea"/>
      <sheetName val="Storage"/>
      <sheetName val="Processing"/>
      <sheetName val="SmallLivestock"/>
      <sheetName val="Surfaces"/>
      <sheetName val="HP Prod Ag"/>
      <sheetName val="COMYRT"/>
      <sheetName val="EAY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9">
          <cell r="N29">
            <v>0.75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Mil"/>
      <sheetName val="2.Sorgho"/>
      <sheetName val="3.Niébé"/>
      <sheetName val="4.Arachide"/>
      <sheetName val="5.Souchet"/>
      <sheetName val="6.Sésame"/>
      <sheetName val="7.Maraich_i"/>
      <sheetName val="8.Oignon_i"/>
      <sheetName val="9.Poivron_i"/>
      <sheetName val="10.Tomate_d"/>
      <sheetName val="11.Patate_d"/>
      <sheetName val="12.Prix FinEco"/>
      <sheetName val="13.BudgetsCultureFIN"/>
      <sheetName val="14.BudgetsCultureECO"/>
      <sheetName val="15.Typo-Hyp"/>
      <sheetName val="16.Sup"/>
      <sheetName val="17.Adopt-Production"/>
      <sheetName val="18.BenefAGRI"/>
      <sheetName val="19.BenefAGR"/>
      <sheetName val="20 BenefCommerc"/>
      <sheetName val="21. COMYRT"/>
      <sheetName val="22. EAYRT"/>
      <sheetName val="23. CBA"/>
      <sheetName val="24. sensib"/>
      <sheetName val="Rep-Caprin"/>
      <sheetName val="Emb-Ovin"/>
      <sheetName val="Fab-HuilArach"/>
      <sheetName val="Intrant"/>
      <sheetName val="ET_2_4"/>
      <sheetName val="ET_3_1"/>
      <sheetName val="ET_3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5">
          <cell r="C35">
            <v>347.5</v>
          </cell>
          <cell r="I35">
            <v>50300</v>
          </cell>
          <cell r="J35">
            <v>88462.5</v>
          </cell>
        </row>
        <row r="38">
          <cell r="I38">
            <v>106525</v>
          </cell>
          <cell r="J38">
            <v>151120.83333333334</v>
          </cell>
        </row>
        <row r="41">
          <cell r="I41">
            <v>212987.5</v>
          </cell>
          <cell r="J41">
            <v>307712.5</v>
          </cell>
        </row>
        <row r="45">
          <cell r="I45">
            <v>0</v>
          </cell>
          <cell r="J45">
            <v>885578.33333333337</v>
          </cell>
        </row>
        <row r="48">
          <cell r="I48">
            <v>184750</v>
          </cell>
          <cell r="J48">
            <v>242562.5</v>
          </cell>
        </row>
      </sheetData>
      <sheetData sheetId="14">
        <row r="35">
          <cell r="D35">
            <v>0.65</v>
          </cell>
        </row>
      </sheetData>
      <sheetData sheetId="15" refreshError="1"/>
      <sheetData sheetId="16">
        <row r="17">
          <cell r="L17">
            <v>25</v>
          </cell>
        </row>
      </sheetData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p yield data"/>
      <sheetName val="Country map"/>
      <sheetName val="About"/>
      <sheetName val="raw_query"/>
      <sheetName val="query_helpers"/>
      <sheetName val="validation_years"/>
      <sheetName val="validation_geo"/>
      <sheetName val="validation"/>
      <sheetName val="maps"/>
      <sheetName val="data"/>
      <sheetName val="metadata"/>
      <sheetName val="years_numbers"/>
      <sheetName val="offsets"/>
    </sheetNames>
    <sheetDataSet>
      <sheetData sheetId="0"/>
      <sheetData sheetId="1"/>
      <sheetData sheetId="2"/>
      <sheetData sheetId="3"/>
      <sheetData sheetId="4">
        <row r="4">
          <cell r="B4">
            <v>10</v>
          </cell>
        </row>
        <row r="5">
          <cell r="B5">
            <v>31</v>
          </cell>
        </row>
        <row r="6">
          <cell r="B6" t="b">
            <v>0</v>
          </cell>
        </row>
        <row r="15">
          <cell r="B15">
            <v>1</v>
          </cell>
        </row>
        <row r="25">
          <cell r="B25">
            <v>25</v>
          </cell>
        </row>
      </sheetData>
      <sheetData sheetId="5"/>
      <sheetData sheetId="6">
        <row r="4">
          <cell r="B4" t="str">
            <v>Benin</v>
          </cell>
          <cell r="C4" t="str">
            <v>Burkina Faso</v>
          </cell>
          <cell r="D4" t="str">
            <v>Cameroon</v>
          </cell>
          <cell r="E4" t="str">
            <v>Cape Verde</v>
          </cell>
          <cell r="F4" t="str">
            <v>Central African Republic</v>
          </cell>
          <cell r="G4" t="str">
            <v>Chad</v>
          </cell>
          <cell r="H4" t="str">
            <v>Côte d'Ivoire</v>
          </cell>
          <cell r="I4" t="str">
            <v>Democratic Republic of the Congo</v>
          </cell>
          <cell r="J4" t="str">
            <v>Equatorial Guinea</v>
          </cell>
          <cell r="K4" t="str">
            <v>Gabon</v>
          </cell>
          <cell r="L4" t="str">
            <v>Gambia</v>
          </cell>
          <cell r="M4" t="str">
            <v>Ghana</v>
          </cell>
          <cell r="N4" t="str">
            <v>Guinea</v>
          </cell>
          <cell r="O4" t="str">
            <v>Guinea-Bissau</v>
          </cell>
          <cell r="P4" t="str">
            <v>Liberia</v>
          </cell>
          <cell r="Q4" t="str">
            <v>Mali</v>
          </cell>
          <cell r="R4" t="str">
            <v>Mauritania</v>
          </cell>
          <cell r="S4" t="str">
            <v>Niger</v>
          </cell>
          <cell r="T4" t="str">
            <v>Nigeria</v>
          </cell>
          <cell r="U4" t="str">
            <v>Republic of Congo</v>
          </cell>
          <cell r="V4" t="str">
            <v>Senegal</v>
          </cell>
          <cell r="W4" t="str">
            <v>Sierra Leone</v>
          </cell>
          <cell r="X4" t="str">
            <v>Togo</v>
          </cell>
        </row>
        <row r="5">
          <cell r="B5" t="str">
            <v>National</v>
          </cell>
          <cell r="C5" t="str">
            <v>National</v>
          </cell>
          <cell r="D5" t="str">
            <v>National</v>
          </cell>
          <cell r="E5" t="str">
            <v>National</v>
          </cell>
          <cell r="F5" t="str">
            <v>National</v>
          </cell>
          <cell r="G5" t="str">
            <v>National</v>
          </cell>
          <cell r="H5" t="str">
            <v>National</v>
          </cell>
          <cell r="I5" t="str">
            <v>National</v>
          </cell>
          <cell r="J5" t="str">
            <v>National</v>
          </cell>
          <cell r="K5" t="str">
            <v>National</v>
          </cell>
          <cell r="L5" t="str">
            <v>National</v>
          </cell>
          <cell r="M5" t="str">
            <v>National</v>
          </cell>
          <cell r="N5" t="str">
            <v>National</v>
          </cell>
          <cell r="O5" t="str">
            <v>National</v>
          </cell>
          <cell r="P5" t="str">
            <v>National</v>
          </cell>
          <cell r="Q5" t="str">
            <v>National</v>
          </cell>
          <cell r="R5" t="str">
            <v>National</v>
          </cell>
          <cell r="S5" t="str">
            <v>National</v>
          </cell>
          <cell r="T5" t="str">
            <v>National</v>
          </cell>
          <cell r="U5" t="str">
            <v>National</v>
          </cell>
          <cell r="V5" t="str">
            <v>National</v>
          </cell>
          <cell r="W5" t="str">
            <v>National</v>
          </cell>
          <cell r="X5" t="str">
            <v>National</v>
          </cell>
        </row>
        <row r="6">
          <cell r="B6" t="str">
            <v>AEZ: Semi-Arid</v>
          </cell>
          <cell r="C6" t="str">
            <v>AEZ: Arid</v>
          </cell>
          <cell r="D6" t="str">
            <v>AEZ: Humid</v>
          </cell>
          <cell r="E6" t="str">
            <v>AEZ: Humid</v>
          </cell>
          <cell r="F6" t="str">
            <v>AEZ: Humid</v>
          </cell>
          <cell r="G6" t="str">
            <v>AEZ: Arid</v>
          </cell>
          <cell r="H6" t="str">
            <v>AEZ: Humid</v>
          </cell>
          <cell r="I6" t="str">
            <v>AEZ: Humid</v>
          </cell>
          <cell r="J6" t="str">
            <v>AEZ: Humid</v>
          </cell>
          <cell r="K6" t="str">
            <v>AEZ: Humid</v>
          </cell>
          <cell r="L6" t="str">
            <v>AEZ: Semi-Arid</v>
          </cell>
          <cell r="M6" t="str">
            <v>AEZ: Humid</v>
          </cell>
          <cell r="N6" t="str">
            <v>AEZ: Humid</v>
          </cell>
          <cell r="O6" t="str">
            <v>AEZ: Humid</v>
          </cell>
          <cell r="P6" t="str">
            <v>AEZ: Humid</v>
          </cell>
          <cell r="Q6" t="str">
            <v>AEZ: Arid</v>
          </cell>
          <cell r="R6" t="str">
            <v>AEZ: Arid</v>
          </cell>
          <cell r="S6" t="str">
            <v>AEZ: Arid</v>
          </cell>
          <cell r="T6" t="str">
            <v>AEZ: Arid</v>
          </cell>
          <cell r="U6" t="str">
            <v>AEZ: Humid</v>
          </cell>
          <cell r="V6" t="str">
            <v>AEZ: Arid</v>
          </cell>
          <cell r="W6" t="str">
            <v>AEZ: Humid</v>
          </cell>
          <cell r="X6" t="str">
            <v>AEZ: Sub-Humid</v>
          </cell>
        </row>
        <row r="7">
          <cell r="B7" t="str">
            <v>AEZ: Sub-Humid</v>
          </cell>
          <cell r="C7" t="str">
            <v>AEZ: Semi-Arid</v>
          </cell>
          <cell r="D7" t="str">
            <v>AEZ: Semi-Arid</v>
          </cell>
          <cell r="E7">
            <v>0</v>
          </cell>
          <cell r="F7" t="str">
            <v>AEZ: Semi-Arid</v>
          </cell>
          <cell r="G7" t="str">
            <v>AEZ: Semi-Arid</v>
          </cell>
          <cell r="H7" t="str">
            <v>AEZ: Sub-Humid</v>
          </cell>
          <cell r="I7" t="str">
            <v>AEZ: Semi-Arid</v>
          </cell>
          <cell r="J7" t="str">
            <v>Centro Sur</v>
          </cell>
          <cell r="K7" t="str">
            <v>AEZ: Sub-Humid</v>
          </cell>
          <cell r="L7" t="str">
            <v>North Bank</v>
          </cell>
          <cell r="M7" t="str">
            <v>AEZ: Sub-Humid</v>
          </cell>
          <cell r="N7" t="str">
            <v>AEZ: Semi-Arid</v>
          </cell>
          <cell r="O7" t="str">
            <v>AEZ: Semi-Arid</v>
          </cell>
          <cell r="P7" t="str">
            <v>AEZ: Sub-Humid</v>
          </cell>
          <cell r="Q7" t="str">
            <v>AEZ: Semi-Arid</v>
          </cell>
          <cell r="R7" t="str">
            <v>AEZ: Humid</v>
          </cell>
          <cell r="S7" t="str">
            <v>AEZ: Semi-Arid</v>
          </cell>
          <cell r="T7" t="str">
            <v>AEZ: Humid</v>
          </cell>
          <cell r="U7" t="str">
            <v>AEZ: Sub-Humid</v>
          </cell>
          <cell r="V7" t="str">
            <v>AEZ: Humid</v>
          </cell>
          <cell r="W7" t="str">
            <v>AEZ: Sub-Humid</v>
          </cell>
          <cell r="X7" t="str">
            <v>Centre</v>
          </cell>
        </row>
        <row r="8">
          <cell r="B8" t="str">
            <v>Alibori</v>
          </cell>
          <cell r="C8" t="str">
            <v>AEZ: Sub-Humid</v>
          </cell>
          <cell r="D8" t="str">
            <v>AEZ: Sub-Humid</v>
          </cell>
          <cell r="E8">
            <v>0</v>
          </cell>
          <cell r="F8" t="str">
            <v>AEZ: Sub-Humid</v>
          </cell>
          <cell r="G8" t="str">
            <v>AEZ: Sub-Humid</v>
          </cell>
          <cell r="H8" t="str">
            <v>Bas-Sassandra</v>
          </cell>
          <cell r="I8" t="str">
            <v>AEZ: Sub-Humid</v>
          </cell>
          <cell r="J8" t="str">
            <v>Kié-Ntem</v>
          </cell>
          <cell r="K8" t="str">
            <v>Estuaire</v>
          </cell>
          <cell r="L8" t="str">
            <v>Upper River</v>
          </cell>
          <cell r="M8" t="str">
            <v>Ashanti</v>
          </cell>
          <cell r="N8" t="str">
            <v>AEZ: Sub-Humid</v>
          </cell>
          <cell r="O8" t="str">
            <v>AEZ: Sub-Humid</v>
          </cell>
          <cell r="P8" t="str">
            <v>Bong</v>
          </cell>
          <cell r="Q8" t="str">
            <v>AEZ: Sub-Humid</v>
          </cell>
          <cell r="R8" t="str">
            <v>AEZ: Semi-Arid</v>
          </cell>
          <cell r="S8" t="str">
            <v>Agadez</v>
          </cell>
          <cell r="T8" t="str">
            <v>AEZ: Semi-Arid</v>
          </cell>
          <cell r="U8" t="str">
            <v>Bouenza</v>
          </cell>
          <cell r="V8" t="str">
            <v>AEZ: Semi-Arid</v>
          </cell>
          <cell r="W8" t="str">
            <v>Eastern</v>
          </cell>
          <cell r="X8" t="str">
            <v>Kara</v>
          </cell>
        </row>
        <row r="9">
          <cell r="B9" t="str">
            <v>Atakora</v>
          </cell>
          <cell r="C9" t="str">
            <v>Boucle du Mouhoun</v>
          </cell>
          <cell r="D9" t="str">
            <v>AEZ: Trp. Hld. Humid</v>
          </cell>
          <cell r="E9">
            <v>0</v>
          </cell>
          <cell r="F9" t="str">
            <v>Bamingui-Bangoran</v>
          </cell>
          <cell r="G9" t="str">
            <v>Barh el Ghazel</v>
          </cell>
          <cell r="H9" t="str">
            <v>Comoé</v>
          </cell>
          <cell r="I9" t="str">
            <v>AEZ: Trp. Hld. Humid</v>
          </cell>
          <cell r="J9" t="str">
            <v>Litoral</v>
          </cell>
          <cell r="K9" t="str">
            <v>Haut-Ogooué</v>
          </cell>
          <cell r="M9" t="str">
            <v>Brong Ahafo</v>
          </cell>
          <cell r="N9" t="str">
            <v>Boké</v>
          </cell>
          <cell r="O9" t="str">
            <v>Bafatá</v>
          </cell>
          <cell r="P9" t="str">
            <v>Gbapolu</v>
          </cell>
          <cell r="Q9" t="str">
            <v>Gao</v>
          </cell>
          <cell r="R9" t="str">
            <v>Assaba</v>
          </cell>
          <cell r="S9" t="str">
            <v>Diffa</v>
          </cell>
          <cell r="T9" t="str">
            <v>AEZ: Sub-Humid</v>
          </cell>
          <cell r="U9" t="str">
            <v>Cuvette</v>
          </cell>
          <cell r="V9" t="str">
            <v>Fatick</v>
          </cell>
          <cell r="W9" t="str">
            <v>Northern</v>
          </cell>
          <cell r="X9" t="str">
            <v>Maritime</v>
          </cell>
        </row>
        <row r="10">
          <cell r="B10" t="str">
            <v>Borgou</v>
          </cell>
          <cell r="C10" t="str">
            <v>Cascades</v>
          </cell>
          <cell r="D10" t="str">
            <v>AEZ: Trp. Hld. Sub-Humid</v>
          </cell>
          <cell r="E10">
            <v>0</v>
          </cell>
          <cell r="F10" t="str">
            <v>Basse-Kotto</v>
          </cell>
          <cell r="G10" t="str">
            <v>Batha</v>
          </cell>
          <cell r="H10" t="str">
            <v>Denguélé</v>
          </cell>
          <cell r="I10" t="str">
            <v>AEZ: Trp. Hld. Semi-Arid</v>
          </cell>
          <cell r="K10" t="str">
            <v>Moyen-Ogooué</v>
          </cell>
          <cell r="M10" t="str">
            <v>Central</v>
          </cell>
          <cell r="N10" t="str">
            <v>Faranah</v>
          </cell>
          <cell r="O10" t="str">
            <v>Bolama</v>
          </cell>
          <cell r="P10" t="str">
            <v>GrandBassa</v>
          </cell>
          <cell r="Q10" t="str">
            <v>Kayes</v>
          </cell>
          <cell r="R10" t="str">
            <v>Brakna</v>
          </cell>
          <cell r="S10" t="str">
            <v>Dosso</v>
          </cell>
          <cell r="T10" t="str">
            <v>AEZ: Trp. Hld. Sub-Humid</v>
          </cell>
          <cell r="U10" t="str">
            <v>Cuvette-Ouest</v>
          </cell>
          <cell r="V10" t="str">
            <v>Kaffrine</v>
          </cell>
          <cell r="W10" t="str">
            <v>Southern</v>
          </cell>
          <cell r="X10" t="str">
            <v>Plateaux</v>
          </cell>
        </row>
        <row r="11">
          <cell r="B11" t="str">
            <v>Collines</v>
          </cell>
          <cell r="C11" t="str">
            <v>Centre-Est</v>
          </cell>
          <cell r="D11" t="str">
            <v>Adamaoua</v>
          </cell>
          <cell r="E11">
            <v>0</v>
          </cell>
          <cell r="F11" t="str">
            <v>Haut-Mbomou</v>
          </cell>
          <cell r="G11" t="str">
            <v>Chari-Baguirmi</v>
          </cell>
          <cell r="H11" t="str">
            <v>Gôh-Djiboua</v>
          </cell>
          <cell r="I11" t="str">
            <v>AEZ: Trp. Hld. Sub-Humid</v>
          </cell>
          <cell r="K11" t="str">
            <v>Ngounié</v>
          </cell>
          <cell r="M11" t="str">
            <v>Eastern</v>
          </cell>
          <cell r="N11" t="str">
            <v>Kankan</v>
          </cell>
          <cell r="O11" t="str">
            <v>Cacheu</v>
          </cell>
          <cell r="P11" t="str">
            <v>GrandGedeh</v>
          </cell>
          <cell r="Q11" t="str">
            <v>Koulikoro</v>
          </cell>
          <cell r="R11" t="str">
            <v>Gorgol</v>
          </cell>
          <cell r="S11" t="str">
            <v>Maradi</v>
          </cell>
          <cell r="T11" t="str">
            <v>Abia</v>
          </cell>
          <cell r="U11" t="str">
            <v>Kouilou</v>
          </cell>
          <cell r="V11" t="str">
            <v>Kaolack</v>
          </cell>
          <cell r="W11">
            <v>0</v>
          </cell>
          <cell r="X11" t="str">
            <v>Savanes</v>
          </cell>
        </row>
        <row r="12">
          <cell r="B12" t="str">
            <v>Donga</v>
          </cell>
          <cell r="C12" t="str">
            <v>Centre-Nord</v>
          </cell>
          <cell r="D12" t="str">
            <v>Centre</v>
          </cell>
          <cell r="E12">
            <v>0</v>
          </cell>
          <cell r="F12" t="str">
            <v>Haute-Kotto</v>
          </cell>
          <cell r="G12" t="str">
            <v>Guéra</v>
          </cell>
          <cell r="H12" t="str">
            <v>Lacs</v>
          </cell>
          <cell r="I12" t="str">
            <v>Bas-Uélé</v>
          </cell>
          <cell r="K12" t="str">
            <v>Nyanga</v>
          </cell>
          <cell r="M12" t="str">
            <v>Greater Accra</v>
          </cell>
          <cell r="N12" t="str">
            <v>Kindia</v>
          </cell>
          <cell r="O12" t="str">
            <v>Gabú</v>
          </cell>
          <cell r="P12" t="str">
            <v>GrandKru</v>
          </cell>
          <cell r="Q12" t="str">
            <v>Mopti</v>
          </cell>
          <cell r="R12" t="str">
            <v>Guidimaka</v>
          </cell>
          <cell r="S12" t="str">
            <v>Tahoua</v>
          </cell>
          <cell r="T12" t="str">
            <v>Adamawa</v>
          </cell>
          <cell r="U12" t="str">
            <v>Lékoumou</v>
          </cell>
          <cell r="V12" t="str">
            <v>Kédougou</v>
          </cell>
          <cell r="W12">
            <v>0</v>
          </cell>
        </row>
        <row r="13">
          <cell r="B13" t="str">
            <v>Plateau</v>
          </cell>
          <cell r="C13" t="str">
            <v>Centre-Ouest</v>
          </cell>
          <cell r="D13" t="str">
            <v>Est</v>
          </cell>
          <cell r="E13">
            <v>0</v>
          </cell>
          <cell r="F13" t="str">
            <v>Kémo</v>
          </cell>
          <cell r="G13" t="str">
            <v>Hadjer-Lamis</v>
          </cell>
          <cell r="H13" t="str">
            <v>Lagunes</v>
          </cell>
          <cell r="I13" t="str">
            <v>Équateur</v>
          </cell>
          <cell r="K13" t="str">
            <v>Ogooué-Ivindo</v>
          </cell>
          <cell r="M13" t="str">
            <v>Northern</v>
          </cell>
          <cell r="N13" t="str">
            <v>Labé</v>
          </cell>
          <cell r="O13" t="str">
            <v>Oio</v>
          </cell>
          <cell r="P13" t="str">
            <v>Lofa</v>
          </cell>
          <cell r="Q13" t="str">
            <v>Ségou</v>
          </cell>
          <cell r="R13" t="str">
            <v>Hodh ech Chargui</v>
          </cell>
          <cell r="S13" t="str">
            <v>Tillabéry</v>
          </cell>
          <cell r="T13" t="str">
            <v>Akwa Ibom</v>
          </cell>
          <cell r="U13" t="str">
            <v>Likouala</v>
          </cell>
          <cell r="V13" t="str">
            <v>Kolda</v>
          </cell>
          <cell r="W13">
            <v>0</v>
          </cell>
        </row>
        <row r="14">
          <cell r="B14" t="str">
            <v>Zou</v>
          </cell>
          <cell r="C14" t="str">
            <v>Centre-Sud</v>
          </cell>
          <cell r="D14" t="str">
            <v>Extrême-Nord</v>
          </cell>
          <cell r="E14">
            <v>0</v>
          </cell>
          <cell r="F14" t="str">
            <v>Lobaye</v>
          </cell>
          <cell r="G14" t="str">
            <v>Kanem</v>
          </cell>
          <cell r="H14" t="str">
            <v>Montagnes</v>
          </cell>
          <cell r="I14" t="str">
            <v>Haut-Katanga</v>
          </cell>
          <cell r="K14" t="str">
            <v>Ogooué-Lolo</v>
          </cell>
          <cell r="M14" t="str">
            <v>Upper East</v>
          </cell>
          <cell r="N14" t="str">
            <v>Mamou</v>
          </cell>
          <cell r="O14" t="str">
            <v>Quinara</v>
          </cell>
          <cell r="P14" t="str">
            <v>Nimba</v>
          </cell>
          <cell r="Q14" t="str">
            <v>Sikasso</v>
          </cell>
          <cell r="R14" t="str">
            <v>Hodh el Gharbi</v>
          </cell>
          <cell r="S14" t="str">
            <v>Zinder</v>
          </cell>
          <cell r="T14" t="str">
            <v>Anambra</v>
          </cell>
          <cell r="U14" t="str">
            <v>Niari</v>
          </cell>
          <cell r="V14" t="str">
            <v>Louga</v>
          </cell>
          <cell r="W14">
            <v>0</v>
          </cell>
        </row>
        <row r="15">
          <cell r="B15">
            <v>0</v>
          </cell>
          <cell r="C15" t="str">
            <v>Est</v>
          </cell>
          <cell r="D15" t="str">
            <v>Littoral</v>
          </cell>
          <cell r="E15">
            <v>0</v>
          </cell>
          <cell r="F15" t="str">
            <v>Mambéré-Kadéï</v>
          </cell>
          <cell r="G15" t="str">
            <v>Lac</v>
          </cell>
          <cell r="H15" t="str">
            <v>Sassandra-Marahoué</v>
          </cell>
          <cell r="I15" t="str">
            <v>Haut-Lomami</v>
          </cell>
          <cell r="K15" t="str">
            <v>Ogooué-Maritime</v>
          </cell>
          <cell r="M15" t="str">
            <v>Upper West</v>
          </cell>
          <cell r="N15" t="str">
            <v>Nzérékoré</v>
          </cell>
          <cell r="O15" t="str">
            <v>Tombali</v>
          </cell>
          <cell r="P15" t="str">
            <v>River Cess</v>
          </cell>
          <cell r="Q15" t="str">
            <v>Timbuktu</v>
          </cell>
          <cell r="R15" t="str">
            <v>Trarza</v>
          </cell>
          <cell r="T15" t="str">
            <v>Bauchi</v>
          </cell>
          <cell r="U15" t="str">
            <v>Plateaux</v>
          </cell>
          <cell r="V15" t="str">
            <v>Matam</v>
          </cell>
          <cell r="W15">
            <v>0</v>
          </cell>
        </row>
        <row r="16">
          <cell r="B16">
            <v>0</v>
          </cell>
          <cell r="C16" t="str">
            <v>Haut-Bassins</v>
          </cell>
          <cell r="D16" t="str">
            <v>Nord</v>
          </cell>
          <cell r="E16">
            <v>0</v>
          </cell>
          <cell r="F16" t="str">
            <v>Mbomou</v>
          </cell>
          <cell r="G16" t="str">
            <v>Logone Occidental</v>
          </cell>
          <cell r="H16" t="str">
            <v>Savanes</v>
          </cell>
          <cell r="I16" t="str">
            <v>Haut-Uélé</v>
          </cell>
          <cell r="K16" t="str">
            <v>Wouleu-Ntem</v>
          </cell>
          <cell r="M16" t="str">
            <v>Volta</v>
          </cell>
          <cell r="P16" t="str">
            <v>River Gee</v>
          </cell>
          <cell r="T16" t="str">
            <v>Bayelsa</v>
          </cell>
          <cell r="U16" t="str">
            <v>Pool</v>
          </cell>
          <cell r="V16" t="str">
            <v>Saint-Louis</v>
          </cell>
          <cell r="W16">
            <v>0</v>
          </cell>
        </row>
        <row r="17">
          <cell r="B17">
            <v>0</v>
          </cell>
          <cell r="C17" t="str">
            <v>Nord</v>
          </cell>
          <cell r="D17" t="str">
            <v>Nord-Ouest</v>
          </cell>
          <cell r="E17">
            <v>0</v>
          </cell>
          <cell r="F17" t="str">
            <v>Nana-Grébizi</v>
          </cell>
          <cell r="G17" t="str">
            <v>Logone Oriental</v>
          </cell>
          <cell r="H17" t="str">
            <v>Vallée du Bandama</v>
          </cell>
          <cell r="I17" t="str">
            <v>Ituri</v>
          </cell>
          <cell r="M17" t="str">
            <v>Western</v>
          </cell>
          <cell r="P17" t="str">
            <v>Sinoe</v>
          </cell>
          <cell r="T17" t="str">
            <v>Benue</v>
          </cell>
          <cell r="U17" t="str">
            <v>Sangha</v>
          </cell>
          <cell r="V17" t="str">
            <v>Sédhiou</v>
          </cell>
          <cell r="W17">
            <v>0</v>
          </cell>
        </row>
        <row r="18">
          <cell r="B18">
            <v>0</v>
          </cell>
          <cell r="C18" t="str">
            <v>Plateau-Central</v>
          </cell>
          <cell r="D18" t="str">
            <v>Ouest</v>
          </cell>
          <cell r="E18">
            <v>0</v>
          </cell>
          <cell r="F18" t="str">
            <v>Nana-Mambéré</v>
          </cell>
          <cell r="G18" t="str">
            <v>Mandoul</v>
          </cell>
          <cell r="H18" t="str">
            <v>Woroba</v>
          </cell>
          <cell r="I18" t="str">
            <v>Kasaï</v>
          </cell>
          <cell r="T18" t="str">
            <v>Borno</v>
          </cell>
          <cell r="V18" t="str">
            <v>Tambacounda</v>
          </cell>
          <cell r="W18">
            <v>0</v>
          </cell>
        </row>
        <row r="19">
          <cell r="B19">
            <v>0</v>
          </cell>
          <cell r="C19" t="str">
            <v>Sahel</v>
          </cell>
          <cell r="D19" t="str">
            <v>Sud</v>
          </cell>
          <cell r="E19">
            <v>0</v>
          </cell>
          <cell r="F19" t="str">
            <v>Ombella-M'Poko</v>
          </cell>
          <cell r="G19" t="str">
            <v>Mayo-Kebbi Est</v>
          </cell>
          <cell r="H19" t="str">
            <v>Zanzan</v>
          </cell>
          <cell r="I19" t="str">
            <v>Kasaï-Central</v>
          </cell>
          <cell r="T19" t="str">
            <v>Cross River</v>
          </cell>
          <cell r="V19" t="str">
            <v>Thiès</v>
          </cell>
          <cell r="W19">
            <v>0</v>
          </cell>
        </row>
        <row r="20">
          <cell r="B20">
            <v>0</v>
          </cell>
          <cell r="C20" t="str">
            <v>Sud-Ouest</v>
          </cell>
          <cell r="D20" t="str">
            <v>Sud-Ouest</v>
          </cell>
          <cell r="E20">
            <v>0</v>
          </cell>
          <cell r="F20" t="str">
            <v>Ouaka</v>
          </cell>
          <cell r="G20" t="str">
            <v>Mayo-Kebbi Ouest</v>
          </cell>
          <cell r="I20" t="str">
            <v>Kasaï-Oriental</v>
          </cell>
          <cell r="T20" t="str">
            <v>Delta</v>
          </cell>
          <cell r="V20" t="str">
            <v>Ziguinchor</v>
          </cell>
          <cell r="W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 t="str">
            <v>Ouham</v>
          </cell>
          <cell r="G21" t="str">
            <v>Moyen-Chari</v>
          </cell>
          <cell r="I21" t="str">
            <v>Kinshasa</v>
          </cell>
          <cell r="T21" t="str">
            <v>Ebonyi</v>
          </cell>
          <cell r="W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 t="str">
            <v>Ouham-Pendé</v>
          </cell>
          <cell r="G22" t="str">
            <v>Ouaddaï</v>
          </cell>
          <cell r="I22" t="str">
            <v>Kongo-Central</v>
          </cell>
          <cell r="T22" t="str">
            <v>Edo</v>
          </cell>
          <cell r="W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 t="str">
            <v>Sangha-Mbaéré</v>
          </cell>
          <cell r="G23" t="str">
            <v>Salamat</v>
          </cell>
          <cell r="I23" t="str">
            <v>Kwango</v>
          </cell>
          <cell r="T23" t="str">
            <v>Ekiti</v>
          </cell>
          <cell r="W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 t="str">
            <v>Vakaga</v>
          </cell>
          <cell r="G24" t="str">
            <v>Sila</v>
          </cell>
          <cell r="I24" t="str">
            <v>Kwilu</v>
          </cell>
          <cell r="T24" t="str">
            <v>Enugu</v>
          </cell>
          <cell r="W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G25" t="str">
            <v>Tandjilé</v>
          </cell>
          <cell r="I25" t="str">
            <v>Lomami</v>
          </cell>
          <cell r="T25" t="str">
            <v>Federal Capital Territory</v>
          </cell>
          <cell r="W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G26" t="str">
            <v>Tibesti</v>
          </cell>
          <cell r="I26" t="str">
            <v>Lualaba</v>
          </cell>
          <cell r="T26" t="str">
            <v>Gombe</v>
          </cell>
          <cell r="W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G27" t="str">
            <v>Wadi Fira</v>
          </cell>
          <cell r="I27" t="str">
            <v>Maï-Ndombe</v>
          </cell>
          <cell r="T27" t="str">
            <v>Jigawa</v>
          </cell>
          <cell r="W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I28" t="str">
            <v>Maniema</v>
          </cell>
          <cell r="T28" t="str">
            <v>Kaduna</v>
          </cell>
          <cell r="W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I29" t="str">
            <v>Mongala</v>
          </cell>
          <cell r="T29" t="str">
            <v>Kano</v>
          </cell>
          <cell r="W29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I30" t="str">
            <v>Nord-Kivu</v>
          </cell>
          <cell r="T30" t="str">
            <v>Katsina</v>
          </cell>
          <cell r="W30">
            <v>0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I31" t="str">
            <v>Nord-Ubangi</v>
          </cell>
          <cell r="T31" t="str">
            <v>Kebbi</v>
          </cell>
          <cell r="W31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I32" t="str">
            <v>Sankuru</v>
          </cell>
          <cell r="T32" t="str">
            <v>Kogi</v>
          </cell>
          <cell r="W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I33" t="str">
            <v>Sud-Kivu</v>
          </cell>
          <cell r="T33" t="str">
            <v>Kwara</v>
          </cell>
          <cell r="W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I34" t="str">
            <v>Sud-Ubangi</v>
          </cell>
          <cell r="T34" t="str">
            <v>Lagos</v>
          </cell>
          <cell r="W34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I35" t="str">
            <v>Tanganyika</v>
          </cell>
          <cell r="T35" t="str">
            <v>Nassarawa</v>
          </cell>
          <cell r="W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I36" t="str">
            <v>Tshopo</v>
          </cell>
          <cell r="T36" t="str">
            <v>Niger</v>
          </cell>
          <cell r="W36">
            <v>0</v>
          </cell>
        </row>
        <row r="37">
          <cell r="B37">
            <v>0</v>
          </cell>
          <cell r="C37">
            <v>0</v>
          </cell>
          <cell r="D37">
            <v>0</v>
          </cell>
          <cell r="E37">
            <v>0</v>
          </cell>
          <cell r="I37" t="str">
            <v>Tshuapa</v>
          </cell>
          <cell r="T37" t="str">
            <v>Ogun</v>
          </cell>
          <cell r="W37">
            <v>0</v>
          </cell>
        </row>
        <row r="38">
          <cell r="B38">
            <v>0</v>
          </cell>
          <cell r="C38">
            <v>0</v>
          </cell>
          <cell r="D38">
            <v>0</v>
          </cell>
          <cell r="E38">
            <v>0</v>
          </cell>
          <cell r="T38" t="str">
            <v>Ondo</v>
          </cell>
          <cell r="W38">
            <v>0</v>
          </cell>
        </row>
        <row r="39">
          <cell r="B39">
            <v>0</v>
          </cell>
          <cell r="C39">
            <v>0</v>
          </cell>
          <cell r="D39">
            <v>0</v>
          </cell>
          <cell r="E39">
            <v>0</v>
          </cell>
          <cell r="T39" t="str">
            <v>Osun</v>
          </cell>
          <cell r="W39">
            <v>0</v>
          </cell>
        </row>
        <row r="40">
          <cell r="B40">
            <v>0</v>
          </cell>
          <cell r="C40">
            <v>0</v>
          </cell>
          <cell r="D40">
            <v>0</v>
          </cell>
          <cell r="E40">
            <v>0</v>
          </cell>
          <cell r="T40" t="str">
            <v>Oyo</v>
          </cell>
          <cell r="W40">
            <v>0</v>
          </cell>
        </row>
      </sheetData>
      <sheetData sheetId="7">
        <row r="4">
          <cell r="B4" t="str">
            <v>Full irrigation</v>
          </cell>
          <cell r="D4" t="str">
            <v>Median</v>
          </cell>
        </row>
        <row r="5">
          <cell r="B5" t="str">
            <v>No irrigation</v>
          </cell>
          <cell r="D5" t="str">
            <v>Pessimistic</v>
          </cell>
        </row>
        <row r="6">
          <cell r="D6" t="str">
            <v>Optimistic</v>
          </cell>
        </row>
      </sheetData>
      <sheetData sheetId="8"/>
      <sheetData sheetId="9"/>
      <sheetData sheetId="10"/>
      <sheetData sheetId="11">
        <row r="1">
          <cell r="A1">
            <v>1995</v>
          </cell>
          <cell r="B1">
            <v>1996</v>
          </cell>
          <cell r="C1">
            <v>1997</v>
          </cell>
          <cell r="D1">
            <v>1998</v>
          </cell>
          <cell r="E1">
            <v>1999</v>
          </cell>
          <cell r="F1">
            <v>2000</v>
          </cell>
          <cell r="G1">
            <v>2001</v>
          </cell>
          <cell r="H1">
            <v>2002</v>
          </cell>
          <cell r="I1">
            <v>2003</v>
          </cell>
          <cell r="J1">
            <v>2004</v>
          </cell>
          <cell r="K1">
            <v>2005</v>
          </cell>
          <cell r="L1">
            <v>2006</v>
          </cell>
          <cell r="M1">
            <v>2007</v>
          </cell>
          <cell r="N1">
            <v>2008</v>
          </cell>
          <cell r="O1">
            <v>2009</v>
          </cell>
          <cell r="P1">
            <v>2010</v>
          </cell>
          <cell r="Q1">
            <v>2011</v>
          </cell>
          <cell r="R1">
            <v>2012</v>
          </cell>
          <cell r="S1">
            <v>2013</v>
          </cell>
          <cell r="T1">
            <v>2014</v>
          </cell>
          <cell r="U1">
            <v>2015</v>
          </cell>
          <cell r="V1">
            <v>2016</v>
          </cell>
          <cell r="W1">
            <v>2017</v>
          </cell>
          <cell r="X1">
            <v>2018</v>
          </cell>
          <cell r="Y1">
            <v>2019</v>
          </cell>
          <cell r="Z1">
            <v>2020</v>
          </cell>
          <cell r="AA1">
            <v>2021</v>
          </cell>
          <cell r="AB1">
            <v>2022</v>
          </cell>
          <cell r="AC1">
            <v>2023</v>
          </cell>
          <cell r="AD1">
            <v>2024</v>
          </cell>
          <cell r="AE1">
            <v>2025</v>
          </cell>
          <cell r="AF1">
            <v>2026</v>
          </cell>
          <cell r="AG1">
            <v>2027</v>
          </cell>
          <cell r="AH1">
            <v>2028</v>
          </cell>
          <cell r="AI1">
            <v>2029</v>
          </cell>
          <cell r="AJ1">
            <v>2030</v>
          </cell>
          <cell r="AK1">
            <v>2031</v>
          </cell>
          <cell r="AL1">
            <v>2032</v>
          </cell>
          <cell r="AM1">
            <v>2033</v>
          </cell>
          <cell r="AN1">
            <v>2034</v>
          </cell>
          <cell r="AO1">
            <v>2035</v>
          </cell>
          <cell r="AP1">
            <v>2036</v>
          </cell>
          <cell r="AQ1">
            <v>2037</v>
          </cell>
          <cell r="AR1">
            <v>2038</v>
          </cell>
          <cell r="AS1">
            <v>2039</v>
          </cell>
          <cell r="AT1">
            <v>2040</v>
          </cell>
          <cell r="AU1">
            <v>2041</v>
          </cell>
          <cell r="AV1">
            <v>2042</v>
          </cell>
          <cell r="AW1">
            <v>2043</v>
          </cell>
          <cell r="AX1">
            <v>2044</v>
          </cell>
          <cell r="AY1">
            <v>2045</v>
          </cell>
          <cell r="AZ1">
            <v>2046</v>
          </cell>
          <cell r="BA1">
            <v>2047</v>
          </cell>
          <cell r="BB1">
            <v>2048</v>
          </cell>
          <cell r="BC1">
            <v>2049</v>
          </cell>
          <cell r="BD1">
            <v>2050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bc.FinCocoarehab"/>
      <sheetName val="1d.Cocoa Rehab HI-Cash flow"/>
      <sheetName val="1e.Cocoa Rehab MED-Cash flow"/>
      <sheetName val="1fgh.EcoCocoarehab"/>
      <sheetName val="2a.FinCocoaPlantingMED"/>
      <sheetName val="2b.EcoCocoaPlantingMED"/>
      <sheetName val="2c.FinCocoaplantingHI"/>
      <sheetName val="2d.EcoCocoaplantingHI"/>
      <sheetName val="3a.FinCoffeeRehab"/>
      <sheetName val="3b.EcoCoffeeRehab"/>
      <sheetName val="4.Price assumptions"/>
      <sheetName val="5.Pink Sheet may 2011"/>
      <sheetName val="PADAG_FinCoffeePlantingMED"/>
      <sheetName val="PADAG_FinCoffeeRehab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C10">
            <v>0.1</v>
          </cell>
        </row>
        <row r="23">
          <cell r="C23">
            <v>67.784704000000005</v>
          </cell>
        </row>
        <row r="32">
          <cell r="E32">
            <v>25.5</v>
          </cell>
        </row>
        <row r="49">
          <cell r="B49">
            <v>2.4700000000000002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OilPalmHigh"/>
      <sheetName val="EcoOilPalmHigh"/>
      <sheetName val="FinOilPalmHI-Cash flow"/>
      <sheetName val="FinOilPalmLow"/>
      <sheetName val="EcoOilPalmLow"/>
      <sheetName val="FinOilPalmRehab"/>
      <sheetName val="EcoPalmRehab"/>
      <sheetName val="Sime Darby cropping pattern"/>
      <sheetName val="Price list"/>
      <sheetName val="Pink Sheet may 2011"/>
      <sheetName val="Pink Sheet jan11"/>
      <sheetName val="ECF"/>
      <sheetName val="FinOPReplantHighEPO"/>
      <sheetName val="FinOPReplantLowVillage"/>
      <sheetName val="FinOPReplantHighVillage"/>
      <sheetName val="FinOPRehabVillage"/>
      <sheetName val="FinOPRehabEP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sumé"/>
      <sheetName val="Benefits Global"/>
      <sheetName val="CFs"/>
      <sheetName val="Résumé Sensibilité"/>
      <sheetName val="Prix de référence"/>
      <sheetName val="Overview Fin"/>
      <sheetName val="RizPluvial_Fin"/>
      <sheetName val="RizIrig_Fin"/>
      <sheetName val="Maraîchage_Fin"/>
      <sheetName val="Mangue_Fin"/>
      <sheetName val="DecortiqueuseAméliorée_Fin"/>
      <sheetName val="MiniRizerieAméliorée_Fin"/>
      <sheetName val="MiniRizerieNouvelle_Fin"/>
      <sheetName val="Etuvage_Fin"/>
      <sheetName val="SechageMangue_Fin"/>
      <sheetName val="UnitéIndustrielleMangue_Fin"/>
      <sheetName val="CE summary"/>
      <sheetName val="Compte d'exploitation modèle N"/>
      <sheetName val="Compte d'exploitation modèle S"/>
      <sheetName val="SER"/>
      <sheetName val="RizPluvial_Eco"/>
      <sheetName val="RizIrig_Eco"/>
      <sheetName val="Maraîchage_Eco"/>
      <sheetName val="Mangue_Eco"/>
      <sheetName val="DecortiqueuseAméliorée_Eco"/>
      <sheetName val="MiniRizerieAméliorée_Eco"/>
      <sheetName val="MiniRizerieNouvelle_Eco"/>
      <sheetName val="Etuvage_Eco"/>
      <sheetName val="SechageMangue_Eco"/>
      <sheetName val="UnitéIndustrielleMangue_Eco"/>
      <sheetName val="Pistes_Eco"/>
      <sheetName val="EAYRT"/>
      <sheetName val="COMYRT"/>
      <sheetName val="Other"/>
      <sheetName val="Investment"/>
      <sheetName val="Invariants"/>
      <sheetName val="Invariants diagramme production"/>
      <sheetName val="Recette purée de mangues "/>
      <sheetName val="Frais variables purée mges"/>
      <sheetName val="nectar de mangues"/>
      <sheetName val="Synthèse Charges jus &amp; nectar"/>
      <sheetName val="Costs-Pr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40">
          <cell r="B40">
            <v>655.95699999999999</v>
          </cell>
        </row>
      </sheetData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x fin-eco"/>
      <sheetName val="Prix paritaires"/>
      <sheetName val="Budg_Carotte_fin"/>
      <sheetName val="Budg_Tomate_fin"/>
      <sheetName val="Budg_Chou_fin"/>
      <sheetName val="Budg_Oignon_fin"/>
      <sheetName val="Budg_PDT_fin"/>
      <sheetName val="Modèle_fin"/>
      <sheetName val="Budg_Carotte_eco"/>
      <sheetName val="Budg_Tomate_eco"/>
      <sheetName val="Budg_Chou_eco"/>
      <sheetName val="Budg_Oignon_eco"/>
      <sheetName val="Budg_PDT_eco"/>
      <sheetName val="Modèle_eco"/>
      <sheetName val="Bénéf. totaux"/>
      <sheetName val="Feuil6"/>
    </sheetNames>
    <sheetDataSet>
      <sheetData sheetId="0">
        <row r="8">
          <cell r="C8">
            <v>145</v>
          </cell>
        </row>
      </sheetData>
      <sheetData sheetId="1">
        <row r="11">
          <cell r="H11">
            <v>1.099519014275862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1">
          <cell r="D71">
            <v>0</v>
          </cell>
        </row>
      </sheetData>
      <sheetData sheetId="14">
        <row r="12">
          <cell r="C12">
            <v>21.6</v>
          </cell>
        </row>
      </sheetData>
      <sheetData sheetId="1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ariants"/>
      <sheetName val="Recette et formulation"/>
      <sheetName val="Frais variable"/>
      <sheetName val="Equipement"/>
      <sheetName val="Frais fixes"/>
      <sheetName val="Frais financiers"/>
      <sheetName val="Budget prévisionnel"/>
      <sheetName val="Données d'exploitation"/>
      <sheetName val="Budget d'exploitation SOFI"/>
      <sheetName val="page titre du dossier"/>
    </sheetNames>
    <sheetDataSet>
      <sheetData sheetId="0"/>
      <sheetData sheetId="1">
        <row r="73">
          <cell r="C73">
            <v>62301.599999999999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-12 formationCU"/>
    </sheet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ÉchéancierInterventions"/>
      <sheetName val="2. animationTT-Likouala"/>
      <sheetName val="3. animationTT-Sangha"/>
      <sheetName val="4. animationTT-Pool"/>
      <sheetName val="5.animation-couts"/>
      <sheetName val="5-12 formationCU"/>
      <sheetName val="13.IEC"/>
      <sheetName val="14a formationEch"/>
      <sheetName val="14b formationEch"/>
      <sheetName val="15. formationcouts"/>
    </sheetNames>
    <sheetDataSet>
      <sheetData sheetId="0"/>
      <sheetData sheetId="1"/>
      <sheetData sheetId="2"/>
      <sheetData sheetId="3"/>
      <sheetData sheetId="4"/>
      <sheetData sheetId="5">
        <row r="1">
          <cell r="B1">
            <v>460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at's parameters WOP"/>
      <sheetName val="CB_DATA_"/>
      <sheetName val="General Info"/>
      <sheetName val="Shadow prices"/>
      <sheetName val="Shed Model"/>
      <sheetName val="Model +15% inc fleece quality"/>
      <sheetName val="Model +15% fleece w +20% bale w"/>
      <sheetName val="Model +15% fleece w +20% ba (2)"/>
      <sheetName val="Model + 15% fleece qua and weig"/>
      <sheetName val="Model + 15% inc in fleece wt"/>
      <sheetName val="Model  +20kg bale weight"/>
      <sheetName val="Model  + 20kg bale weight"/>
      <sheetName val="Flock Calculation"/>
      <sheetName val="Model Wool 100"/>
      <sheetName val="Model Wool 40"/>
      <sheetName val="Model Wool 20 "/>
      <sheetName val="Model Mohair 100"/>
      <sheetName val="Model Mohair 40"/>
      <sheetName val="Model Mohair 20"/>
      <sheetName val="wool costs"/>
      <sheetName val="Dec shed membership by 15%"/>
      <sheetName val="Dec price by 15%"/>
      <sheetName val="Summary"/>
      <sheetName val="HH Wool 100 Mohair 100"/>
      <sheetName val="HH Wool 100 Mohair 40"/>
      <sheetName val="HH Wool 40 Mohair 20"/>
      <sheetName val="Sustainability"/>
      <sheetName val="Wool parameters (wop)"/>
      <sheetName val="PRICE LIST"/>
      <sheetName val="W&amp;M Association"/>
      <sheetName val="HHs features"/>
      <sheetName val="HHs Model Wool"/>
      <sheetName val="wool costs (2)"/>
      <sheetName val="Breeding Centers"/>
      <sheetName val="mohair costs "/>
      <sheetName val="Shed Model (2)"/>
      <sheetName val="New shed model"/>
      <sheetName val="Creation S.shed model (KG)"/>
      <sheetName val="Goat's parameters"/>
      <sheetName val="Breeding Center Quthing"/>
      <sheetName val="Breeding Center Quthing (Valor)"/>
      <sheetName val="Wool parameters"/>
      <sheetName val="Breeding center Mokhotlong"/>
      <sheetName val="Breeding Center Mokhotlong (va "/>
      <sheetName val="Operating S.shed model (KG)"/>
      <sheetName val="Creation S.shed model Phased"/>
      <sheetName val="Model +15% incre. fleece weight"/>
      <sheetName val="Sheet17"/>
      <sheetName val="Shed Costs by SSA"/>
      <sheetName val="Dec shed membership by 15% (2)"/>
      <sheetName val="Dec price by 15% (2)"/>
      <sheetName val="Summary (2)"/>
      <sheetName val="EWS"/>
      <sheetName val="EWS EC"/>
      <sheetName val="Models'summary"/>
      <sheetName val="Economic costs"/>
      <sheetName val="Ec Benefit and Phasing"/>
      <sheetName val="Ec Analysis"/>
      <sheetName val="EC AN Monte"/>
      <sheetName val="Phasing Table"/>
      <sheetName val="Sheet1"/>
    </sheetNames>
    <sheetDataSet>
      <sheetData sheetId="0" refreshError="1"/>
      <sheetData sheetId="1" refreshError="1"/>
      <sheetData sheetId="2">
        <row r="27">
          <cell r="D27" t="str">
            <v>10.5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27">
          <cell r="D27">
            <v>26392.939125000001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coAggregation"/>
      <sheetName val="SensitivityAnalysis"/>
      <sheetName val="Summary Ex-ACT"/>
      <sheetName val="PROYRS"/>
      <sheetName val="VegGardenStats"/>
      <sheetName val="Yields"/>
      <sheetName val="SummaryFinancial"/>
      <sheetName val="SummaryParameters"/>
      <sheetName val="ResultsGlobal"/>
      <sheetName val="AgribusinessSummary"/>
      <sheetName val="Prices"/>
      <sheetName val="CFs"/>
      <sheetName val="Poultry - Broiler"/>
      <sheetName val="Poultry - Layer"/>
      <sheetName val="MixedHorticulture_upgrade_dry"/>
      <sheetName val="MixedHorticulture_new_dry"/>
      <sheetName val="MixedHorticulture_new_wet"/>
      <sheetName val="Y2 RainfedTidalZone_Wet"/>
      <sheetName val="Y3 RainfedTidalZone_Wet"/>
      <sheetName val="Y4 RainfedTidalZone_Wet"/>
      <sheetName val="Y2 RainfedLowland_Wet"/>
      <sheetName val="Y3 RainfedLowland_Wet"/>
      <sheetName val="Y4 RainfedLowland_Wet"/>
      <sheetName val="Y5 RainfedLowland_Wet"/>
      <sheetName val="Y2 IrigTidRice_NewRehab_Wet"/>
      <sheetName val="Y3 IrigTidRice_NewRehab_Wet"/>
      <sheetName val="Y4 IrigTidRice_NewRehab_Wet"/>
      <sheetName val="Y2 IrigTidRice_New_Dry"/>
      <sheetName val="Y3 IrigTidRice_New_Dry"/>
      <sheetName val="Y4 IrigTidRice_New_Dry"/>
      <sheetName val="Y2 IrigTidRice_Rehab_Dry"/>
      <sheetName val="Y3 IrigTidRice_Rehab_Dry"/>
      <sheetName val="Y4 IrigTidRice_Rehab_Dry"/>
      <sheetName val="Y6 IrigTidRice_SRI_Wet"/>
      <sheetName val="Y6 IrigTidRice_SRI_Dry_New"/>
      <sheetName val="Y6 IrigTidRice_SRI_Dry_Reha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>
        <row r="12">
          <cell r="G12">
            <v>0.2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>
        <row r="39">
          <cell r="M39">
            <v>1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ariants - commentaire"/>
      <sheetName val="Plan général"/>
      <sheetName val="Budget Charges et produits"/>
      <sheetName val="1400 Mat. équip. production"/>
      <sheetName val="5000 Commercial. corner"/>
      <sheetName val="6000 exploitation vinaigrerie"/>
      <sheetName val="6300 autres vinaigres tropicaux"/>
      <sheetName val="6400 vinaigre pomme"/>
      <sheetName val="6500 vinaigre fraises"/>
      <sheetName val="6600 vinaigre vin"/>
      <sheetName val="6700 autre vin locaux"/>
      <sheetName val="Charges production vinaigre"/>
      <sheetName val="PR 6000 Vente de vinaigres"/>
    </sheetNames>
    <sheetDataSet>
      <sheetData sheetId="0" refreshError="1">
        <row r="54">
          <cell r="B54">
            <v>0.2</v>
          </cell>
        </row>
        <row r="81">
          <cell r="B81">
            <v>40</v>
          </cell>
        </row>
        <row r="82">
          <cell r="B82">
            <v>50</v>
          </cell>
        </row>
        <row r="88">
          <cell r="B88">
            <v>0.13</v>
          </cell>
        </row>
        <row r="89">
          <cell r="B89">
            <v>0.15</v>
          </cell>
        </row>
        <row r="90">
          <cell r="B90">
            <v>0.85</v>
          </cell>
        </row>
        <row r="91">
          <cell r="B91">
            <v>0.56999999999999995</v>
          </cell>
        </row>
        <row r="92">
          <cell r="B92">
            <v>0.9</v>
          </cell>
        </row>
        <row r="93">
          <cell r="B93">
            <v>0.19</v>
          </cell>
        </row>
        <row r="94">
          <cell r="B94">
            <v>0.2</v>
          </cell>
        </row>
        <row r="95">
          <cell r="B95">
            <v>0.8</v>
          </cell>
        </row>
        <row r="96">
          <cell r="B96">
            <v>0.67</v>
          </cell>
        </row>
        <row r="97">
          <cell r="B97">
            <v>0.6</v>
          </cell>
        </row>
        <row r="98">
          <cell r="B98">
            <v>0.3</v>
          </cell>
        </row>
        <row r="99">
          <cell r="B99">
            <v>0.05</v>
          </cell>
        </row>
        <row r="100">
          <cell r="B100">
            <v>0.18</v>
          </cell>
        </row>
        <row r="101">
          <cell r="B101">
            <v>0.7</v>
          </cell>
        </row>
        <row r="102">
          <cell r="B102">
            <v>0.1</v>
          </cell>
        </row>
        <row r="103">
          <cell r="B103">
            <v>0.1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 Pink Sheet nov 08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p"/>
      <sheetName val="peche"/>
      <sheetName val="Pistes"/>
      <sheetName val="Stockpdv"/>
      <sheetName val="MUV apr11"/>
      <sheetName val="Taxes CEAC"/>
      <sheetName val="parité urée"/>
      <sheetName val="parité riz HT"/>
      <sheetName val="parité riz TVA"/>
      <sheetName val="parité riz TVA &amp; DD"/>
      <sheetName val="parité oignon"/>
      <sheetName val="Bud cul Riz"/>
      <sheetName val="val moe"/>
      <sheetName val="Bud cult oig"/>
      <sheetName val="Phasage cult+super"/>
      <sheetName val="prod av-ss proj"/>
      <sheetName val="revenusprod"/>
      <sheetName val="Analyse eco"/>
      <sheetName val="Sensibilité"/>
      <sheetName val="ne plus imprimer la suite"/>
      <sheetName val="budget fin"/>
      <sheetName val="Prix"/>
      <sheetName val="Beneficiaires"/>
      <sheetName val="revpostprod"/>
      <sheetName val="décorticage"/>
      <sheetName val="3. conv prix fin en éco"/>
      <sheetName val="4. proj.prix real prices"/>
      <sheetName val="6. Pink Sheet nov 08"/>
      <sheetName val="nominal prices"/>
      <sheetName val="parité riz rés"/>
      <sheetName val="COMYRT (2)"/>
      <sheetName val="ET_1"/>
      <sheetName val="ET_2"/>
      <sheetName val="ET_4"/>
      <sheetName val="ET_3"/>
      <sheetName val="ET_5"/>
      <sheetName val="ET_6"/>
      <sheetName val="ET_7"/>
      <sheetName val="ET_8"/>
      <sheetName val="ET_9"/>
      <sheetName val="ET_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4">
          <cell r="K14">
            <v>0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 Pink Sheet nov 08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Start"/>
      <sheetName val="1.Description"/>
      <sheetName val="2.LUC"/>
      <sheetName val="A-R"/>
      <sheetName val="non Forest LUC"/>
      <sheetName val="Deforestation"/>
      <sheetName val="3.Cropland"/>
      <sheetName val="Annual"/>
      <sheetName val="Perennial"/>
      <sheetName val="Irrigated Rice"/>
      <sheetName val="Matrix"/>
      <sheetName val="Grass"/>
      <sheetName val="4.Grassland"/>
      <sheetName val="Forest Degradation"/>
      <sheetName val="Organic Soils"/>
      <sheetName val="Livestock"/>
      <sheetName val="5. Degradation"/>
      <sheetName val="Inputs"/>
      <sheetName val="Other investments"/>
      <sheetName val="6. Inputs"/>
      <sheetName val="7. Results"/>
      <sheetName val="Gross Results"/>
      <sheetName val="BALANCE"/>
      <sheetName val="Help"/>
      <sheetName val="Yield"/>
      <sheetName val="Stats_yield"/>
      <sheetName val="List_Yield"/>
      <sheetName val="List"/>
      <sheetName val=" IPCC"/>
      <sheetName val="Elec_EF"/>
      <sheetName val="translations"/>
      <sheetName val="Name translation"/>
      <sheetName val="Other Translations"/>
      <sheetName val="Other translations2"/>
    </sheetNames>
    <sheetDataSet>
      <sheetData sheetId="0" refreshError="1">
        <row r="14">
          <cell r="R14" t="str">
            <v>Français</v>
          </cell>
        </row>
      </sheetData>
      <sheetData sheetId="1" refreshError="1">
        <row r="7">
          <cell r="C7" t="str">
            <v>Programme d’Appui au Développement des Filières Agricoles (PADEF)</v>
          </cell>
        </row>
        <row r="9">
          <cell r="C9" t="str">
            <v>Africa</v>
          </cell>
        </row>
        <row r="11">
          <cell r="C11" t="str">
            <v>Tropical</v>
          </cell>
        </row>
        <row r="12">
          <cell r="C12" t="str">
            <v>Moist</v>
          </cell>
        </row>
        <row r="15">
          <cell r="C15" t="str">
            <v>LAC Soils</v>
          </cell>
        </row>
        <row r="20">
          <cell r="E20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3:AC75"/>
  <sheetViews>
    <sheetView tabSelected="1" topLeftCell="A28" zoomScale="70" zoomScaleNormal="70" workbookViewId="0">
      <selection activeCell="E51" sqref="E51"/>
    </sheetView>
  </sheetViews>
  <sheetFormatPr defaultColWidth="8.7109375" defaultRowHeight="15"/>
  <cols>
    <col min="1" max="1" width="19.42578125" customWidth="1"/>
    <col min="2" max="2" width="26.140625" customWidth="1"/>
    <col min="3" max="3" width="18.42578125" customWidth="1"/>
    <col min="4" max="4" width="18.140625" style="4" customWidth="1"/>
    <col min="5" max="5" width="10.42578125" customWidth="1"/>
  </cols>
  <sheetData>
    <row r="3" spans="1:29" ht="15.75" thickBot="1">
      <c r="E3" s="140" t="s">
        <v>70</v>
      </c>
      <c r="F3" s="140" t="s">
        <v>71</v>
      </c>
      <c r="G3" s="140" t="s">
        <v>72</v>
      </c>
      <c r="H3" s="140" t="s">
        <v>73</v>
      </c>
      <c r="I3" s="140" t="s">
        <v>74</v>
      </c>
      <c r="J3" s="140" t="s">
        <v>75</v>
      </c>
      <c r="K3" s="140" t="s">
        <v>76</v>
      </c>
      <c r="L3" s="140" t="s">
        <v>77</v>
      </c>
      <c r="M3" s="140" t="s">
        <v>78</v>
      </c>
      <c r="N3" s="140" t="s">
        <v>79</v>
      </c>
      <c r="O3" s="140" t="s">
        <v>80</v>
      </c>
      <c r="P3" s="140" t="s">
        <v>81</v>
      </c>
      <c r="Q3" s="140" t="s">
        <v>82</v>
      </c>
      <c r="R3" s="140" t="s">
        <v>83</v>
      </c>
      <c r="S3" s="140" t="s">
        <v>84</v>
      </c>
      <c r="T3" s="140" t="s">
        <v>481</v>
      </c>
      <c r="U3" s="140" t="s">
        <v>482</v>
      </c>
      <c r="V3" s="140" t="s">
        <v>483</v>
      </c>
      <c r="W3" s="140" t="s">
        <v>484</v>
      </c>
      <c r="X3" s="140" t="s">
        <v>485</v>
      </c>
    </row>
    <row r="4" spans="1:29">
      <c r="A4" s="401" t="s">
        <v>223</v>
      </c>
      <c r="B4" s="402"/>
      <c r="C4" s="141" t="s">
        <v>1</v>
      </c>
      <c r="D4" s="36" t="s">
        <v>212</v>
      </c>
      <c r="E4" s="72">
        <f>SUM('Eco Analysis Infrastructure'!O33:O38)</f>
        <v>0.14800000000000002</v>
      </c>
      <c r="F4" s="72">
        <f>SUM('Eco Analysis Infrastructure'!P33:P38)</f>
        <v>1.4060000000000001</v>
      </c>
      <c r="G4" s="72">
        <f>SUM('Eco Analysis Infrastructure'!Q33:Q38)</f>
        <v>5.18</v>
      </c>
      <c r="H4" s="72">
        <f>SUM('Eco Analysis Infrastructure'!R33:R38)</f>
        <v>0.66969999999999996</v>
      </c>
      <c r="I4" s="72">
        <f>SUM('Eco Analysis Infrastructure'!S33:S38)</f>
        <v>0.37000000000000011</v>
      </c>
      <c r="J4" s="72">
        <f>SUM('Eco Analysis Infrastructure'!T33:T38)</f>
        <v>0.37000000000000011</v>
      </c>
      <c r="K4" s="72">
        <f>SUM('Eco Analysis Infrastructure'!U33:U38)</f>
        <v>0.37000000000000011</v>
      </c>
      <c r="L4" s="72">
        <f>SUM('Eco Analysis Infrastructure'!V33:V38)</f>
        <v>0.37000000000000011</v>
      </c>
      <c r="M4" s="72">
        <f>SUM('Eco Analysis Infrastructure'!W33:W38)</f>
        <v>0.37000000000000011</v>
      </c>
      <c r="N4" s="72">
        <f>SUM('Eco Analysis Infrastructure'!X33:X38)</f>
        <v>0.37000000000000011</v>
      </c>
      <c r="O4" s="72">
        <f>SUM('Eco Analysis Infrastructure'!Y33:Y38)</f>
        <v>0.37000000000000011</v>
      </c>
      <c r="P4" s="72">
        <f>SUM('Eco Analysis Infrastructure'!Z33:Z38)</f>
        <v>0.37000000000000011</v>
      </c>
      <c r="Q4" s="72">
        <f>SUM('Eco Analysis Infrastructure'!AA33:AA38)</f>
        <v>0.37000000000000011</v>
      </c>
      <c r="R4" s="72">
        <f>SUM('Eco Analysis Infrastructure'!AB33:AB38)</f>
        <v>0.37000000000000011</v>
      </c>
      <c r="S4" s="72">
        <f>SUM('Eco Analysis Infrastructure'!AC33:AC38)</f>
        <v>0.37000000000000011</v>
      </c>
      <c r="T4" s="72">
        <f>SUM('Eco Analysis Infrastructure'!AD33:AD38)</f>
        <v>0.37000000000000011</v>
      </c>
      <c r="U4" s="72">
        <f>SUM('Eco Analysis Infrastructure'!AE33:AE38)</f>
        <v>0.37000000000000011</v>
      </c>
      <c r="V4" s="72">
        <f>SUM('Eco Analysis Infrastructure'!AF33:AF38)</f>
        <v>0.37000000000000011</v>
      </c>
      <c r="W4" s="72">
        <f>SUM('Eco Analysis Infrastructure'!AG33:AG38)</f>
        <v>0</v>
      </c>
      <c r="X4" s="72">
        <f>SUM('Eco Analysis Infrastructure'!AH33:AH38)</f>
        <v>0</v>
      </c>
      <c r="Y4" s="69"/>
    </row>
    <row r="5" spans="1:29">
      <c r="A5" s="403"/>
      <c r="B5" s="404"/>
      <c r="C5" s="141" t="s">
        <v>98</v>
      </c>
      <c r="D5" s="36" t="s">
        <v>212</v>
      </c>
      <c r="E5" s="72">
        <f>SUM('Eco Analysis Infrastructure'!O25:O30)*$AB$9</f>
        <v>0</v>
      </c>
      <c r="F5" s="72">
        <f>SUM('Eco Analysis Infrastructure'!P25:P30)*$AB$9</f>
        <v>0</v>
      </c>
      <c r="G5" s="72">
        <f>SUM('Eco Analysis Infrastructure'!Q25:Q30)*$AB$9</f>
        <v>0</v>
      </c>
      <c r="H5" s="72">
        <f>SUM('Eco Analysis Infrastructure'!R25:R30)*$AB$9</f>
        <v>1.6376847467776412</v>
      </c>
      <c r="I5" s="72">
        <f>SUM('Eco Analysis Infrastructure'!S25:S30)*$AB$9</f>
        <v>3.2753694935552824</v>
      </c>
      <c r="J5" s="72">
        <f>SUM('Eco Analysis Infrastructure'!T25:T30)*$AB$9</f>
        <v>4.913054240332924</v>
      </c>
      <c r="K5" s="72">
        <f>SUM('Eco Analysis Infrastructure'!U25:U30)*$AB$9</f>
        <v>4.913054240332924</v>
      </c>
      <c r="L5" s="72">
        <f>SUM('Eco Analysis Infrastructure'!V25:V30)*$AB$9</f>
        <v>4.913054240332924</v>
      </c>
      <c r="M5" s="72">
        <f>SUM('Eco Analysis Infrastructure'!W25:W30)*$AB$9</f>
        <v>4.913054240332924</v>
      </c>
      <c r="N5" s="72">
        <f>SUM('Eco Analysis Infrastructure'!X25:X30)*$AB$9</f>
        <v>4.913054240332924</v>
      </c>
      <c r="O5" s="72">
        <f>SUM('Eco Analysis Infrastructure'!Y25:Y30)*$AB$9</f>
        <v>4.913054240332924</v>
      </c>
      <c r="P5" s="72">
        <f>SUM('Eco Analysis Infrastructure'!Z25:Z30)*$AB$9</f>
        <v>4.913054240332924</v>
      </c>
      <c r="Q5" s="72">
        <f>SUM('Eco Analysis Infrastructure'!AA25:AA30)*$AB$9</f>
        <v>4.913054240332924</v>
      </c>
      <c r="R5" s="72">
        <f>SUM('Eco Analysis Infrastructure'!AB25:AB30)*$AB$9</f>
        <v>4.913054240332924</v>
      </c>
      <c r="S5" s="72">
        <f>SUM('Eco Analysis Infrastructure'!AC25:AC30)*$AB$9</f>
        <v>4.913054240332924</v>
      </c>
      <c r="T5" s="72">
        <f>SUM('Eco Analysis Infrastructure'!AD25:AD30)*$AB$9</f>
        <v>4.913054240332924</v>
      </c>
      <c r="U5" s="72">
        <f>SUM('Eco Analysis Infrastructure'!AE25:AE30)*$AB$9</f>
        <v>4.913054240332924</v>
      </c>
      <c r="V5" s="72">
        <f>SUM('Eco Analysis Infrastructure'!AF25:AF30)*$AB$9</f>
        <v>4.913054240332924</v>
      </c>
      <c r="W5" s="72">
        <f>SUM('Eco Analysis Infrastructure'!AG25:AG30)*$AB$9</f>
        <v>0</v>
      </c>
      <c r="X5" s="72">
        <f>SUM('Eco Analysis Infrastructure'!AH25:AH30)*$AB$9</f>
        <v>0</v>
      </c>
    </row>
    <row r="6" spans="1:29" ht="15.75" thickBot="1">
      <c r="A6" s="405"/>
      <c r="B6" s="406"/>
      <c r="C6" s="141" t="s">
        <v>213</v>
      </c>
      <c r="D6" s="36" t="s">
        <v>212</v>
      </c>
      <c r="E6" s="72">
        <f>E5-E4</f>
        <v>-0.14800000000000002</v>
      </c>
      <c r="F6" s="72">
        <f t="shared" ref="F6:S6" si="0">F5-F4</f>
        <v>-1.4060000000000001</v>
      </c>
      <c r="G6" s="72">
        <f t="shared" si="0"/>
        <v>-5.18</v>
      </c>
      <c r="H6" s="72">
        <f t="shared" si="0"/>
        <v>0.96798474677764124</v>
      </c>
      <c r="I6" s="72">
        <f t="shared" si="0"/>
        <v>2.9053694935552823</v>
      </c>
      <c r="J6" s="72">
        <f t="shared" si="0"/>
        <v>4.5430542403329239</v>
      </c>
      <c r="K6" s="72">
        <f t="shared" si="0"/>
        <v>4.5430542403329239</v>
      </c>
      <c r="L6" s="72">
        <f t="shared" si="0"/>
        <v>4.5430542403329239</v>
      </c>
      <c r="M6" s="72">
        <f t="shared" si="0"/>
        <v>4.5430542403329239</v>
      </c>
      <c r="N6" s="72">
        <f t="shared" si="0"/>
        <v>4.5430542403329239</v>
      </c>
      <c r="O6" s="72">
        <f t="shared" si="0"/>
        <v>4.5430542403329239</v>
      </c>
      <c r="P6" s="72">
        <f t="shared" si="0"/>
        <v>4.5430542403329239</v>
      </c>
      <c r="Q6" s="72">
        <f t="shared" si="0"/>
        <v>4.5430542403329239</v>
      </c>
      <c r="R6" s="72">
        <f t="shared" si="0"/>
        <v>4.5430542403329239</v>
      </c>
      <c r="S6" s="72">
        <f t="shared" si="0"/>
        <v>4.5430542403329239</v>
      </c>
      <c r="T6" s="72">
        <f t="shared" ref="T6:X6" si="1">T5-T4</f>
        <v>4.5430542403329239</v>
      </c>
      <c r="U6" s="72">
        <f t="shared" si="1"/>
        <v>4.5430542403329239</v>
      </c>
      <c r="V6" s="72">
        <f t="shared" si="1"/>
        <v>4.5430542403329239</v>
      </c>
      <c r="W6" s="72">
        <f t="shared" si="1"/>
        <v>0</v>
      </c>
      <c r="X6" s="72">
        <f t="shared" si="1"/>
        <v>0</v>
      </c>
    </row>
    <row r="7" spans="1:29" ht="15.75" thickBot="1"/>
    <row r="8" spans="1:29" ht="15" customHeight="1">
      <c r="A8" s="407" t="s">
        <v>222</v>
      </c>
      <c r="B8" s="1" t="s">
        <v>214</v>
      </c>
      <c r="D8" s="4" t="s">
        <v>215</v>
      </c>
      <c r="E8" s="226">
        <f>(SUM('Output2.2 Costs'!E4,'Output2.2 Costs'!E18))*($AC$9)</f>
        <v>0</v>
      </c>
      <c r="F8" s="226">
        <f>(SUM('Output2.2 Costs'!F4,'Output2.2 Costs'!F18))*($AC$9)</f>
        <v>5</v>
      </c>
      <c r="G8" s="226">
        <f>(SUM('Output2.2 Costs'!G4,'Output2.2 Costs'!G18))*($AC$9)</f>
        <v>10</v>
      </c>
      <c r="H8" s="226">
        <f>(SUM('Output2.2 Costs'!H4,'Output2.2 Costs'!H18))*($AC$9)</f>
        <v>10</v>
      </c>
      <c r="I8" s="226">
        <f>(SUM('Output2.2 Costs'!I4,'Output2.2 Costs'!I18))*($AC$9)</f>
        <v>5</v>
      </c>
      <c r="J8" s="226">
        <f>(SUM('Output2.2 Costs'!J4,'Output2.2 Costs'!J18))*($AC$9)</f>
        <v>0</v>
      </c>
    </row>
    <row r="9" spans="1:29">
      <c r="A9" s="408"/>
      <c r="D9" s="33">
        <f>$F$8</f>
        <v>5</v>
      </c>
      <c r="E9" s="69">
        <f>('Aquaculture Package 1'!E44)*($F$8)</f>
        <v>-4.3662500000000007E-2</v>
      </c>
      <c r="F9" s="69">
        <f>('Aquaculture Package 1'!F44)*($F$8)</f>
        <v>9.7750000000000007E-3</v>
      </c>
      <c r="G9" s="69">
        <f>('Aquaculture Package 1'!G44)*($F$8)</f>
        <v>8.5249999999999996E-3</v>
      </c>
      <c r="H9" s="69">
        <f>('Aquaculture Package 1'!H44)*($F$8)</f>
        <v>1.4062499999999999E-2</v>
      </c>
      <c r="I9" s="69">
        <f>('Aquaculture Package 1'!I44)*($F$8)</f>
        <v>1.2812500000000001E-2</v>
      </c>
      <c r="J9" s="69">
        <f>('Aquaculture Package 1'!J44)*($F$8)</f>
        <v>1.4062499999999999E-2</v>
      </c>
      <c r="K9" s="69">
        <f>('Aquaculture Package 1'!K44)*($F$8)</f>
        <v>1.2812500000000001E-2</v>
      </c>
      <c r="L9" s="69">
        <f>('Aquaculture Package 1'!L44)*($F$8)</f>
        <v>1.4062499999999999E-2</v>
      </c>
      <c r="M9" s="69">
        <f>('Aquaculture Package 1'!M44)*($F$8)</f>
        <v>1.2812500000000001E-2</v>
      </c>
      <c r="N9" s="69">
        <f>('Aquaculture Package 1'!N44)*($F$8)</f>
        <v>1.4062499999999999E-2</v>
      </c>
      <c r="O9" s="69">
        <f>0*($F$8)</f>
        <v>0</v>
      </c>
      <c r="P9" s="69">
        <f>0*($F$8)</f>
        <v>0</v>
      </c>
      <c r="Q9" s="69">
        <f>0*($F$8)</f>
        <v>0</v>
      </c>
      <c r="R9" s="69">
        <f>0*($F$8)</f>
        <v>0</v>
      </c>
      <c r="S9" s="69">
        <f>0*($F$8)</f>
        <v>0</v>
      </c>
      <c r="T9" s="69">
        <f t="shared" ref="T9:X9" si="2">0*($F$8)</f>
        <v>0</v>
      </c>
      <c r="U9" s="69">
        <f t="shared" si="2"/>
        <v>0</v>
      </c>
      <c r="V9" s="69">
        <f t="shared" si="2"/>
        <v>0</v>
      </c>
      <c r="W9" s="69">
        <f t="shared" si="2"/>
        <v>0</v>
      </c>
      <c r="X9" s="69">
        <f t="shared" si="2"/>
        <v>0</v>
      </c>
      <c r="AA9" t="s">
        <v>277</v>
      </c>
      <c r="AB9" s="225">
        <f>$AC$9</f>
        <v>1</v>
      </c>
      <c r="AC9" s="224">
        <v>1</v>
      </c>
    </row>
    <row r="10" spans="1:29">
      <c r="A10" s="408"/>
      <c r="D10" s="33">
        <f>$G$8</f>
        <v>10</v>
      </c>
      <c r="E10" s="69">
        <f>0*($G$8)</f>
        <v>0</v>
      </c>
      <c r="F10" s="69">
        <f>('Aquaculture Package 1'!E44)*($G$8)</f>
        <v>-8.7325000000000014E-2</v>
      </c>
      <c r="G10" s="69">
        <f>('Aquaculture Package 1'!F44)*($G$8)</f>
        <v>1.9550000000000001E-2</v>
      </c>
      <c r="H10" s="69">
        <f>('Aquaculture Package 1'!G44)*($G$8)</f>
        <v>1.7049999999999999E-2</v>
      </c>
      <c r="I10" s="69">
        <f>('Aquaculture Package 1'!H44)*($G$8)</f>
        <v>2.8124999999999997E-2</v>
      </c>
      <c r="J10" s="69">
        <f>('Aquaculture Package 1'!I44)*($G$8)</f>
        <v>2.5625000000000002E-2</v>
      </c>
      <c r="K10" s="69">
        <f>('Aquaculture Package 1'!J44)*($G$8)</f>
        <v>2.8124999999999997E-2</v>
      </c>
      <c r="L10" s="69">
        <f>('Aquaculture Package 1'!K44)*($G$8)</f>
        <v>2.5625000000000002E-2</v>
      </c>
      <c r="M10" s="69">
        <f>('Aquaculture Package 1'!L44)*($G$8)</f>
        <v>2.8124999999999997E-2</v>
      </c>
      <c r="N10" s="69">
        <f>('Aquaculture Package 1'!M44)*($G$8)</f>
        <v>2.5625000000000002E-2</v>
      </c>
      <c r="O10" s="69">
        <f>('Aquaculture Package 1'!N44)*($G$8)</f>
        <v>2.8124999999999997E-2</v>
      </c>
      <c r="P10" s="69">
        <f>0*($G$8)</f>
        <v>0</v>
      </c>
      <c r="Q10" s="69">
        <f>0*($G$8)</f>
        <v>0</v>
      </c>
      <c r="R10" s="69">
        <f>0*($G$8)</f>
        <v>0</v>
      </c>
      <c r="S10" s="69">
        <f>0*($G$8)</f>
        <v>0</v>
      </c>
      <c r="T10" s="69">
        <f t="shared" ref="T10:X10" si="3">0*($G$8)</f>
        <v>0</v>
      </c>
      <c r="U10" s="69">
        <f t="shared" si="3"/>
        <v>0</v>
      </c>
      <c r="V10" s="69">
        <f t="shared" si="3"/>
        <v>0</v>
      </c>
      <c r="W10" s="69">
        <f t="shared" si="3"/>
        <v>0</v>
      </c>
      <c r="X10" s="69">
        <f t="shared" si="3"/>
        <v>0</v>
      </c>
      <c r="AA10" t="s">
        <v>279</v>
      </c>
      <c r="AB10" s="225">
        <f>$AC$10</f>
        <v>1</v>
      </c>
      <c r="AC10" s="224">
        <v>1</v>
      </c>
    </row>
    <row r="11" spans="1:29">
      <c r="A11" s="408"/>
      <c r="D11" s="33">
        <f>$H$8</f>
        <v>10</v>
      </c>
      <c r="E11" s="69">
        <f>0*($H$8)</f>
        <v>0</v>
      </c>
      <c r="F11" s="69">
        <f>0*($H$8)</f>
        <v>0</v>
      </c>
      <c r="G11" s="69">
        <f>('Aquaculture Package 1'!E44)*($H$8)</f>
        <v>-8.7325000000000014E-2</v>
      </c>
      <c r="H11" s="69">
        <f>('Aquaculture Package 1'!F44)*($H$8)</f>
        <v>1.9550000000000001E-2</v>
      </c>
      <c r="I11" s="69">
        <f>('Aquaculture Package 1'!G44)*($H$8)</f>
        <v>1.7049999999999999E-2</v>
      </c>
      <c r="J11" s="69">
        <f>('Aquaculture Package 1'!H44)*($H$8)</f>
        <v>2.8124999999999997E-2</v>
      </c>
      <c r="K11" s="69">
        <f>('Aquaculture Package 1'!I44)*($H$8)</f>
        <v>2.5625000000000002E-2</v>
      </c>
      <c r="L11" s="69">
        <f>('Aquaculture Package 1'!J44)*($H$8)</f>
        <v>2.8124999999999997E-2</v>
      </c>
      <c r="M11" s="69">
        <f>('Aquaculture Package 1'!K44)*($H$8)</f>
        <v>2.5625000000000002E-2</v>
      </c>
      <c r="N11" s="69">
        <f>('Aquaculture Package 1'!L44)*($H$8)</f>
        <v>2.8124999999999997E-2</v>
      </c>
      <c r="O11" s="69">
        <f>('Aquaculture Package 1'!M44)*($H$8)</f>
        <v>2.5625000000000002E-2</v>
      </c>
      <c r="P11" s="69">
        <f>('Aquaculture Package 1'!N44)*($H$8)</f>
        <v>2.8124999999999997E-2</v>
      </c>
      <c r="Q11" s="69">
        <f>0*($H$8)</f>
        <v>0</v>
      </c>
      <c r="R11" s="69">
        <f>0*($H$8)</f>
        <v>0</v>
      </c>
      <c r="S11" s="69">
        <f>0*($H$8)</f>
        <v>0</v>
      </c>
      <c r="T11" s="69">
        <f t="shared" ref="T11:X11" si="4">0*($H$8)</f>
        <v>0</v>
      </c>
      <c r="U11" s="69">
        <f t="shared" si="4"/>
        <v>0</v>
      </c>
      <c r="V11" s="69">
        <f t="shared" si="4"/>
        <v>0</v>
      </c>
      <c r="W11" s="69">
        <f t="shared" si="4"/>
        <v>0</v>
      </c>
      <c r="X11" s="69">
        <f t="shared" si="4"/>
        <v>0</v>
      </c>
    </row>
    <row r="12" spans="1:29">
      <c r="A12" s="408"/>
      <c r="D12" s="33">
        <f>$I$8</f>
        <v>5</v>
      </c>
      <c r="E12" s="69">
        <f>0*($I$8)</f>
        <v>0</v>
      </c>
      <c r="F12" s="69">
        <f>0*($I$8)</f>
        <v>0</v>
      </c>
      <c r="G12" s="69">
        <f>0*($I$8)</f>
        <v>0</v>
      </c>
      <c r="H12" s="69">
        <f>('Aquaculture Package 1'!E44)*($I$8)</f>
        <v>-4.3662500000000007E-2</v>
      </c>
      <c r="I12" s="69">
        <f>('Aquaculture Package 1'!F44)*($I$8)</f>
        <v>9.7750000000000007E-3</v>
      </c>
      <c r="J12" s="69">
        <f>('Aquaculture Package 1'!G44)*($I$8)</f>
        <v>8.5249999999999996E-3</v>
      </c>
      <c r="K12" s="69">
        <f>('Aquaculture Package 1'!H44)*($I$8)</f>
        <v>1.4062499999999999E-2</v>
      </c>
      <c r="L12" s="69">
        <f>('Aquaculture Package 1'!I44)*($I$8)</f>
        <v>1.2812500000000001E-2</v>
      </c>
      <c r="M12" s="69">
        <f>('Aquaculture Package 1'!J44)*($I$8)</f>
        <v>1.4062499999999999E-2</v>
      </c>
      <c r="N12" s="69">
        <f>('Aquaculture Package 1'!K44)*($I$8)</f>
        <v>1.2812500000000001E-2</v>
      </c>
      <c r="O12" s="69">
        <f>('Aquaculture Package 1'!L44)*($I$8)</f>
        <v>1.4062499999999999E-2</v>
      </c>
      <c r="P12" s="69">
        <f>('Aquaculture Package 1'!M44)*($I$8)</f>
        <v>1.2812500000000001E-2</v>
      </c>
      <c r="Q12" s="69">
        <f>('Aquaculture Package 1'!N44)*($I$8)</f>
        <v>1.4062499999999999E-2</v>
      </c>
      <c r="R12" s="69">
        <f>0*($I$8)</f>
        <v>0</v>
      </c>
      <c r="S12" s="69">
        <f>0*($I$8)</f>
        <v>0</v>
      </c>
      <c r="T12" s="69">
        <f t="shared" ref="T12:X12" si="5">0*($I$8)</f>
        <v>0</v>
      </c>
      <c r="U12" s="69">
        <f t="shared" si="5"/>
        <v>0</v>
      </c>
      <c r="V12" s="69">
        <f t="shared" si="5"/>
        <v>0</v>
      </c>
      <c r="W12" s="69">
        <f t="shared" si="5"/>
        <v>0</v>
      </c>
      <c r="X12" s="69">
        <f t="shared" si="5"/>
        <v>0</v>
      </c>
    </row>
    <row r="13" spans="1:29">
      <c r="A13" s="408"/>
      <c r="C13" s="4" t="s">
        <v>49</v>
      </c>
      <c r="D13" s="36" t="s">
        <v>212</v>
      </c>
      <c r="E13" s="69">
        <f>SUM(E9:E12)</f>
        <v>-4.3662500000000007E-2</v>
      </c>
      <c r="F13" s="69">
        <f t="shared" ref="F13:S13" si="6">SUM(F9:F12)</f>
        <v>-7.7550000000000008E-2</v>
      </c>
      <c r="G13" s="69">
        <f t="shared" si="6"/>
        <v>-5.9250000000000011E-2</v>
      </c>
      <c r="H13" s="69">
        <f t="shared" si="6"/>
        <v>6.9999999999999923E-3</v>
      </c>
      <c r="I13" s="69">
        <f t="shared" si="6"/>
        <v>6.7762500000000003E-2</v>
      </c>
      <c r="J13" s="69">
        <f t="shared" si="6"/>
        <v>7.6337500000000003E-2</v>
      </c>
      <c r="K13" s="69">
        <f t="shared" si="6"/>
        <v>8.0625000000000002E-2</v>
      </c>
      <c r="L13" s="69">
        <f t="shared" si="6"/>
        <v>8.0625000000000002E-2</v>
      </c>
      <c r="M13" s="69">
        <f t="shared" si="6"/>
        <v>8.0625000000000002E-2</v>
      </c>
      <c r="N13" s="69">
        <f t="shared" si="6"/>
        <v>8.0625000000000002E-2</v>
      </c>
      <c r="O13" s="69">
        <f t="shared" si="6"/>
        <v>6.7812499999999998E-2</v>
      </c>
      <c r="P13" s="69">
        <f t="shared" si="6"/>
        <v>4.0937500000000002E-2</v>
      </c>
      <c r="Q13" s="69">
        <f t="shared" si="6"/>
        <v>1.4062499999999999E-2</v>
      </c>
      <c r="R13" s="69">
        <f t="shared" si="6"/>
        <v>0</v>
      </c>
      <c r="S13" s="69">
        <f t="shared" si="6"/>
        <v>0</v>
      </c>
      <c r="T13" s="69">
        <f t="shared" ref="T13:X13" si="7">SUM(T9:T12)</f>
        <v>0</v>
      </c>
      <c r="U13" s="69">
        <f t="shared" si="7"/>
        <v>0</v>
      </c>
      <c r="V13" s="69">
        <f t="shared" si="7"/>
        <v>0</v>
      </c>
      <c r="W13" s="69">
        <f t="shared" si="7"/>
        <v>0</v>
      </c>
      <c r="X13" s="69">
        <f t="shared" si="7"/>
        <v>0</v>
      </c>
    </row>
    <row r="14" spans="1:29">
      <c r="A14" s="408"/>
    </row>
    <row r="15" spans="1:29">
      <c r="A15" s="408"/>
      <c r="B15" s="1" t="s">
        <v>216</v>
      </c>
      <c r="D15" s="4" t="s">
        <v>130</v>
      </c>
      <c r="E15" s="226">
        <f>(SUM('Output2.2 Costs'!E33))*($AC$9)</f>
        <v>50</v>
      </c>
      <c r="F15" s="226">
        <f>(SUM('Output2.2 Costs'!F33))*($AC$9)</f>
        <v>150</v>
      </c>
      <c r="G15" s="226">
        <f>(SUM('Output2.2 Costs'!G33))*($AC$9)</f>
        <v>100</v>
      </c>
      <c r="H15" s="226">
        <f>(SUM('Output2.2 Costs'!H33))*($AC$9)</f>
        <v>0</v>
      </c>
      <c r="I15" s="226">
        <f>(SUM('Output2.2 Costs'!I33))*($AC$9)</f>
        <v>0</v>
      </c>
    </row>
    <row r="16" spans="1:29">
      <c r="A16" s="408"/>
      <c r="D16" s="4">
        <f>$E$15</f>
        <v>50</v>
      </c>
      <c r="E16" s="69">
        <f>('Aquaculture Package 2'!E38)*($E$15)</f>
        <v>-4.3219999999999995E-2</v>
      </c>
      <c r="F16" s="69">
        <f>('Aquaculture Package 2'!F38)*($E$15)</f>
        <v>4.5000000000000005E-3</v>
      </c>
      <c r="G16" s="69">
        <f>('Aquaculture Package 2'!G38)*($E$15)</f>
        <v>1.7590000000000008E-2</v>
      </c>
      <c r="H16" s="69">
        <f>('Aquaculture Package 2'!H38)*($E$15)</f>
        <v>1.884000000000001E-2</v>
      </c>
      <c r="I16" s="69">
        <f>('Aquaculture Package 2'!I38)*($E$15)</f>
        <v>1.7590000000000008E-2</v>
      </c>
      <c r="J16" s="69">
        <f>('Aquaculture Package 2'!J38)*($E$15)</f>
        <v>1.884000000000001E-2</v>
      </c>
      <c r="K16" s="69">
        <f>('Aquaculture Package 2'!K38)*($E$15)</f>
        <v>1.7590000000000008E-2</v>
      </c>
      <c r="L16" s="69">
        <f>('Aquaculture Package 2'!L38)*($E$15)</f>
        <v>1.884000000000001E-2</v>
      </c>
      <c r="M16" s="69">
        <f>('Aquaculture Package 2'!M38)*($E$15)</f>
        <v>1.7590000000000008E-2</v>
      </c>
      <c r="N16" s="69">
        <f>('Aquaculture Package 2'!N38)*($E$15)</f>
        <v>1.884000000000001E-2</v>
      </c>
      <c r="O16" s="69">
        <f>0*($E$15)</f>
        <v>0</v>
      </c>
      <c r="P16" s="69">
        <f>0*($E$15)</f>
        <v>0</v>
      </c>
      <c r="Q16" s="69">
        <f t="shared" ref="Q16:S16" si="8">0*($E$15)</f>
        <v>0</v>
      </c>
      <c r="R16" s="69">
        <f t="shared" si="8"/>
        <v>0</v>
      </c>
      <c r="S16" s="69">
        <f t="shared" si="8"/>
        <v>0</v>
      </c>
      <c r="T16" s="69">
        <f t="shared" ref="T16:X16" si="9">0*($F$8)</f>
        <v>0</v>
      </c>
      <c r="U16" s="69">
        <f t="shared" si="9"/>
        <v>0</v>
      </c>
      <c r="V16" s="69">
        <f t="shared" si="9"/>
        <v>0</v>
      </c>
      <c r="W16" s="69">
        <f t="shared" si="9"/>
        <v>0</v>
      </c>
      <c r="X16" s="69">
        <f t="shared" si="9"/>
        <v>0</v>
      </c>
    </row>
    <row r="17" spans="1:24">
      <c r="A17" s="408"/>
      <c r="D17" s="4">
        <f>$F$15</f>
        <v>150</v>
      </c>
      <c r="E17" s="69">
        <f>0*($F$15)</f>
        <v>0</v>
      </c>
      <c r="F17" s="69">
        <f>('Aquaculture Package 2'!E38)*($F$15)</f>
        <v>-0.12965999999999997</v>
      </c>
      <c r="G17" s="69">
        <f>('Aquaculture Package 2'!F38)*($F$15)</f>
        <v>1.3500000000000002E-2</v>
      </c>
      <c r="H17" s="69">
        <f>('Aquaculture Package 2'!G38)*($F$15)</f>
        <v>5.2770000000000032E-2</v>
      </c>
      <c r="I17" s="69">
        <f>('Aquaculture Package 2'!H38)*($F$15)</f>
        <v>5.6520000000000022E-2</v>
      </c>
      <c r="J17" s="69">
        <f>('Aquaculture Package 2'!I38)*($F$15)</f>
        <v>5.2770000000000032E-2</v>
      </c>
      <c r="K17" s="69">
        <f>('Aquaculture Package 2'!J38)*($F$15)</f>
        <v>5.6520000000000022E-2</v>
      </c>
      <c r="L17" s="69">
        <f>('Aquaculture Package 2'!K38)*($F$15)</f>
        <v>5.2770000000000032E-2</v>
      </c>
      <c r="M17" s="69">
        <f>('Aquaculture Package 2'!L38)*($F$15)</f>
        <v>5.6520000000000022E-2</v>
      </c>
      <c r="N17" s="69">
        <f>('Aquaculture Package 2'!M38)*($F$15)</f>
        <v>5.2770000000000032E-2</v>
      </c>
      <c r="O17" s="69">
        <f>('Aquaculture Package 2'!N38)*($F$15)</f>
        <v>5.6520000000000022E-2</v>
      </c>
      <c r="P17" s="69">
        <f>0*($F$15)</f>
        <v>0</v>
      </c>
      <c r="Q17" s="69">
        <f t="shared" ref="Q17:S17" si="10">0*($F$15)</f>
        <v>0</v>
      </c>
      <c r="R17" s="69">
        <f t="shared" si="10"/>
        <v>0</v>
      </c>
      <c r="S17" s="69">
        <f t="shared" si="10"/>
        <v>0</v>
      </c>
      <c r="T17" s="69">
        <f t="shared" ref="T17:X17" si="11">0*($G$8)</f>
        <v>0</v>
      </c>
      <c r="U17" s="69">
        <f t="shared" si="11"/>
        <v>0</v>
      </c>
      <c r="V17" s="69">
        <f t="shared" si="11"/>
        <v>0</v>
      </c>
      <c r="W17" s="69">
        <f t="shared" si="11"/>
        <v>0</v>
      </c>
      <c r="X17" s="69">
        <f t="shared" si="11"/>
        <v>0</v>
      </c>
    </row>
    <row r="18" spans="1:24">
      <c r="A18" s="408"/>
      <c r="D18" s="4">
        <f>$G$15</f>
        <v>100</v>
      </c>
      <c r="E18" s="69">
        <f>0*($G$15)</f>
        <v>0</v>
      </c>
      <c r="F18" s="69">
        <f>0*($G$15)</f>
        <v>0</v>
      </c>
      <c r="G18" s="69">
        <f>('Aquaculture Package 2'!E38)*($G$15)</f>
        <v>-8.6439999999999989E-2</v>
      </c>
      <c r="H18" s="69">
        <f>('Aquaculture Package 2'!F38)*($G$15)</f>
        <v>9.0000000000000011E-3</v>
      </c>
      <c r="I18" s="69">
        <f>('Aquaculture Package 2'!G38)*($G$15)</f>
        <v>3.5180000000000017E-2</v>
      </c>
      <c r="J18" s="69">
        <f>('Aquaculture Package 2'!H38)*($G$15)</f>
        <v>3.7680000000000019E-2</v>
      </c>
      <c r="K18" s="69">
        <f>('Aquaculture Package 2'!I38)*($G$15)</f>
        <v>3.5180000000000017E-2</v>
      </c>
      <c r="L18" s="69">
        <f>('Aquaculture Package 2'!J38)*($G$15)</f>
        <v>3.7680000000000019E-2</v>
      </c>
      <c r="M18" s="69">
        <f>('Aquaculture Package 2'!K38)*($G$15)</f>
        <v>3.5180000000000017E-2</v>
      </c>
      <c r="N18" s="69">
        <f>('Aquaculture Package 2'!L38)*($G$15)</f>
        <v>3.7680000000000019E-2</v>
      </c>
      <c r="O18" s="69">
        <f>('Aquaculture Package 2'!M38)*($G$15)</f>
        <v>3.5180000000000017E-2</v>
      </c>
      <c r="P18" s="69">
        <f>('Aquaculture Package 2'!N38)*($G$15)</f>
        <v>3.7680000000000019E-2</v>
      </c>
      <c r="Q18" s="69">
        <v>0</v>
      </c>
      <c r="R18" s="69">
        <v>0</v>
      </c>
      <c r="S18" s="69">
        <v>0</v>
      </c>
      <c r="T18" s="69">
        <f t="shared" ref="T18:X18" si="12">0*($H$8)</f>
        <v>0</v>
      </c>
      <c r="U18" s="69">
        <f t="shared" si="12"/>
        <v>0</v>
      </c>
      <c r="V18" s="69">
        <f t="shared" si="12"/>
        <v>0</v>
      </c>
      <c r="W18" s="69">
        <f t="shared" si="12"/>
        <v>0</v>
      </c>
      <c r="X18" s="69">
        <f t="shared" si="12"/>
        <v>0</v>
      </c>
    </row>
    <row r="19" spans="1:24">
      <c r="A19" s="408"/>
      <c r="C19" s="4" t="s">
        <v>49</v>
      </c>
      <c r="D19" s="36" t="s">
        <v>212</v>
      </c>
      <c r="E19" s="69">
        <f>SUM(E16:E18)</f>
        <v>-4.3219999999999995E-2</v>
      </c>
      <c r="F19" s="69">
        <f t="shared" ref="F19:S19" si="13">SUM(F16:F18)</f>
        <v>-0.12515999999999997</v>
      </c>
      <c r="G19" s="69">
        <f t="shared" si="13"/>
        <v>-5.5349999999999983E-2</v>
      </c>
      <c r="H19" s="69">
        <f t="shared" si="13"/>
        <v>8.0610000000000043E-2</v>
      </c>
      <c r="I19" s="69">
        <f t="shared" si="13"/>
        <v>0.10929000000000005</v>
      </c>
      <c r="J19" s="69">
        <f t="shared" si="13"/>
        <v>0.10929000000000005</v>
      </c>
      <c r="K19" s="69">
        <f t="shared" si="13"/>
        <v>0.10929000000000005</v>
      </c>
      <c r="L19" s="69">
        <f t="shared" si="13"/>
        <v>0.10929000000000005</v>
      </c>
      <c r="M19" s="69">
        <f t="shared" si="13"/>
        <v>0.10929000000000005</v>
      </c>
      <c r="N19" s="69">
        <f t="shared" si="13"/>
        <v>0.10929000000000005</v>
      </c>
      <c r="O19" s="69">
        <f t="shared" si="13"/>
        <v>9.1700000000000031E-2</v>
      </c>
      <c r="P19" s="69">
        <f t="shared" si="13"/>
        <v>3.7680000000000019E-2</v>
      </c>
      <c r="Q19" s="69">
        <f t="shared" si="13"/>
        <v>0</v>
      </c>
      <c r="R19" s="69">
        <f t="shared" si="13"/>
        <v>0</v>
      </c>
      <c r="S19" s="69">
        <f t="shared" si="13"/>
        <v>0</v>
      </c>
      <c r="T19" s="69">
        <f t="shared" ref="T19:X19" si="14">0*($I$8)</f>
        <v>0</v>
      </c>
      <c r="U19" s="69">
        <f t="shared" si="14"/>
        <v>0</v>
      </c>
      <c r="V19" s="69">
        <f t="shared" si="14"/>
        <v>0</v>
      </c>
      <c r="W19" s="69">
        <f t="shared" si="14"/>
        <v>0</v>
      </c>
      <c r="X19" s="69">
        <f t="shared" si="14"/>
        <v>0</v>
      </c>
    </row>
    <row r="20" spans="1:24">
      <c r="A20" s="408"/>
      <c r="T20" s="69">
        <f t="shared" ref="T20:X20" si="15">SUM(T16:T19)</f>
        <v>0</v>
      </c>
      <c r="U20" s="69">
        <f t="shared" si="15"/>
        <v>0</v>
      </c>
      <c r="V20" s="69">
        <f t="shared" si="15"/>
        <v>0</v>
      </c>
      <c r="W20" s="69">
        <f t="shared" si="15"/>
        <v>0</v>
      </c>
      <c r="X20" s="69">
        <f t="shared" si="15"/>
        <v>0</v>
      </c>
    </row>
    <row r="21" spans="1:24">
      <c r="A21" s="408"/>
      <c r="B21" s="1" t="s">
        <v>217</v>
      </c>
      <c r="D21" s="4" t="s">
        <v>215</v>
      </c>
      <c r="E21" s="226">
        <f>(SUM('Output2.2 Costs'!E44))*($AC$9)</f>
        <v>0</v>
      </c>
      <c r="F21" s="226">
        <f>(SUM('Output2.2 Costs'!F44))*($AC$9)</f>
        <v>2</v>
      </c>
      <c r="G21" s="226">
        <f>(SUM('Output2.2 Costs'!G44)+1)*($AC$9)</f>
        <v>4</v>
      </c>
      <c r="H21" s="226">
        <f>(SUM('Output2.2 Costs'!H44)+1)*($AC$9)</f>
        <v>4</v>
      </c>
      <c r="I21" s="226">
        <f>(SUM('Output2.2 Costs'!I44))*($AC$9)</f>
        <v>2</v>
      </c>
      <c r="J21" s="226">
        <f>(SUM('Output2.2 Costs'!J44))*($AC$9)</f>
        <v>0</v>
      </c>
    </row>
    <row r="22" spans="1:24">
      <c r="A22" s="408"/>
      <c r="D22" s="33">
        <f>$F$21</f>
        <v>2</v>
      </c>
      <c r="E22" s="69">
        <f>('Aquaculture Package 3'!E49)*($F$21)</f>
        <v>-5.6063000000000002E-2</v>
      </c>
      <c r="F22" s="69">
        <f>('Aquaculture Package 3'!F49)*($F$21)</f>
        <v>1.0337000000000001E-2</v>
      </c>
      <c r="G22" s="69">
        <f>('Aquaculture Package 3'!G49)*($F$21)</f>
        <v>9.8370000000000003E-3</v>
      </c>
      <c r="H22" s="69">
        <f>('Aquaculture Package 3'!H49)*($F$21)</f>
        <v>1.3037E-2</v>
      </c>
      <c r="I22" s="69">
        <f>('Aquaculture Package 3'!I49)*($F$21)</f>
        <v>1.2537E-2</v>
      </c>
      <c r="J22" s="69">
        <f>('Aquaculture Package 3'!J49)*($F$21)</f>
        <v>1.3037E-2</v>
      </c>
      <c r="K22" s="69">
        <f>('Aquaculture Package 3'!K49)*($F$21)</f>
        <v>1.2537E-2</v>
      </c>
      <c r="L22" s="69">
        <f>('Aquaculture Package 3'!L49)*($F$21)</f>
        <v>1.3037E-2</v>
      </c>
      <c r="M22" s="69">
        <f>('Aquaculture Package 3'!M49)*($F$21)</f>
        <v>1.2537E-2</v>
      </c>
      <c r="N22" s="69">
        <f>('Aquaculture Package 3'!N49)*($F$21)</f>
        <v>1.3037E-2</v>
      </c>
      <c r="O22" s="69">
        <f>0*($F$21)</f>
        <v>0</v>
      </c>
      <c r="P22" s="69">
        <f>0*($F$21)</f>
        <v>0</v>
      </c>
      <c r="Q22" s="69">
        <f>0*($F$21)</f>
        <v>0</v>
      </c>
      <c r="R22" s="69">
        <f>0*($F$21)</f>
        <v>0</v>
      </c>
      <c r="S22" s="69">
        <f>0*($F$21)</f>
        <v>0</v>
      </c>
      <c r="T22" s="69">
        <f t="shared" ref="T22:X22" si="16">0*($F$21)</f>
        <v>0</v>
      </c>
      <c r="U22" s="69">
        <f t="shared" si="16"/>
        <v>0</v>
      </c>
      <c r="V22" s="69">
        <f t="shared" si="16"/>
        <v>0</v>
      </c>
      <c r="W22" s="69">
        <f t="shared" si="16"/>
        <v>0</v>
      </c>
      <c r="X22" s="69">
        <f t="shared" si="16"/>
        <v>0</v>
      </c>
    </row>
    <row r="23" spans="1:24">
      <c r="A23" s="408"/>
      <c r="D23" s="33">
        <f>$G$21</f>
        <v>4</v>
      </c>
      <c r="E23" s="69">
        <f>0*($G$21)</f>
        <v>0</v>
      </c>
      <c r="F23" s="69">
        <f>('Aquaculture Package 3'!E49)*($G$21)</f>
        <v>-0.112126</v>
      </c>
      <c r="G23" s="69">
        <f>('Aquaculture Package 3'!F49)*($G$21)</f>
        <v>2.0674000000000001E-2</v>
      </c>
      <c r="H23" s="69">
        <f>('Aquaculture Package 3'!G49)*($G$21)</f>
        <v>1.9674000000000001E-2</v>
      </c>
      <c r="I23" s="69">
        <f>('Aquaculture Package 3'!H49)*($G$21)</f>
        <v>2.6074E-2</v>
      </c>
      <c r="J23" s="69">
        <f>('Aquaculture Package 3'!I49)*($G$21)</f>
        <v>2.5073999999999999E-2</v>
      </c>
      <c r="K23" s="69">
        <f>('Aquaculture Package 3'!J49)*($G$21)</f>
        <v>2.6074E-2</v>
      </c>
      <c r="L23" s="69">
        <f>('Aquaculture Package 3'!K49)*($G$21)</f>
        <v>2.5073999999999999E-2</v>
      </c>
      <c r="M23" s="69">
        <f>('Aquaculture Package 3'!L49)*($G$21)</f>
        <v>2.6074E-2</v>
      </c>
      <c r="N23" s="69">
        <f>('Aquaculture Package 3'!M49)*($G$21)</f>
        <v>2.5073999999999999E-2</v>
      </c>
      <c r="O23" s="69">
        <f>('Aquaculture Package 3'!N49)*($G$21)</f>
        <v>2.6074E-2</v>
      </c>
      <c r="P23" s="69">
        <f>0*($G$21)</f>
        <v>0</v>
      </c>
      <c r="Q23" s="69">
        <f>0*($G$21)</f>
        <v>0</v>
      </c>
      <c r="R23" s="69">
        <f>0*($G$21)</f>
        <v>0</v>
      </c>
      <c r="S23" s="69">
        <f>0*($G$21)</f>
        <v>0</v>
      </c>
      <c r="T23" s="69">
        <f t="shared" ref="T23:X23" si="17">0*($G$21)</f>
        <v>0</v>
      </c>
      <c r="U23" s="69">
        <f t="shared" si="17"/>
        <v>0</v>
      </c>
      <c r="V23" s="69">
        <f t="shared" si="17"/>
        <v>0</v>
      </c>
      <c r="W23" s="69">
        <f t="shared" si="17"/>
        <v>0</v>
      </c>
      <c r="X23" s="69">
        <f t="shared" si="17"/>
        <v>0</v>
      </c>
    </row>
    <row r="24" spans="1:24">
      <c r="A24" s="408"/>
      <c r="D24" s="33">
        <f>$H$21</f>
        <v>4</v>
      </c>
      <c r="E24" s="69">
        <f>0*($H$21)</f>
        <v>0</v>
      </c>
      <c r="F24" s="69">
        <f>0*($H$21)</f>
        <v>0</v>
      </c>
      <c r="G24" s="69">
        <f>('Aquaculture Package 3'!E49)*($H$21)</f>
        <v>-0.112126</v>
      </c>
      <c r="H24" s="69">
        <f>('Aquaculture Package 3'!F49)*($H$21)</f>
        <v>2.0674000000000001E-2</v>
      </c>
      <c r="I24" s="69">
        <f>('Aquaculture Package 3'!G49)*($H$21)</f>
        <v>1.9674000000000001E-2</v>
      </c>
      <c r="J24" s="69">
        <f>('Aquaculture Package 3'!H49)*($H$21)</f>
        <v>2.6074E-2</v>
      </c>
      <c r="K24" s="69">
        <f>('Aquaculture Package 3'!I49)*($H$21)</f>
        <v>2.5073999999999999E-2</v>
      </c>
      <c r="L24" s="69">
        <f>('Aquaculture Package 3'!J49)*($H$21)</f>
        <v>2.6074E-2</v>
      </c>
      <c r="M24" s="69">
        <f>('Aquaculture Package 3'!K49)*($H$21)</f>
        <v>2.5073999999999999E-2</v>
      </c>
      <c r="N24" s="69">
        <f>('Aquaculture Package 3'!L49)*($H$21)</f>
        <v>2.6074E-2</v>
      </c>
      <c r="O24" s="69">
        <f>('Aquaculture Package 3'!M49)*($H$21)</f>
        <v>2.5073999999999999E-2</v>
      </c>
      <c r="P24" s="69">
        <f>('Aquaculture Package 3'!N49)*($H$21)</f>
        <v>2.6074E-2</v>
      </c>
      <c r="Q24" s="69">
        <f>0*($H$21)</f>
        <v>0</v>
      </c>
      <c r="R24" s="69">
        <f>0*($H$21)</f>
        <v>0</v>
      </c>
      <c r="S24" s="69">
        <f>0*($H$21)</f>
        <v>0</v>
      </c>
      <c r="T24" s="69">
        <f t="shared" ref="T24:X24" si="18">0*($H$21)</f>
        <v>0</v>
      </c>
      <c r="U24" s="69">
        <f t="shared" si="18"/>
        <v>0</v>
      </c>
      <c r="V24" s="69">
        <f t="shared" si="18"/>
        <v>0</v>
      </c>
      <c r="W24" s="69">
        <f t="shared" si="18"/>
        <v>0</v>
      </c>
      <c r="X24" s="69">
        <f t="shared" si="18"/>
        <v>0</v>
      </c>
    </row>
    <row r="25" spans="1:24">
      <c r="A25" s="408"/>
      <c r="D25" s="33">
        <f>$I$21</f>
        <v>2</v>
      </c>
      <c r="E25" s="69">
        <f>0*($I$21)</f>
        <v>0</v>
      </c>
      <c r="F25" s="69">
        <f>0*($I$21)</f>
        <v>0</v>
      </c>
      <c r="G25" s="69">
        <f>0*($I$21)</f>
        <v>0</v>
      </c>
      <c r="H25" s="69">
        <f>('Aquaculture Package 3'!E49)*($I$21)</f>
        <v>-5.6063000000000002E-2</v>
      </c>
      <c r="I25" s="69">
        <f>('Aquaculture Package 3'!F49)*($I$21)</f>
        <v>1.0337000000000001E-2</v>
      </c>
      <c r="J25" s="69">
        <f>('Aquaculture Package 3'!G49)*($I$21)</f>
        <v>9.8370000000000003E-3</v>
      </c>
      <c r="K25" s="69">
        <f>('Aquaculture Package 3'!H49)*($I$21)</f>
        <v>1.3037E-2</v>
      </c>
      <c r="L25" s="69">
        <f>('Aquaculture Package 3'!I49)*($I$21)</f>
        <v>1.2537E-2</v>
      </c>
      <c r="M25" s="69">
        <f>('Aquaculture Package 3'!J49)*($I$21)</f>
        <v>1.3037E-2</v>
      </c>
      <c r="N25" s="69">
        <f>('Aquaculture Package 3'!K49)*($I$21)</f>
        <v>1.2537E-2</v>
      </c>
      <c r="O25" s="69">
        <f>('Aquaculture Package 3'!L49)*($I$21)</f>
        <v>1.3037E-2</v>
      </c>
      <c r="P25" s="69">
        <f>('Aquaculture Package 3'!M49)*($I$21)</f>
        <v>1.2537E-2</v>
      </c>
      <c r="Q25" s="69">
        <f>('Aquaculture Package 3'!N49)*($I$21)</f>
        <v>1.3037E-2</v>
      </c>
      <c r="R25" s="69">
        <f>0*($I$21)</f>
        <v>0</v>
      </c>
      <c r="S25" s="69">
        <f>0*($I$21)</f>
        <v>0</v>
      </c>
      <c r="T25" s="69">
        <f t="shared" ref="T25:X25" si="19">0*($I$21)</f>
        <v>0</v>
      </c>
      <c r="U25" s="69">
        <f t="shared" si="19"/>
        <v>0</v>
      </c>
      <c r="V25" s="69">
        <f t="shared" si="19"/>
        <v>0</v>
      </c>
      <c r="W25" s="69">
        <f t="shared" si="19"/>
        <v>0</v>
      </c>
      <c r="X25" s="69">
        <f t="shared" si="19"/>
        <v>0</v>
      </c>
    </row>
    <row r="26" spans="1:24">
      <c r="A26" s="408"/>
      <c r="C26" s="4" t="s">
        <v>49</v>
      </c>
      <c r="D26" s="36" t="s">
        <v>212</v>
      </c>
      <c r="E26" s="69">
        <f>SUM(E22:E25)</f>
        <v>-5.6063000000000002E-2</v>
      </c>
      <c r="F26" s="69">
        <f t="shared" ref="F26" si="20">SUM(F22:F25)</f>
        <v>-0.101789</v>
      </c>
      <c r="G26" s="69">
        <f t="shared" ref="G26" si="21">SUM(G22:G25)</f>
        <v>-8.1614999999999993E-2</v>
      </c>
      <c r="H26" s="69">
        <f t="shared" ref="H26" si="22">SUM(H22:H25)</f>
        <v>-2.6779999999999998E-3</v>
      </c>
      <c r="I26" s="69">
        <f t="shared" ref="I26" si="23">SUM(I22:I25)</f>
        <v>6.8622000000000002E-2</v>
      </c>
      <c r="J26" s="69">
        <f t="shared" ref="J26" si="24">SUM(J22:J25)</f>
        <v>7.4021999999999991E-2</v>
      </c>
      <c r="K26" s="69">
        <f t="shared" ref="K26" si="25">SUM(K22:K25)</f>
        <v>7.6721999999999985E-2</v>
      </c>
      <c r="L26" s="69">
        <f t="shared" ref="L26" si="26">SUM(L22:L25)</f>
        <v>7.6721999999999985E-2</v>
      </c>
      <c r="M26" s="69">
        <f t="shared" ref="M26" si="27">SUM(M22:M25)</f>
        <v>7.6721999999999985E-2</v>
      </c>
      <c r="N26" s="69">
        <f t="shared" ref="N26" si="28">SUM(N22:N25)</f>
        <v>7.6721999999999985E-2</v>
      </c>
      <c r="O26" s="69">
        <f t="shared" ref="O26" si="29">SUM(O22:O25)</f>
        <v>6.4184999999999992E-2</v>
      </c>
      <c r="P26" s="69">
        <f t="shared" ref="P26" si="30">SUM(P22:P25)</f>
        <v>3.8610999999999999E-2</v>
      </c>
      <c r="Q26" s="69">
        <f t="shared" ref="Q26" si="31">SUM(Q22:Q25)</f>
        <v>1.3037E-2</v>
      </c>
      <c r="R26" s="69">
        <f t="shared" ref="R26" si="32">SUM(R22:R25)</f>
        <v>0</v>
      </c>
      <c r="S26" s="69">
        <f t="shared" ref="S26:X26" si="33">SUM(S22:S25)</f>
        <v>0</v>
      </c>
      <c r="T26" s="69">
        <f t="shared" si="33"/>
        <v>0</v>
      </c>
      <c r="U26" s="69">
        <f t="shared" si="33"/>
        <v>0</v>
      </c>
      <c r="V26" s="69">
        <f t="shared" si="33"/>
        <v>0</v>
      </c>
      <c r="W26" s="69">
        <f t="shared" si="33"/>
        <v>0</v>
      </c>
      <c r="X26" s="69">
        <f t="shared" si="33"/>
        <v>0</v>
      </c>
    </row>
    <row r="27" spans="1:24">
      <c r="A27" s="408"/>
    </row>
    <row r="28" spans="1:24">
      <c r="A28" s="408"/>
      <c r="B28" s="1" t="s">
        <v>218</v>
      </c>
      <c r="D28" s="4" t="s">
        <v>215</v>
      </c>
      <c r="E28" s="226">
        <f>(SUM('Output2.2 Costs'!E81,'Output2.2 Costs'!E72))*($AC$9)</f>
        <v>7</v>
      </c>
      <c r="F28" s="226">
        <f>(SUM('Output2.2 Costs'!F81,'Output2.2 Costs'!F72))*($AC$9)</f>
        <v>14</v>
      </c>
      <c r="G28" s="226">
        <f>(SUM('Output2.2 Costs'!G81,'Output2.2 Costs'!G72))*($AC$9)</f>
        <v>14</v>
      </c>
      <c r="H28" s="226">
        <f>(SUM('Output2.2 Costs'!H81,'Output2.2 Costs'!H72))*($AC$9)</f>
        <v>5</v>
      </c>
      <c r="I28" s="226">
        <f>(SUM('Output2.2 Costs'!I81,'Output2.2 Costs'!I72))*($AC$9)</f>
        <v>0</v>
      </c>
      <c r="J28" s="226">
        <f>(SUM('Output2.2 Costs'!J81,'Output2.2 Costs'!J72))*($AC$9)</f>
        <v>0</v>
      </c>
    </row>
    <row r="29" spans="1:24">
      <c r="A29" s="408"/>
      <c r="D29" s="4">
        <f>$E$28</f>
        <v>7</v>
      </c>
      <c r="E29" s="69">
        <f>('Aquaculture Package 4'!E31)*($E$28)</f>
        <v>-5.6062104000000001E-2</v>
      </c>
      <c r="F29" s="69">
        <f>('Aquaculture Package 4'!F31)*($E$28)</f>
        <v>1.2019167999999997E-2</v>
      </c>
      <c r="G29" s="69">
        <f>('Aquaculture Package 4'!G31)*($E$28)</f>
        <v>1.360044E-2</v>
      </c>
      <c r="H29" s="69">
        <f>('Aquaculture Package 4'!H31)*($E$28)</f>
        <v>1.360044E-2</v>
      </c>
      <c r="I29" s="69">
        <f>('Aquaculture Package 4'!I31)*($E$28)</f>
        <v>1.360044E-2</v>
      </c>
      <c r="J29" s="69">
        <f>('Aquaculture Package 4'!J31)*($E$28)</f>
        <v>1.360044E-2</v>
      </c>
      <c r="K29" s="69">
        <f>('Aquaculture Package 4'!K31)*($E$28)</f>
        <v>1.360044E-2</v>
      </c>
      <c r="L29" s="69">
        <f>('Aquaculture Package 4'!L31)*($E$28)</f>
        <v>1.360044E-2</v>
      </c>
      <c r="M29" s="69">
        <f>('Aquaculture Package 4'!M31)*($E$28)</f>
        <v>1.360044E-2</v>
      </c>
      <c r="N29" s="69">
        <f>('Aquaculture Package 4'!N31)*($E$28)</f>
        <v>1.360044E-2</v>
      </c>
      <c r="O29" s="69">
        <f>0*($E$28)</f>
        <v>0</v>
      </c>
      <c r="P29" s="69">
        <f>0*($E$28)</f>
        <v>0</v>
      </c>
      <c r="Q29" s="69">
        <f>0*($E$28)</f>
        <v>0</v>
      </c>
      <c r="R29" s="69">
        <f t="shared" ref="R29:S29" si="34">0*($E$28)</f>
        <v>0</v>
      </c>
      <c r="S29" s="69">
        <f t="shared" si="34"/>
        <v>0</v>
      </c>
      <c r="T29" s="69">
        <f t="shared" ref="T29:X29" si="35">0*($F$8)</f>
        <v>0</v>
      </c>
      <c r="U29" s="69">
        <f t="shared" si="35"/>
        <v>0</v>
      </c>
      <c r="V29" s="69">
        <f t="shared" si="35"/>
        <v>0</v>
      </c>
      <c r="W29" s="69">
        <f t="shared" si="35"/>
        <v>0</v>
      </c>
      <c r="X29" s="69">
        <f t="shared" si="35"/>
        <v>0</v>
      </c>
    </row>
    <row r="30" spans="1:24">
      <c r="A30" s="408"/>
      <c r="D30" s="4">
        <f>$F$28</f>
        <v>14</v>
      </c>
      <c r="E30" s="69">
        <f>0*($F$28)</f>
        <v>0</v>
      </c>
      <c r="F30" s="69">
        <f>('Aquaculture Package 4'!E31)*($F$28)</f>
        <v>-0.112124208</v>
      </c>
      <c r="G30" s="69">
        <f>('Aquaculture Package 4'!F31)*($F$28)</f>
        <v>2.4038335999999993E-2</v>
      </c>
      <c r="H30" s="69">
        <f>('Aquaculture Package 4'!G31)*($F$28)</f>
        <v>2.720088E-2</v>
      </c>
      <c r="I30" s="69">
        <f>('Aquaculture Package 4'!H31)*($F$28)</f>
        <v>2.720088E-2</v>
      </c>
      <c r="J30" s="69">
        <f>('Aquaculture Package 4'!I31)*($F$28)</f>
        <v>2.720088E-2</v>
      </c>
      <c r="K30" s="69">
        <f>('Aquaculture Package 4'!J31)*($F$28)</f>
        <v>2.720088E-2</v>
      </c>
      <c r="L30" s="69">
        <f>('Aquaculture Package 4'!K31)*($F$28)</f>
        <v>2.720088E-2</v>
      </c>
      <c r="M30" s="69">
        <f>('Aquaculture Package 4'!L31)*($F$28)</f>
        <v>2.720088E-2</v>
      </c>
      <c r="N30" s="69">
        <f>('Aquaculture Package 4'!M31)*($F$28)</f>
        <v>2.720088E-2</v>
      </c>
      <c r="O30" s="69">
        <f>('Aquaculture Package 4'!N31)*($F$28)</f>
        <v>2.720088E-2</v>
      </c>
      <c r="P30" s="69">
        <f>0*($F$28)</f>
        <v>0</v>
      </c>
      <c r="Q30" s="69">
        <f>0*($F$28)</f>
        <v>0</v>
      </c>
      <c r="R30" s="69">
        <f t="shared" ref="R30:S30" si="36">0*($F$28)</f>
        <v>0</v>
      </c>
      <c r="S30" s="69">
        <f t="shared" si="36"/>
        <v>0</v>
      </c>
      <c r="T30" s="69">
        <f t="shared" ref="T30:X30" si="37">0*($G$8)</f>
        <v>0</v>
      </c>
      <c r="U30" s="69">
        <f t="shared" si="37"/>
        <v>0</v>
      </c>
      <c r="V30" s="69">
        <f t="shared" si="37"/>
        <v>0</v>
      </c>
      <c r="W30" s="69">
        <f t="shared" si="37"/>
        <v>0</v>
      </c>
      <c r="X30" s="69">
        <f t="shared" si="37"/>
        <v>0</v>
      </c>
    </row>
    <row r="31" spans="1:24">
      <c r="A31" s="408"/>
      <c r="D31" s="4">
        <f>$G$28</f>
        <v>14</v>
      </c>
      <c r="E31" s="69">
        <f>0*($G$28)</f>
        <v>0</v>
      </c>
      <c r="F31" s="69">
        <f>0*($G$28)</f>
        <v>0</v>
      </c>
      <c r="G31" s="69">
        <f>('Aquaculture Package 4'!E31)*($G$28)</f>
        <v>-0.112124208</v>
      </c>
      <c r="H31" s="69">
        <f>('Aquaculture Package 4'!F31)*($G$28)</f>
        <v>2.4038335999999993E-2</v>
      </c>
      <c r="I31" s="69">
        <f>('Aquaculture Package 4'!G31)*($G$28)</f>
        <v>2.720088E-2</v>
      </c>
      <c r="J31" s="69">
        <f>('Aquaculture Package 4'!H31)*($G$28)</f>
        <v>2.720088E-2</v>
      </c>
      <c r="K31" s="69">
        <f>('Aquaculture Package 4'!I31)*($G$28)</f>
        <v>2.720088E-2</v>
      </c>
      <c r="L31" s="69">
        <f>('Aquaculture Package 4'!J31)*($G$28)</f>
        <v>2.720088E-2</v>
      </c>
      <c r="M31" s="69">
        <f>('Aquaculture Package 4'!K31)*($G$28)</f>
        <v>2.720088E-2</v>
      </c>
      <c r="N31" s="69">
        <f>('Aquaculture Package 4'!L31)*($G$28)</f>
        <v>2.720088E-2</v>
      </c>
      <c r="O31" s="69">
        <f>('Aquaculture Package 4'!M31)*($G$28)</f>
        <v>2.720088E-2</v>
      </c>
      <c r="P31" s="69">
        <f>('Aquaculture Package 4'!N31)*($G$28)</f>
        <v>2.720088E-2</v>
      </c>
      <c r="Q31" s="69">
        <f>0*($G$28)</f>
        <v>0</v>
      </c>
      <c r="R31" s="69">
        <f t="shared" ref="R31:S31" si="38">0*($G$28)</f>
        <v>0</v>
      </c>
      <c r="S31" s="69">
        <f t="shared" si="38"/>
        <v>0</v>
      </c>
      <c r="T31" s="69">
        <f t="shared" ref="T31:X31" si="39">0*($H$8)</f>
        <v>0</v>
      </c>
      <c r="U31" s="69">
        <f t="shared" si="39"/>
        <v>0</v>
      </c>
      <c r="V31" s="69">
        <f t="shared" si="39"/>
        <v>0</v>
      </c>
      <c r="W31" s="69">
        <f t="shared" si="39"/>
        <v>0</v>
      </c>
      <c r="X31" s="69">
        <f t="shared" si="39"/>
        <v>0</v>
      </c>
    </row>
    <row r="32" spans="1:24">
      <c r="A32" s="408"/>
      <c r="D32" s="4">
        <f>$H$28</f>
        <v>5</v>
      </c>
      <c r="E32" s="69">
        <f>0*($H$28)</f>
        <v>0</v>
      </c>
      <c r="F32" s="69">
        <f>0*($H$28)</f>
        <v>0</v>
      </c>
      <c r="G32" s="69">
        <f>0*($H$28)</f>
        <v>0</v>
      </c>
      <c r="H32" s="69">
        <f>('Aquaculture Package 4'!E31)*($H$28)</f>
        <v>-4.0044360000000001E-2</v>
      </c>
      <c r="I32" s="69">
        <f>('Aquaculture Package 4'!F31)*($H$28)</f>
        <v>8.5851199999999982E-3</v>
      </c>
      <c r="J32" s="69">
        <f>('Aquaculture Package 4'!G31)*($H$28)</f>
        <v>9.7146000000000003E-3</v>
      </c>
      <c r="K32" s="69">
        <f>('Aquaculture Package 4'!H31)*($H$28)</f>
        <v>9.7146000000000003E-3</v>
      </c>
      <c r="L32" s="69">
        <f>('Aquaculture Package 4'!I31)*($H$28)</f>
        <v>9.7146000000000003E-3</v>
      </c>
      <c r="M32" s="69">
        <f>('Aquaculture Package 4'!J31)*($H$28)</f>
        <v>9.7146000000000003E-3</v>
      </c>
      <c r="N32" s="69">
        <f>('Aquaculture Package 4'!K31)*($H$28)</f>
        <v>9.7146000000000003E-3</v>
      </c>
      <c r="O32" s="69">
        <f>('Aquaculture Package 4'!L31)*($H$28)</f>
        <v>9.7146000000000003E-3</v>
      </c>
      <c r="P32" s="69">
        <f>('Aquaculture Package 4'!M31)*($H$28)</f>
        <v>9.7146000000000003E-3</v>
      </c>
      <c r="Q32" s="69">
        <f>('Aquaculture Package 4'!N31)*($H$28)</f>
        <v>9.7146000000000003E-3</v>
      </c>
      <c r="R32" s="69">
        <v>0</v>
      </c>
      <c r="S32" s="69">
        <v>0</v>
      </c>
      <c r="T32" s="69">
        <f t="shared" ref="T32:X32" si="40">0*($I$8)</f>
        <v>0</v>
      </c>
      <c r="U32" s="69">
        <f t="shared" si="40"/>
        <v>0</v>
      </c>
      <c r="V32" s="69">
        <f t="shared" si="40"/>
        <v>0</v>
      </c>
      <c r="W32" s="69">
        <f t="shared" si="40"/>
        <v>0</v>
      </c>
      <c r="X32" s="69">
        <f t="shared" si="40"/>
        <v>0</v>
      </c>
    </row>
    <row r="33" spans="1:24">
      <c r="A33" s="408"/>
      <c r="C33" s="4" t="s">
        <v>49</v>
      </c>
      <c r="D33" s="36" t="s">
        <v>212</v>
      </c>
      <c r="E33" s="69">
        <f>SUM(E29:E32)</f>
        <v>-5.6062104000000001E-2</v>
      </c>
      <c r="F33" s="69">
        <f t="shared" ref="F33" si="41">SUM(F29:F32)</f>
        <v>-0.10010504000000001</v>
      </c>
      <c r="G33" s="69">
        <f t="shared" ref="G33" si="42">SUM(G29:G32)</f>
        <v>-7.4485432000000018E-2</v>
      </c>
      <c r="H33" s="69">
        <f t="shared" ref="H33" si="43">SUM(H29:H32)</f>
        <v>2.4795295999999994E-2</v>
      </c>
      <c r="I33" s="69">
        <f t="shared" ref="I33" si="44">SUM(I29:I32)</f>
        <v>7.658732E-2</v>
      </c>
      <c r="J33" s="69">
        <f t="shared" ref="J33" si="45">SUM(J29:J32)</f>
        <v>7.7716800000000003E-2</v>
      </c>
      <c r="K33" s="69">
        <f t="shared" ref="K33" si="46">SUM(K29:K32)</f>
        <v>7.7716800000000003E-2</v>
      </c>
      <c r="L33" s="69">
        <f t="shared" ref="L33" si="47">SUM(L29:L32)</f>
        <v>7.7716800000000003E-2</v>
      </c>
      <c r="M33" s="69">
        <f t="shared" ref="M33" si="48">SUM(M29:M32)</f>
        <v>7.7716800000000003E-2</v>
      </c>
      <c r="N33" s="69">
        <f t="shared" ref="N33" si="49">SUM(N29:N32)</f>
        <v>7.7716800000000003E-2</v>
      </c>
      <c r="O33" s="69">
        <f t="shared" ref="O33" si="50">SUM(O29:O32)</f>
        <v>6.4116359999999997E-2</v>
      </c>
      <c r="P33" s="69">
        <f t="shared" ref="P33" si="51">SUM(P29:P32)</f>
        <v>3.6915480000000001E-2</v>
      </c>
      <c r="Q33" s="69">
        <f t="shared" ref="Q33" si="52">SUM(Q29:Q32)</f>
        <v>9.7146000000000003E-3</v>
      </c>
      <c r="R33" s="69">
        <f t="shared" ref="R33" si="53">SUM(R29:R32)</f>
        <v>0</v>
      </c>
      <c r="S33" s="69">
        <f t="shared" ref="S33:X33" si="54">SUM(S29:S32)</f>
        <v>0</v>
      </c>
      <c r="T33" s="69">
        <f t="shared" si="54"/>
        <v>0</v>
      </c>
      <c r="U33" s="69">
        <f t="shared" si="54"/>
        <v>0</v>
      </c>
      <c r="V33" s="69">
        <f t="shared" si="54"/>
        <v>0</v>
      </c>
      <c r="W33" s="69">
        <f t="shared" si="54"/>
        <v>0</v>
      </c>
      <c r="X33" s="69">
        <f t="shared" si="54"/>
        <v>0</v>
      </c>
    </row>
    <row r="34" spans="1:24">
      <c r="A34" s="408"/>
    </row>
    <row r="35" spans="1:24">
      <c r="A35" s="408"/>
      <c r="B35" s="1" t="s">
        <v>219</v>
      </c>
      <c r="C35" s="4" t="s">
        <v>49</v>
      </c>
      <c r="D35" s="36" t="s">
        <v>212</v>
      </c>
      <c r="E35" s="69">
        <f>SUM(E13,E19,E26,E33)</f>
        <v>-0.199007604</v>
      </c>
      <c r="F35" s="69">
        <f t="shared" ref="F35:S35" si="55">SUM(F13,F19,F26,F33)</f>
        <v>-0.40460403999999994</v>
      </c>
      <c r="G35" s="69">
        <f t="shared" si="55"/>
        <v>-0.27070043199999999</v>
      </c>
      <c r="H35" s="69">
        <f t="shared" si="55"/>
        <v>0.10972729600000003</v>
      </c>
      <c r="I35" s="69">
        <f t="shared" si="55"/>
        <v>0.32226182000000009</v>
      </c>
      <c r="J35" s="69">
        <f t="shared" si="55"/>
        <v>0.33736630000000001</v>
      </c>
      <c r="K35" s="69">
        <f t="shared" si="55"/>
        <v>0.34435380000000004</v>
      </c>
      <c r="L35" s="69">
        <f t="shared" si="55"/>
        <v>0.34435380000000004</v>
      </c>
      <c r="M35" s="69">
        <f t="shared" si="55"/>
        <v>0.34435380000000004</v>
      </c>
      <c r="N35" s="69">
        <f t="shared" si="55"/>
        <v>0.34435380000000004</v>
      </c>
      <c r="O35" s="69">
        <f t="shared" si="55"/>
        <v>0.28781386000000003</v>
      </c>
      <c r="P35" s="69">
        <f t="shared" si="55"/>
        <v>0.15414398000000001</v>
      </c>
      <c r="Q35" s="69">
        <f t="shared" si="55"/>
        <v>3.6814100000000002E-2</v>
      </c>
      <c r="R35" s="69">
        <f t="shared" si="55"/>
        <v>0</v>
      </c>
      <c r="S35" s="69">
        <f t="shared" si="55"/>
        <v>0</v>
      </c>
      <c r="T35" s="69">
        <f t="shared" ref="T35:X35" si="56">SUM(T13,T19,T26,T33)</f>
        <v>0</v>
      </c>
      <c r="U35" s="69">
        <f t="shared" si="56"/>
        <v>0</v>
      </c>
      <c r="V35" s="69">
        <f t="shared" si="56"/>
        <v>0</v>
      </c>
      <c r="W35" s="69">
        <f t="shared" si="56"/>
        <v>0</v>
      </c>
      <c r="X35" s="69">
        <f t="shared" si="56"/>
        <v>0</v>
      </c>
    </row>
    <row r="36" spans="1:24">
      <c r="A36" s="408"/>
      <c r="B36" t="s">
        <v>220</v>
      </c>
      <c r="C36" s="4" t="s">
        <v>49</v>
      </c>
      <c r="D36" s="36" t="s">
        <v>212</v>
      </c>
      <c r="E36" s="142">
        <f>SUM('Output2.2 Costs'!M15:M16,'Output2.2 Costs'!M29:M30,'Output2.2 Costs'!M41,'Output2.2 Costs'!M58,'Output2.2 Costs'!M69,'Output2.2 Costs'!M77,'Output2.2 Costs'!M84)/1000000</f>
        <v>2.9749999999999999E-2</v>
      </c>
      <c r="F36" s="142">
        <f>SUM('Output2.2 Costs'!N15:N16,'Output2.2 Costs'!N29:N30,'Output2.2 Costs'!N41,'Output2.2 Costs'!N58,'Output2.2 Costs'!N69,'Output2.2 Costs'!N77,'Output2.2 Costs'!N84)/1000000</f>
        <v>8.9499999999999996E-2</v>
      </c>
      <c r="G36" s="142">
        <f>SUM('Output2.2 Costs'!O15:O16,'Output2.2 Costs'!O29:O30,'Output2.2 Costs'!O41,'Output2.2 Costs'!O58,'Output2.2 Costs'!O69,'Output2.2 Costs'!O77,'Output2.2 Costs'!O84)/1000000</f>
        <v>9.9500000000000005E-2</v>
      </c>
      <c r="H36" s="142">
        <f>SUM('Output2.2 Costs'!P15:P16,'Output2.2 Costs'!P29:P30,'Output2.2 Costs'!P41,'Output2.2 Costs'!P58,'Output2.2 Costs'!P69,'Output2.2 Costs'!P77,'Output2.2 Costs'!P84)/1000000</f>
        <v>5.7250000000000002E-2</v>
      </c>
      <c r="I36" s="142">
        <f>SUM('Output2.2 Costs'!Q15:Q16,'Output2.2 Costs'!Q29:Q30,'Output2.2 Costs'!Q41,'Output2.2 Costs'!Q58,'Output2.2 Costs'!Q69,'Output2.2 Costs'!Q77,'Output2.2 Costs'!Q84)/1000000</f>
        <v>2.4E-2</v>
      </c>
      <c r="J36" s="142">
        <f>SUM('Output2.2 Costs'!R15:R16,'Output2.2 Costs'!R29:R30,'Output2.2 Costs'!R41,'Output2.2 Costs'!R58,'Output2.2 Costs'!R69,'Output2.2 Costs'!R77,'Output2.2 Costs'!R84)/1000000</f>
        <v>0</v>
      </c>
      <c r="K36" s="142">
        <v>0</v>
      </c>
      <c r="L36" s="142">
        <f>K36</f>
        <v>0</v>
      </c>
      <c r="M36" s="142">
        <f t="shared" ref="M36:S36" si="57">L36</f>
        <v>0</v>
      </c>
      <c r="N36" s="142">
        <f t="shared" si="57"/>
        <v>0</v>
      </c>
      <c r="O36" s="142">
        <f t="shared" si="57"/>
        <v>0</v>
      </c>
      <c r="P36" s="142">
        <f t="shared" si="57"/>
        <v>0</v>
      </c>
      <c r="Q36" s="142">
        <f t="shared" si="57"/>
        <v>0</v>
      </c>
      <c r="R36" s="142">
        <f t="shared" si="57"/>
        <v>0</v>
      </c>
      <c r="S36" s="142">
        <f t="shared" si="57"/>
        <v>0</v>
      </c>
      <c r="T36" s="142">
        <f t="shared" ref="T36" si="58">S36</f>
        <v>0</v>
      </c>
      <c r="U36" s="142">
        <f t="shared" ref="U36" si="59">T36</f>
        <v>0</v>
      </c>
      <c r="V36" s="142">
        <f t="shared" ref="V36" si="60">U36</f>
        <v>0</v>
      </c>
      <c r="W36" s="142">
        <f t="shared" ref="W36" si="61">V36</f>
        <v>0</v>
      </c>
      <c r="X36" s="142">
        <f t="shared" ref="X36" si="62">W36</f>
        <v>0</v>
      </c>
    </row>
    <row r="37" spans="1:24" ht="15.75" thickBot="1">
      <c r="A37" s="409"/>
      <c r="B37" t="s">
        <v>221</v>
      </c>
      <c r="C37" s="4" t="s">
        <v>49</v>
      </c>
      <c r="D37" s="36" t="s">
        <v>212</v>
      </c>
      <c r="E37" s="69">
        <f>E35-E36</f>
        <v>-0.228757604</v>
      </c>
      <c r="F37" s="69">
        <f t="shared" ref="F37:S37" si="63">F35-F36</f>
        <v>-0.49410403999999997</v>
      </c>
      <c r="G37" s="69">
        <f t="shared" si="63"/>
        <v>-0.37020043199999997</v>
      </c>
      <c r="H37" s="69">
        <f t="shared" si="63"/>
        <v>5.2477296000000027E-2</v>
      </c>
      <c r="I37" s="69">
        <f t="shared" si="63"/>
        <v>0.29826182000000007</v>
      </c>
      <c r="J37" s="69">
        <f t="shared" si="63"/>
        <v>0.33736630000000001</v>
      </c>
      <c r="K37" s="69">
        <f t="shared" si="63"/>
        <v>0.34435380000000004</v>
      </c>
      <c r="L37" s="69">
        <f t="shared" si="63"/>
        <v>0.34435380000000004</v>
      </c>
      <c r="M37" s="69">
        <f t="shared" si="63"/>
        <v>0.34435380000000004</v>
      </c>
      <c r="N37" s="69">
        <f t="shared" si="63"/>
        <v>0.34435380000000004</v>
      </c>
      <c r="O37" s="69">
        <f t="shared" si="63"/>
        <v>0.28781386000000003</v>
      </c>
      <c r="P37" s="69">
        <f t="shared" si="63"/>
        <v>0.15414398000000001</v>
      </c>
      <c r="Q37" s="69">
        <f t="shared" si="63"/>
        <v>3.6814100000000002E-2</v>
      </c>
      <c r="R37" s="69">
        <f t="shared" si="63"/>
        <v>0</v>
      </c>
      <c r="S37" s="69">
        <f t="shared" si="63"/>
        <v>0</v>
      </c>
      <c r="T37" s="69">
        <f t="shared" ref="T37:X37" si="64">T35-T36</f>
        <v>0</v>
      </c>
      <c r="U37" s="69">
        <f t="shared" si="64"/>
        <v>0</v>
      </c>
      <c r="V37" s="69">
        <f t="shared" si="64"/>
        <v>0</v>
      </c>
      <c r="W37" s="69">
        <f t="shared" si="64"/>
        <v>0</v>
      </c>
      <c r="X37" s="69">
        <f t="shared" si="64"/>
        <v>0</v>
      </c>
    </row>
    <row r="39" spans="1:24">
      <c r="E39" s="140" t="s">
        <v>70</v>
      </c>
      <c r="F39" s="140" t="s">
        <v>71</v>
      </c>
      <c r="G39" s="140" t="s">
        <v>72</v>
      </c>
      <c r="H39" s="140" t="s">
        <v>73</v>
      </c>
      <c r="I39" s="140" t="s">
        <v>74</v>
      </c>
      <c r="J39" s="140" t="s">
        <v>75</v>
      </c>
      <c r="K39" s="140" t="s">
        <v>76</v>
      </c>
      <c r="L39" s="140" t="s">
        <v>77</v>
      </c>
      <c r="M39" s="140" t="s">
        <v>78</v>
      </c>
      <c r="N39" s="140" t="s">
        <v>79</v>
      </c>
      <c r="O39" s="140" t="s">
        <v>80</v>
      </c>
      <c r="P39" s="140" t="s">
        <v>81</v>
      </c>
      <c r="Q39" s="140" t="s">
        <v>82</v>
      </c>
      <c r="R39" s="140" t="s">
        <v>83</v>
      </c>
      <c r="S39" s="140" t="s">
        <v>84</v>
      </c>
      <c r="T39" s="140" t="s">
        <v>481</v>
      </c>
      <c r="U39" s="140" t="s">
        <v>482</v>
      </c>
      <c r="V39" s="140" t="s">
        <v>483</v>
      </c>
      <c r="W39" s="140" t="s">
        <v>484</v>
      </c>
      <c r="X39" s="140" t="s">
        <v>485</v>
      </c>
    </row>
    <row r="40" spans="1:24">
      <c r="B40" s="146" t="s">
        <v>224</v>
      </c>
      <c r="C40" s="137" t="s">
        <v>49</v>
      </c>
      <c r="D40" s="137" t="s">
        <v>212</v>
      </c>
      <c r="E40" s="147">
        <f>SUM(E37,E6)</f>
        <v>-0.37675760400000002</v>
      </c>
      <c r="F40" s="147">
        <f t="shared" ref="F40:S40" si="65">SUM(F37,F6)</f>
        <v>-1.90010404</v>
      </c>
      <c r="G40" s="147">
        <f t="shared" si="65"/>
        <v>-5.5502004319999996</v>
      </c>
      <c r="H40" s="147">
        <f t="shared" si="65"/>
        <v>1.0204620427776412</v>
      </c>
      <c r="I40" s="147">
        <f t="shared" si="65"/>
        <v>3.2036313135552823</v>
      </c>
      <c r="J40" s="147">
        <f t="shared" si="65"/>
        <v>4.8804205403329242</v>
      </c>
      <c r="K40" s="147">
        <f t="shared" si="65"/>
        <v>4.8874080403329243</v>
      </c>
      <c r="L40" s="147">
        <f t="shared" si="65"/>
        <v>4.8874080403329243</v>
      </c>
      <c r="M40" s="147">
        <f t="shared" si="65"/>
        <v>4.8874080403329243</v>
      </c>
      <c r="N40" s="147">
        <f t="shared" si="65"/>
        <v>4.8874080403329243</v>
      </c>
      <c r="O40" s="147">
        <f t="shared" si="65"/>
        <v>4.8308681003329239</v>
      </c>
      <c r="P40" s="147">
        <f t="shared" si="65"/>
        <v>4.6971982203329237</v>
      </c>
      <c r="Q40" s="147">
        <f t="shared" si="65"/>
        <v>4.5798683403329239</v>
      </c>
      <c r="R40" s="147">
        <f t="shared" si="65"/>
        <v>4.5430542403329239</v>
      </c>
      <c r="S40" s="147">
        <f t="shared" si="65"/>
        <v>4.5430542403329239</v>
      </c>
      <c r="T40" s="147">
        <f t="shared" ref="T40:X40" si="66">SUM(T37,T6)</f>
        <v>4.5430542403329239</v>
      </c>
      <c r="U40" s="147">
        <f t="shared" si="66"/>
        <v>4.5430542403329239</v>
      </c>
      <c r="V40" s="147">
        <f t="shared" si="66"/>
        <v>4.5430542403329239</v>
      </c>
      <c r="W40" s="147">
        <f t="shared" si="66"/>
        <v>0</v>
      </c>
      <c r="X40" s="147">
        <f t="shared" si="66"/>
        <v>0</v>
      </c>
    </row>
    <row r="41" spans="1:24">
      <c r="E41" s="74"/>
    </row>
    <row r="42" spans="1:24">
      <c r="B42" s="148" t="s">
        <v>225</v>
      </c>
      <c r="C42" s="149" t="s">
        <v>49</v>
      </c>
      <c r="D42" s="149" t="s">
        <v>212</v>
      </c>
      <c r="E42" s="150">
        <f>SUM(E40)</f>
        <v>-0.37675760400000002</v>
      </c>
      <c r="F42" s="150">
        <f t="shared" ref="F42:X42" si="67">SUM(F40)</f>
        <v>-1.90010404</v>
      </c>
      <c r="G42" s="150">
        <f t="shared" si="67"/>
        <v>-5.5502004319999996</v>
      </c>
      <c r="H42" s="150">
        <f t="shared" si="67"/>
        <v>1.0204620427776412</v>
      </c>
      <c r="I42" s="150">
        <f t="shared" si="67"/>
        <v>3.2036313135552823</v>
      </c>
      <c r="J42" s="150">
        <f t="shared" si="67"/>
        <v>4.8804205403329242</v>
      </c>
      <c r="K42" s="150">
        <f t="shared" si="67"/>
        <v>4.8874080403329243</v>
      </c>
      <c r="L42" s="150">
        <f t="shared" si="67"/>
        <v>4.8874080403329243</v>
      </c>
      <c r="M42" s="150">
        <f t="shared" si="67"/>
        <v>4.8874080403329243</v>
      </c>
      <c r="N42" s="150">
        <f t="shared" si="67"/>
        <v>4.8874080403329243</v>
      </c>
      <c r="O42" s="150">
        <f t="shared" si="67"/>
        <v>4.8308681003329239</v>
      </c>
      <c r="P42" s="150">
        <f t="shared" si="67"/>
        <v>4.6971982203329237</v>
      </c>
      <c r="Q42" s="150">
        <f t="shared" si="67"/>
        <v>4.5798683403329239</v>
      </c>
      <c r="R42" s="150">
        <f t="shared" si="67"/>
        <v>4.5430542403329239</v>
      </c>
      <c r="S42" s="150">
        <f t="shared" si="67"/>
        <v>4.5430542403329239</v>
      </c>
      <c r="T42" s="150">
        <f t="shared" si="67"/>
        <v>4.5430542403329239</v>
      </c>
      <c r="U42" s="150">
        <f t="shared" si="67"/>
        <v>4.5430542403329239</v>
      </c>
      <c r="V42" s="150">
        <f t="shared" si="67"/>
        <v>4.5430542403329239</v>
      </c>
      <c r="W42" s="150">
        <f t="shared" si="67"/>
        <v>0</v>
      </c>
      <c r="X42" s="150">
        <f t="shared" si="67"/>
        <v>0</v>
      </c>
    </row>
    <row r="44" spans="1:24">
      <c r="B44" t="s">
        <v>226</v>
      </c>
      <c r="C44" s="4" t="s">
        <v>49</v>
      </c>
      <c r="D44" s="36" t="s">
        <v>212</v>
      </c>
      <c r="E44" s="69">
        <f>3.5/6</f>
        <v>0.58333333333333337</v>
      </c>
      <c r="F44" s="69">
        <f t="shared" ref="F44:J44" si="68">3.5/6</f>
        <v>0.58333333333333337</v>
      </c>
      <c r="G44" s="69">
        <f t="shared" si="68"/>
        <v>0.58333333333333337</v>
      </c>
      <c r="H44" s="69">
        <f t="shared" si="68"/>
        <v>0.58333333333333337</v>
      </c>
      <c r="I44" s="69">
        <f t="shared" si="68"/>
        <v>0.58333333333333337</v>
      </c>
      <c r="J44" s="69">
        <f t="shared" si="68"/>
        <v>0.58333333333333337</v>
      </c>
      <c r="K44" s="69"/>
      <c r="L44" s="69"/>
      <c r="M44" s="69"/>
      <c r="N44" s="69"/>
      <c r="O44" s="69"/>
      <c r="P44" s="69"/>
      <c r="Q44" s="69"/>
      <c r="R44" s="69"/>
      <c r="S44" s="69"/>
    </row>
    <row r="45" spans="1:24">
      <c r="B45" t="s">
        <v>227</v>
      </c>
      <c r="C45" s="4" t="s">
        <v>49</v>
      </c>
      <c r="D45" s="36" t="s">
        <v>212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</row>
    <row r="46" spans="1:24">
      <c r="B46" t="s">
        <v>228</v>
      </c>
      <c r="C46" s="4" t="s">
        <v>49</v>
      </c>
      <c r="D46" s="36" t="s">
        <v>212</v>
      </c>
      <c r="E46" s="69">
        <f>2.8/6</f>
        <v>0.46666666666666662</v>
      </c>
      <c r="F46" s="69">
        <f t="shared" ref="F46:J46" si="69">2.8/6</f>
        <v>0.46666666666666662</v>
      </c>
      <c r="G46" s="69">
        <f t="shared" si="69"/>
        <v>0.46666666666666662</v>
      </c>
      <c r="H46" s="69">
        <f t="shared" si="69"/>
        <v>0.46666666666666662</v>
      </c>
      <c r="I46" s="69">
        <f t="shared" si="69"/>
        <v>0.46666666666666662</v>
      </c>
      <c r="J46" s="69">
        <f t="shared" si="69"/>
        <v>0.46666666666666662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</row>
    <row r="47" spans="1:24">
      <c r="B47" t="s">
        <v>229</v>
      </c>
      <c r="C47" s="4" t="s">
        <v>49</v>
      </c>
      <c r="D47" s="36" t="s">
        <v>212</v>
      </c>
      <c r="E47" s="69">
        <f>1.3/6</f>
        <v>0.21666666666666667</v>
      </c>
      <c r="F47" s="69">
        <f t="shared" ref="F47:J47" si="70">1.3/6</f>
        <v>0.21666666666666667</v>
      </c>
      <c r="G47" s="69">
        <f t="shared" si="70"/>
        <v>0.21666666666666667</v>
      </c>
      <c r="H47" s="69">
        <f t="shared" si="70"/>
        <v>0.21666666666666667</v>
      </c>
      <c r="I47" s="69">
        <f t="shared" si="70"/>
        <v>0.21666666666666667</v>
      </c>
      <c r="J47" s="69">
        <f t="shared" si="70"/>
        <v>0.21666666666666667</v>
      </c>
      <c r="K47" s="69">
        <v>0</v>
      </c>
      <c r="L47" s="69">
        <f t="shared" ref="L47:S47" si="71">K47</f>
        <v>0</v>
      </c>
      <c r="M47" s="69">
        <f t="shared" si="71"/>
        <v>0</v>
      </c>
      <c r="N47" s="69">
        <f t="shared" si="71"/>
        <v>0</v>
      </c>
      <c r="O47" s="69">
        <f t="shared" si="71"/>
        <v>0</v>
      </c>
      <c r="P47" s="69">
        <f t="shared" si="71"/>
        <v>0</v>
      </c>
      <c r="Q47" s="69">
        <f t="shared" si="71"/>
        <v>0</v>
      </c>
      <c r="R47" s="69">
        <f t="shared" si="71"/>
        <v>0</v>
      </c>
      <c r="S47" s="69">
        <f t="shared" si="71"/>
        <v>0</v>
      </c>
      <c r="T47" s="69">
        <f t="shared" ref="T47" si="72">S47</f>
        <v>0</v>
      </c>
      <c r="U47" s="69">
        <f t="shared" ref="U47" si="73">T47</f>
        <v>0</v>
      </c>
      <c r="V47" s="69">
        <f t="shared" ref="V47" si="74">U47</f>
        <v>0</v>
      </c>
      <c r="W47" s="69">
        <f t="shared" ref="W47" si="75">V47</f>
        <v>0</v>
      </c>
      <c r="X47" s="69">
        <f t="shared" ref="X47" si="76">W47</f>
        <v>0</v>
      </c>
    </row>
    <row r="48" spans="1:24">
      <c r="B48" t="s">
        <v>621</v>
      </c>
      <c r="C48" s="400" t="s">
        <v>49</v>
      </c>
      <c r="D48" s="36" t="s">
        <v>212</v>
      </c>
      <c r="E48" s="69">
        <v>8.2000000000000003E-2</v>
      </c>
      <c r="F48" s="69">
        <v>0.13900000000000001</v>
      </c>
      <c r="G48" s="69">
        <v>0.30299999999999999</v>
      </c>
      <c r="H48" s="69">
        <v>0.27600000000000002</v>
      </c>
      <c r="I48" s="69">
        <v>0</v>
      </c>
      <c r="J48" s="69">
        <v>0</v>
      </c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</row>
    <row r="49" spans="1:24">
      <c r="B49" s="148" t="s">
        <v>230</v>
      </c>
      <c r="C49" s="151" t="s">
        <v>49</v>
      </c>
      <c r="D49" s="149" t="s">
        <v>212</v>
      </c>
      <c r="E49" s="150">
        <f>SUM(E44:E48)</f>
        <v>1.3486666666666667</v>
      </c>
      <c r="F49" s="150">
        <f t="shared" ref="F49:X49" si="77">SUM(F44:F48)</f>
        <v>1.4056666666666666</v>
      </c>
      <c r="G49" s="150">
        <f t="shared" si="77"/>
        <v>1.5696666666666665</v>
      </c>
      <c r="H49" s="150">
        <f t="shared" si="77"/>
        <v>1.5426666666666666</v>
      </c>
      <c r="I49" s="150">
        <f t="shared" si="77"/>
        <v>1.2666666666666666</v>
      </c>
      <c r="J49" s="150">
        <f t="shared" si="77"/>
        <v>1.2666666666666666</v>
      </c>
      <c r="K49" s="150">
        <f t="shared" si="77"/>
        <v>0</v>
      </c>
      <c r="L49" s="150">
        <f t="shared" si="77"/>
        <v>0</v>
      </c>
      <c r="M49" s="150">
        <f t="shared" si="77"/>
        <v>0</v>
      </c>
      <c r="N49" s="150">
        <f t="shared" si="77"/>
        <v>0</v>
      </c>
      <c r="O49" s="150">
        <f t="shared" si="77"/>
        <v>0</v>
      </c>
      <c r="P49" s="150">
        <f t="shared" si="77"/>
        <v>0</v>
      </c>
      <c r="Q49" s="150">
        <f t="shared" si="77"/>
        <v>0</v>
      </c>
      <c r="R49" s="150">
        <f t="shared" si="77"/>
        <v>0</v>
      </c>
      <c r="S49" s="150">
        <f t="shared" si="77"/>
        <v>0</v>
      </c>
      <c r="T49" s="150">
        <f t="shared" si="77"/>
        <v>0</v>
      </c>
      <c r="U49" s="150">
        <f t="shared" si="77"/>
        <v>0</v>
      </c>
      <c r="V49" s="150">
        <f t="shared" si="77"/>
        <v>0</v>
      </c>
      <c r="W49" s="150">
        <f t="shared" si="77"/>
        <v>0</v>
      </c>
      <c r="X49" s="150">
        <f t="shared" si="77"/>
        <v>0</v>
      </c>
    </row>
    <row r="51" spans="1:24">
      <c r="B51" t="s">
        <v>231</v>
      </c>
      <c r="C51" s="4" t="s">
        <v>49</v>
      </c>
      <c r="D51" s="36" t="s">
        <v>212</v>
      </c>
      <c r="E51" s="69">
        <f>E42-E49</f>
        <v>-1.7254242706666667</v>
      </c>
      <c r="F51" s="69">
        <f t="shared" ref="F51:S51" si="78">F42-F49</f>
        <v>-3.3057707066666664</v>
      </c>
      <c r="G51" s="69">
        <f t="shared" si="78"/>
        <v>-7.1198670986666661</v>
      </c>
      <c r="H51" s="69">
        <f t="shared" si="78"/>
        <v>-0.52220462388902544</v>
      </c>
      <c r="I51" s="69">
        <f t="shared" si="78"/>
        <v>1.9369646468886157</v>
      </c>
      <c r="J51" s="69">
        <f t="shared" si="78"/>
        <v>3.6137538736662576</v>
      </c>
      <c r="K51" s="69">
        <f t="shared" si="78"/>
        <v>4.8874080403329243</v>
      </c>
      <c r="L51" s="69">
        <f t="shared" si="78"/>
        <v>4.8874080403329243</v>
      </c>
      <c r="M51" s="69">
        <f t="shared" si="78"/>
        <v>4.8874080403329243</v>
      </c>
      <c r="N51" s="69">
        <f t="shared" si="78"/>
        <v>4.8874080403329243</v>
      </c>
      <c r="O51" s="69">
        <f t="shared" si="78"/>
        <v>4.8308681003329239</v>
      </c>
      <c r="P51" s="69">
        <f t="shared" si="78"/>
        <v>4.6971982203329237</v>
      </c>
      <c r="Q51" s="69">
        <f t="shared" si="78"/>
        <v>4.5798683403329239</v>
      </c>
      <c r="R51" s="69">
        <f t="shared" si="78"/>
        <v>4.5430542403329239</v>
      </c>
      <c r="S51" s="69">
        <f t="shared" si="78"/>
        <v>4.5430542403329239</v>
      </c>
      <c r="T51" s="69">
        <f t="shared" ref="T51:X51" si="79">T42-T49</f>
        <v>4.5430542403329239</v>
      </c>
      <c r="U51" s="69">
        <f t="shared" si="79"/>
        <v>4.5430542403329239</v>
      </c>
      <c r="V51" s="69">
        <f t="shared" si="79"/>
        <v>4.5430542403329239</v>
      </c>
      <c r="W51" s="69">
        <f t="shared" si="79"/>
        <v>0</v>
      </c>
      <c r="X51" s="69">
        <f t="shared" si="79"/>
        <v>0</v>
      </c>
    </row>
    <row r="52" spans="1:24" ht="15.75" thickBot="1"/>
    <row r="53" spans="1:24">
      <c r="C53" s="411" t="s">
        <v>521</v>
      </c>
      <c r="D53" s="167" t="s">
        <v>95</v>
      </c>
      <c r="E53" s="168">
        <f>IRR(E51:X51)</f>
        <v>0.22039333847503295</v>
      </c>
    </row>
    <row r="54" spans="1:24" ht="15.75" thickBot="1">
      <c r="C54" s="412"/>
      <c r="D54" s="169" t="s">
        <v>232</v>
      </c>
      <c r="E54" s="170">
        <f>NPV(0.06,E51:X51)</f>
        <v>20.970845836054718</v>
      </c>
    </row>
    <row r="57" spans="1:24">
      <c r="B57" s="16" t="str">
        <f t="shared" ref="B57:S57" si="80">B51</f>
        <v>Total net add. Benefits</v>
      </c>
      <c r="C57" s="16" t="str">
        <f t="shared" si="80"/>
        <v>Total</v>
      </c>
      <c r="D57" s="36" t="str">
        <f t="shared" si="80"/>
        <v>(US$ million)</v>
      </c>
      <c r="E57" s="72">
        <f t="shared" si="80"/>
        <v>-1.7254242706666667</v>
      </c>
      <c r="F57" s="72">
        <f t="shared" si="80"/>
        <v>-3.3057707066666664</v>
      </c>
      <c r="G57" s="72">
        <f t="shared" si="80"/>
        <v>-7.1198670986666661</v>
      </c>
      <c r="H57" s="72">
        <f t="shared" si="80"/>
        <v>-0.52220462388902544</v>
      </c>
      <c r="I57" s="72">
        <f t="shared" si="80"/>
        <v>1.9369646468886157</v>
      </c>
      <c r="J57" s="72">
        <f t="shared" si="80"/>
        <v>3.6137538736662576</v>
      </c>
      <c r="K57" s="72">
        <f t="shared" si="80"/>
        <v>4.8874080403329243</v>
      </c>
      <c r="L57" s="72">
        <f t="shared" si="80"/>
        <v>4.8874080403329243</v>
      </c>
      <c r="M57" s="72">
        <f t="shared" si="80"/>
        <v>4.8874080403329243</v>
      </c>
      <c r="N57" s="72">
        <f t="shared" si="80"/>
        <v>4.8874080403329243</v>
      </c>
      <c r="O57" s="72">
        <f t="shared" si="80"/>
        <v>4.8308681003329239</v>
      </c>
      <c r="P57" s="72">
        <f t="shared" si="80"/>
        <v>4.6971982203329237</v>
      </c>
      <c r="Q57" s="72">
        <f t="shared" si="80"/>
        <v>4.5798683403329239</v>
      </c>
      <c r="R57" s="72">
        <f t="shared" si="80"/>
        <v>4.5430542403329239</v>
      </c>
      <c r="S57" s="72">
        <f t="shared" si="80"/>
        <v>4.5430542403329239</v>
      </c>
      <c r="T57" s="72">
        <f t="shared" ref="T57:X57" si="81">T51</f>
        <v>4.5430542403329239</v>
      </c>
      <c r="U57" s="72">
        <f t="shared" si="81"/>
        <v>4.5430542403329239</v>
      </c>
      <c r="V57" s="72">
        <f t="shared" si="81"/>
        <v>4.5430542403329239</v>
      </c>
      <c r="W57" s="72">
        <f t="shared" si="81"/>
        <v>0</v>
      </c>
      <c r="X57" s="72">
        <f t="shared" si="81"/>
        <v>0</v>
      </c>
    </row>
    <row r="58" spans="1:24">
      <c r="B58" s="16" t="s">
        <v>491</v>
      </c>
      <c r="C58" s="16" t="s">
        <v>49</v>
      </c>
      <c r="D58" s="36" t="s">
        <v>212</v>
      </c>
      <c r="E58" s="72">
        <f>'GHG Reduction Output 1.1'!E61/1000000</f>
        <v>8.41833193784218E-2</v>
      </c>
      <c r="F58" s="72">
        <f>'GHG Reduction Output 1.1'!F61/1000000</f>
        <v>0.17237536825105418</v>
      </c>
      <c r="G58" s="72">
        <f>'GHG Reduction Output 1.1'!G61/1000000</f>
        <v>0.26457614661789708</v>
      </c>
      <c r="H58" s="72">
        <f>'GHG Reduction Output 1.1'!H61/1000000</f>
        <v>0.36078565447895056</v>
      </c>
      <c r="I58" s="72">
        <f>'GHG Reduction Output 1.1'!I61/1000000</f>
        <v>0.4610038918342147</v>
      </c>
      <c r="J58" s="72">
        <f>'GHG Reduction Output 1.1'!J61/1000000</f>
        <v>0.56523085868368927</v>
      </c>
      <c r="K58" s="72">
        <f>'GHG Reduction Output 1.1'!K61/1000000</f>
        <v>0.67346655502737451</v>
      </c>
      <c r="L58" s="72">
        <f>'GHG Reduction Output 1.1'!L61/1000000</f>
        <v>0.68749710825711152</v>
      </c>
      <c r="M58" s="72">
        <f>'GHG Reduction Output 1.1'!M61/1000000</f>
        <v>0.70152766148684853</v>
      </c>
      <c r="N58" s="72">
        <f>'GHG Reduction Output 1.1'!N61/1000000</f>
        <v>0.71555821471658543</v>
      </c>
      <c r="O58" s="72">
        <f>'GHG Reduction Output 1.1'!O61/1000000</f>
        <v>0.72958876794632244</v>
      </c>
      <c r="P58" s="72">
        <f>'GHG Reduction Output 1.1'!P61/1000000</f>
        <v>0.74361932117605944</v>
      </c>
      <c r="Q58" s="72">
        <f>'GHG Reduction Output 1.1'!Q61/1000000</f>
        <v>0.77168042763553335</v>
      </c>
      <c r="R58" s="72">
        <f>'GHG Reduction Output 1.1'!R61/1000000</f>
        <v>0.78571098086527036</v>
      </c>
      <c r="S58" s="72">
        <f>'GHG Reduction Output 1.1'!S61/1000000</f>
        <v>0.79974153409500737</v>
      </c>
      <c r="T58" s="72">
        <f>'GHG Reduction Output 1.1'!T61/1000000</f>
        <v>0.81377208732474415</v>
      </c>
      <c r="U58" s="72">
        <f>'GHG Reduction Output 1.1'!U61/1000000</f>
        <v>0.84183319378421817</v>
      </c>
      <c r="V58" s="72">
        <f>'GHG Reduction Output 1.1'!V61/1000000</f>
        <v>0.85586374701395518</v>
      </c>
      <c r="W58" s="72">
        <f>'GHG Reduction Output 1.1'!W61/1000000</f>
        <v>0.88392485347342908</v>
      </c>
      <c r="X58" s="72">
        <f>'GHG Reduction Output 1.1'!X61/1000000</f>
        <v>0.89795540670316609</v>
      </c>
    </row>
    <row r="59" spans="1:24">
      <c r="B59" s="16" t="s">
        <v>492</v>
      </c>
      <c r="C59" s="16" t="s">
        <v>49</v>
      </c>
      <c r="D59" s="36" t="s">
        <v>212</v>
      </c>
      <c r="E59" s="72">
        <f>'GHG Reduction Output 1.1'!E62/1000000</f>
        <v>0.1683666387568436</v>
      </c>
      <c r="F59" s="72">
        <f>'GHG Reduction Output 1.1'!F62/1000000</f>
        <v>0.34475073650210836</v>
      </c>
      <c r="G59" s="72">
        <f>'GHG Reduction Output 1.1'!G62/1000000</f>
        <v>0.52313919899447836</v>
      </c>
      <c r="H59" s="72">
        <f>'GHG Reduction Output 1.1'!H62/1000000</f>
        <v>0.7135538499694799</v>
      </c>
      <c r="I59" s="72">
        <f>'GHG Reduction Output 1.1'!I62/1000000</f>
        <v>0.91198595993290299</v>
      </c>
      <c r="J59" s="72">
        <f>'GHG Reduction Output 1.1'!J62/1000000</f>
        <v>1.1304617173673785</v>
      </c>
      <c r="K59" s="72">
        <f>'GHG Reduction Output 1.1'!K62/1000000</f>
        <v>1.346933110054749</v>
      </c>
      <c r="L59" s="72">
        <f>'GHG Reduction Output 1.1'!L62/1000000</f>
        <v>1.374994216514223</v>
      </c>
      <c r="M59" s="72">
        <f>'GHG Reduction Output 1.1'!M62/1000000</f>
        <v>1.4030553229736971</v>
      </c>
      <c r="N59" s="72">
        <f>'GHG Reduction Output 1.1'!N62/1000000</f>
        <v>1.4311164294331709</v>
      </c>
      <c r="O59" s="72">
        <f>'GHG Reduction Output 1.1'!O62/1000000</f>
        <v>1.4732080891223818</v>
      </c>
      <c r="P59" s="72">
        <f>'GHG Reduction Output 1.1'!P62/1000000</f>
        <v>1.5012691955818558</v>
      </c>
      <c r="Q59" s="72">
        <f>'GHG Reduction Output 1.1'!Q62/1000000</f>
        <v>1.5293303020413296</v>
      </c>
      <c r="R59" s="72">
        <f>'GHG Reduction Output 1.1'!R62/1000000</f>
        <v>1.5714219617305407</v>
      </c>
      <c r="S59" s="72">
        <f>'GHG Reduction Output 1.1'!S62/1000000</f>
        <v>1.5994830681900147</v>
      </c>
      <c r="T59" s="72">
        <f>'GHG Reduction Output 1.1'!T62/1000000</f>
        <v>1.6415747278792254</v>
      </c>
      <c r="U59" s="72">
        <f>'GHG Reduction Output 1.1'!U62/1000000</f>
        <v>1.6836663875684363</v>
      </c>
      <c r="V59" s="72">
        <f>'GHG Reduction Output 1.1'!V62/1000000</f>
        <v>1.7257580472576475</v>
      </c>
      <c r="W59" s="72">
        <f>'GHG Reduction Output 1.1'!W62/1000000</f>
        <v>1.7538191537171213</v>
      </c>
      <c r="X59" s="72">
        <f>'GHG Reduction Output 1.1'!X62/1000000</f>
        <v>1.7959108134063322</v>
      </c>
    </row>
    <row r="61" spans="1:24">
      <c r="A61" s="410" t="s">
        <v>231</v>
      </c>
      <c r="B61" s="16" t="s">
        <v>491</v>
      </c>
      <c r="C61" s="16" t="s">
        <v>49</v>
      </c>
      <c r="D61" s="36" t="s">
        <v>212</v>
      </c>
      <c r="E61" s="72">
        <f>E57+E58</f>
        <v>-1.6412409512882449</v>
      </c>
      <c r="F61" s="72">
        <f t="shared" ref="F61:S61" si="82">F57+F58</f>
        <v>-3.1333953384156121</v>
      </c>
      <c r="G61" s="72">
        <f t="shared" si="82"/>
        <v>-6.8552909520487688</v>
      </c>
      <c r="H61" s="72">
        <f t="shared" si="82"/>
        <v>-0.16141896941007489</v>
      </c>
      <c r="I61" s="72">
        <f t="shared" si="82"/>
        <v>2.3979685387228304</v>
      </c>
      <c r="J61" s="72">
        <f t="shared" si="82"/>
        <v>4.1789847323499467</v>
      </c>
      <c r="K61" s="72">
        <f t="shared" si="82"/>
        <v>5.5608745953602989</v>
      </c>
      <c r="L61" s="72">
        <f t="shared" si="82"/>
        <v>5.5749051485900356</v>
      </c>
      <c r="M61" s="72">
        <f t="shared" si="82"/>
        <v>5.5889357018197732</v>
      </c>
      <c r="N61" s="72">
        <f t="shared" si="82"/>
        <v>5.6029662550495098</v>
      </c>
      <c r="O61" s="72">
        <f t="shared" si="82"/>
        <v>5.5604568682792461</v>
      </c>
      <c r="P61" s="72">
        <f t="shared" si="82"/>
        <v>5.4408175415089834</v>
      </c>
      <c r="Q61" s="72">
        <f t="shared" si="82"/>
        <v>5.351548767968457</v>
      </c>
      <c r="R61" s="72">
        <f t="shared" si="82"/>
        <v>5.3287652211981946</v>
      </c>
      <c r="S61" s="72">
        <f t="shared" si="82"/>
        <v>5.3427957744279313</v>
      </c>
      <c r="T61" s="72">
        <f t="shared" ref="T61:X61" si="83">T57+T58</f>
        <v>5.356826327657668</v>
      </c>
      <c r="U61" s="72">
        <f t="shared" si="83"/>
        <v>5.3848874341171422</v>
      </c>
      <c r="V61" s="72">
        <f t="shared" si="83"/>
        <v>5.3989179873468789</v>
      </c>
      <c r="W61" s="72">
        <f t="shared" si="83"/>
        <v>0.88392485347342908</v>
      </c>
      <c r="X61" s="72">
        <f t="shared" si="83"/>
        <v>0.89795540670316609</v>
      </c>
    </row>
    <row r="62" spans="1:24">
      <c r="A62" s="410"/>
      <c r="B62" s="16" t="s">
        <v>492</v>
      </c>
      <c r="C62" s="16" t="s">
        <v>49</v>
      </c>
      <c r="D62" s="36" t="s">
        <v>212</v>
      </c>
      <c r="E62" s="72">
        <f>E59+E57</f>
        <v>-1.557057631909823</v>
      </c>
      <c r="F62" s="72">
        <f t="shared" ref="F62:S62" si="84">F59+F57</f>
        <v>-2.9610199701645579</v>
      </c>
      <c r="G62" s="72">
        <f t="shared" si="84"/>
        <v>-6.5967278996721879</v>
      </c>
      <c r="H62" s="72">
        <f t="shared" si="84"/>
        <v>0.19134922608045446</v>
      </c>
      <c r="I62" s="72">
        <f t="shared" si="84"/>
        <v>2.8489506068215187</v>
      </c>
      <c r="J62" s="72">
        <f t="shared" si="84"/>
        <v>4.7442155910336359</v>
      </c>
      <c r="K62" s="72">
        <f t="shared" si="84"/>
        <v>6.2343411503876736</v>
      </c>
      <c r="L62" s="72">
        <f t="shared" si="84"/>
        <v>6.2624022568471478</v>
      </c>
      <c r="M62" s="72">
        <f t="shared" si="84"/>
        <v>6.2904633633066211</v>
      </c>
      <c r="N62" s="72">
        <f t="shared" si="84"/>
        <v>6.3185244697660954</v>
      </c>
      <c r="O62" s="72">
        <f t="shared" si="84"/>
        <v>6.3040761894553059</v>
      </c>
      <c r="P62" s="72">
        <f t="shared" si="84"/>
        <v>6.198467415914779</v>
      </c>
      <c r="Q62" s="72">
        <f t="shared" si="84"/>
        <v>6.1091986423742535</v>
      </c>
      <c r="R62" s="72">
        <f t="shared" si="84"/>
        <v>6.1144762020634644</v>
      </c>
      <c r="S62" s="72">
        <f t="shared" si="84"/>
        <v>6.1425373085229387</v>
      </c>
      <c r="T62" s="72">
        <f t="shared" ref="T62:X62" si="85">T59+T57</f>
        <v>6.1846289682121496</v>
      </c>
      <c r="U62" s="72">
        <f t="shared" si="85"/>
        <v>6.2267206279013605</v>
      </c>
      <c r="V62" s="72">
        <f t="shared" si="85"/>
        <v>6.2688122875905714</v>
      </c>
      <c r="W62" s="72">
        <f t="shared" si="85"/>
        <v>1.7538191537171213</v>
      </c>
      <c r="X62" s="72">
        <f t="shared" si="85"/>
        <v>1.7959108134063322</v>
      </c>
    </row>
    <row r="63" spans="1:24" ht="15.75" thickBot="1"/>
    <row r="64" spans="1:24">
      <c r="C64" s="411" t="s">
        <v>522</v>
      </c>
      <c r="D64" s="167" t="s">
        <v>95</v>
      </c>
      <c r="E64" s="168">
        <f>IRR(E61:X61)</f>
        <v>0.26080007321016807</v>
      </c>
    </row>
    <row r="65" spans="3:11" ht="15.75" thickBot="1">
      <c r="C65" s="412"/>
      <c r="D65" s="169" t="s">
        <v>232</v>
      </c>
      <c r="E65" s="170">
        <f>NPV(0.06,E61:X61)</f>
        <v>27.450446508545319</v>
      </c>
    </row>
    <row r="66" spans="3:11" ht="15.75" thickBot="1"/>
    <row r="67" spans="3:11">
      <c r="C67" s="411" t="s">
        <v>523</v>
      </c>
      <c r="D67" s="167" t="s">
        <v>95</v>
      </c>
      <c r="E67" s="168">
        <f>IRR(E62:X62)</f>
        <v>0.30050817295668986</v>
      </c>
    </row>
    <row r="68" spans="3:11" ht="15.75" thickBot="1">
      <c r="C68" s="412"/>
      <c r="D68" s="169" t="s">
        <v>232</v>
      </c>
      <c r="E68" s="170">
        <f>NPV(0.06,E62:X62)</f>
        <v>33.924746119634598</v>
      </c>
    </row>
    <row r="70" spans="3:11" ht="15.75" thickBot="1">
      <c r="C70" s="152"/>
      <c r="D70" s="153"/>
      <c r="E70" s="152"/>
      <c r="F70" s="152"/>
      <c r="G70" s="152"/>
      <c r="H70" s="152"/>
      <c r="I70" s="152"/>
      <c r="J70" s="152"/>
      <c r="K70" s="152"/>
    </row>
    <row r="71" spans="3:11">
      <c r="C71" s="152"/>
      <c r="D71" s="424"/>
      <c r="E71" s="418" t="str">
        <f>C53</f>
        <v>Base scenario without env. externalities</v>
      </c>
      <c r="F71" s="419"/>
      <c r="G71" s="419" t="str">
        <f>C64</f>
        <v>Low env. externalities valuation</v>
      </c>
      <c r="H71" s="419"/>
      <c r="I71" s="419" t="str">
        <f>C67</f>
        <v>High env. externalities valuation</v>
      </c>
      <c r="J71" s="422"/>
      <c r="K71" s="152"/>
    </row>
    <row r="72" spans="3:11" ht="15.75" thickBot="1">
      <c r="C72" s="152"/>
      <c r="D72" s="425"/>
      <c r="E72" s="420"/>
      <c r="F72" s="421"/>
      <c r="G72" s="421"/>
      <c r="H72" s="421"/>
      <c r="I72" s="421"/>
      <c r="J72" s="423"/>
      <c r="K72" s="152"/>
    </row>
    <row r="73" spans="3:11">
      <c r="C73" s="152"/>
      <c r="D73" s="289" t="s">
        <v>95</v>
      </c>
      <c r="E73" s="426">
        <f>E53</f>
        <v>0.22039333847503295</v>
      </c>
      <c r="F73" s="415"/>
      <c r="G73" s="415">
        <f>E64</f>
        <v>0.26080007321016807</v>
      </c>
      <c r="H73" s="415"/>
      <c r="I73" s="415">
        <f>E67</f>
        <v>0.30050817295668986</v>
      </c>
      <c r="J73" s="416"/>
      <c r="K73" s="152"/>
    </row>
    <row r="74" spans="3:11" ht="15.75" thickBot="1">
      <c r="C74" s="152"/>
      <c r="D74" s="290" t="s">
        <v>232</v>
      </c>
      <c r="E74" s="413">
        <f>E54</f>
        <v>20.970845836054718</v>
      </c>
      <c r="F74" s="414"/>
      <c r="G74" s="414">
        <f>E65</f>
        <v>27.450446508545319</v>
      </c>
      <c r="H74" s="414"/>
      <c r="I74" s="414">
        <f>E68</f>
        <v>33.924746119634598</v>
      </c>
      <c r="J74" s="417"/>
      <c r="K74" s="152"/>
    </row>
    <row r="75" spans="3:11">
      <c r="C75" s="152"/>
      <c r="D75" s="153"/>
      <c r="E75" s="152"/>
      <c r="F75" s="152"/>
      <c r="G75" s="152"/>
      <c r="H75" s="152"/>
      <c r="I75" s="152"/>
      <c r="J75" s="152"/>
      <c r="K75" s="152"/>
    </row>
  </sheetData>
  <mergeCells count="16">
    <mergeCell ref="E71:F72"/>
    <mergeCell ref="G71:H72"/>
    <mergeCell ref="I71:J72"/>
    <mergeCell ref="D71:D72"/>
    <mergeCell ref="E73:F73"/>
    <mergeCell ref="E74:F74"/>
    <mergeCell ref="G73:H73"/>
    <mergeCell ref="G74:H74"/>
    <mergeCell ref="I73:J73"/>
    <mergeCell ref="I74:J74"/>
    <mergeCell ref="A4:B6"/>
    <mergeCell ref="A8:A37"/>
    <mergeCell ref="A61:A62"/>
    <mergeCell ref="C64:C65"/>
    <mergeCell ref="C67:C68"/>
    <mergeCell ref="C53:C54"/>
  </mergeCells>
  <phoneticPr fontId="3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V61"/>
  <sheetViews>
    <sheetView zoomScale="110" zoomScaleNormal="110" workbookViewId="0"/>
  </sheetViews>
  <sheetFormatPr defaultColWidth="8.7109375" defaultRowHeight="15"/>
  <cols>
    <col min="2" max="2" width="16.140625" bestFit="1" customWidth="1"/>
    <col min="3" max="3" width="53.140625" bestFit="1" customWidth="1"/>
    <col min="4" max="4" width="16.42578125" style="4" bestFit="1" customWidth="1"/>
    <col min="5" max="7" width="12.7109375" style="4" bestFit="1" customWidth="1"/>
    <col min="8" max="14" width="9.140625" style="4"/>
  </cols>
  <sheetData>
    <row r="1" spans="1:22">
      <c r="A1" s="145" t="s">
        <v>527</v>
      </c>
    </row>
    <row r="2" spans="1:22">
      <c r="B2" s="1" t="s">
        <v>128</v>
      </c>
      <c r="D2" s="144" t="s">
        <v>525</v>
      </c>
      <c r="E2" s="295">
        <v>1000000</v>
      </c>
      <c r="F2" s="295">
        <v>1500000</v>
      </c>
      <c r="G2" s="295">
        <v>2000000</v>
      </c>
      <c r="Q2" t="s">
        <v>493</v>
      </c>
      <c r="S2" s="35">
        <f>E25</f>
        <v>750</v>
      </c>
    </row>
    <row r="3" spans="1:22">
      <c r="B3" s="1"/>
      <c r="E3" s="296">
        <f>+E2/300</f>
        <v>3333.3333333333335</v>
      </c>
      <c r="F3" s="296">
        <f t="shared" ref="F3:G3" si="0">+F2/300</f>
        <v>5000</v>
      </c>
      <c r="G3" s="296">
        <f t="shared" si="0"/>
        <v>6666.666666666667</v>
      </c>
      <c r="Q3" t="s">
        <v>494</v>
      </c>
    </row>
    <row r="4" spans="1:22">
      <c r="D4" s="36"/>
      <c r="E4" s="36" t="s">
        <v>70</v>
      </c>
      <c r="F4" s="36" t="s">
        <v>71</v>
      </c>
      <c r="G4" s="36" t="s">
        <v>72</v>
      </c>
      <c r="H4" s="36" t="s">
        <v>73</v>
      </c>
      <c r="I4" s="36" t="s">
        <v>74</v>
      </c>
      <c r="J4" s="36" t="s">
        <v>75</v>
      </c>
      <c r="K4" s="36" t="s">
        <v>76</v>
      </c>
      <c r="L4" s="36" t="s">
        <v>77</v>
      </c>
      <c r="M4" s="36" t="s">
        <v>78</v>
      </c>
      <c r="N4" s="36" t="s">
        <v>79</v>
      </c>
      <c r="Q4" s="36" t="s">
        <v>70</v>
      </c>
      <c r="R4" s="36" t="s">
        <v>71</v>
      </c>
      <c r="S4" s="36" t="s">
        <v>72</v>
      </c>
      <c r="T4" s="36" t="s">
        <v>73</v>
      </c>
      <c r="U4" s="36" t="s">
        <v>74</v>
      </c>
    </row>
    <row r="5" spans="1:22">
      <c r="D5" s="8" t="s">
        <v>171</v>
      </c>
      <c r="E5" s="36">
        <v>2</v>
      </c>
      <c r="F5" s="36">
        <v>2</v>
      </c>
      <c r="G5" s="36">
        <v>2</v>
      </c>
      <c r="H5" s="36">
        <v>2</v>
      </c>
      <c r="I5" s="36">
        <v>2</v>
      </c>
      <c r="J5" s="36">
        <v>2</v>
      </c>
      <c r="K5" s="36">
        <v>2</v>
      </c>
      <c r="L5" s="36">
        <v>2</v>
      </c>
      <c r="M5" s="36">
        <v>2</v>
      </c>
      <c r="N5" s="36">
        <v>2</v>
      </c>
      <c r="Q5" s="33">
        <f>SUM(E21:E22)-SUM(E27:E31)</f>
        <v>-114.39999999999986</v>
      </c>
      <c r="R5" s="33">
        <f t="shared" ref="R5:U5" si="1">SUM(F21:F22)-SUM(F27:F31)</f>
        <v>90</v>
      </c>
      <c r="S5" s="33">
        <f t="shared" si="1"/>
        <v>351.80000000000018</v>
      </c>
      <c r="T5" s="33">
        <f t="shared" si="1"/>
        <v>376.80000000000018</v>
      </c>
      <c r="U5" s="33">
        <f t="shared" si="1"/>
        <v>351.80000000000018</v>
      </c>
      <c r="V5" s="35">
        <f>SUM(Q5:U5)</f>
        <v>1056.0000000000007</v>
      </c>
    </row>
    <row r="6" spans="1:22"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22">
      <c r="B7" t="s">
        <v>168</v>
      </c>
      <c r="C7" s="83" t="s">
        <v>193</v>
      </c>
      <c r="D7" s="36" t="s">
        <v>192</v>
      </c>
      <c r="E7" s="171">
        <v>1</v>
      </c>
      <c r="F7" s="171"/>
      <c r="G7" s="171"/>
      <c r="H7" s="171"/>
      <c r="I7" s="171"/>
      <c r="J7" s="171"/>
      <c r="K7" s="171"/>
      <c r="L7" s="171"/>
      <c r="M7" s="171"/>
      <c r="N7" s="171"/>
      <c r="Q7" s="4" t="s">
        <v>495</v>
      </c>
      <c r="R7" s="108" t="s">
        <v>496</v>
      </c>
    </row>
    <row r="8" spans="1:22">
      <c r="D8" s="36"/>
      <c r="E8" s="171"/>
      <c r="F8" s="171"/>
      <c r="G8" s="171"/>
      <c r="H8" s="171"/>
      <c r="I8" s="171"/>
      <c r="J8" s="171"/>
      <c r="K8" s="171"/>
      <c r="L8" s="171"/>
      <c r="M8" s="171"/>
      <c r="N8" s="171"/>
    </row>
    <row r="9" spans="1:22">
      <c r="B9" s="1" t="s">
        <v>169</v>
      </c>
      <c r="C9" s="83" t="s">
        <v>526</v>
      </c>
      <c r="D9" s="293" t="s">
        <v>170</v>
      </c>
      <c r="E9" s="294">
        <v>3300</v>
      </c>
      <c r="F9" s="294">
        <v>5000</v>
      </c>
      <c r="G9" s="294">
        <v>6600</v>
      </c>
      <c r="H9" s="294">
        <f>+G9</f>
        <v>6600</v>
      </c>
      <c r="I9" s="294">
        <f t="shared" ref="I9:N9" si="2">+H9</f>
        <v>6600</v>
      </c>
      <c r="J9" s="294">
        <f t="shared" si="2"/>
        <v>6600</v>
      </c>
      <c r="K9" s="294">
        <f t="shared" si="2"/>
        <v>6600</v>
      </c>
      <c r="L9" s="294">
        <f t="shared" si="2"/>
        <v>6600</v>
      </c>
      <c r="M9" s="294">
        <f t="shared" si="2"/>
        <v>6600</v>
      </c>
      <c r="N9" s="294">
        <f t="shared" si="2"/>
        <v>6600</v>
      </c>
    </row>
    <row r="10" spans="1:22">
      <c r="C10" s="83" t="s">
        <v>134</v>
      </c>
      <c r="D10" s="36" t="s">
        <v>121</v>
      </c>
      <c r="E10" s="171">
        <f>E$9*0.33*1.5/2</f>
        <v>816.75</v>
      </c>
      <c r="F10" s="171">
        <f t="shared" ref="F10:N10" si="3">F$9*0.33*1.5/2</f>
        <v>1237.5</v>
      </c>
      <c r="G10" s="171">
        <f t="shared" si="3"/>
        <v>1633.5</v>
      </c>
      <c r="H10" s="171">
        <f t="shared" si="3"/>
        <v>1633.5</v>
      </c>
      <c r="I10" s="171">
        <f t="shared" si="3"/>
        <v>1633.5</v>
      </c>
      <c r="J10" s="171">
        <f t="shared" si="3"/>
        <v>1633.5</v>
      </c>
      <c r="K10" s="171">
        <f t="shared" si="3"/>
        <v>1633.5</v>
      </c>
      <c r="L10" s="171">
        <f t="shared" si="3"/>
        <v>1633.5</v>
      </c>
      <c r="M10" s="171">
        <f t="shared" si="3"/>
        <v>1633.5</v>
      </c>
      <c r="N10" s="171">
        <f t="shared" si="3"/>
        <v>1633.5</v>
      </c>
      <c r="S10" s="4" t="s">
        <v>190</v>
      </c>
      <c r="T10" s="462" t="s">
        <v>515</v>
      </c>
      <c r="U10" s="463"/>
      <c r="V10" t="s">
        <v>517</v>
      </c>
    </row>
    <row r="11" spans="1:22">
      <c r="C11" s="83" t="s">
        <v>122</v>
      </c>
      <c r="D11" s="36" t="s">
        <v>172</v>
      </c>
      <c r="E11" s="171">
        <v>1</v>
      </c>
      <c r="F11" s="171"/>
      <c r="G11" s="171">
        <v>1</v>
      </c>
      <c r="H11" s="171"/>
      <c r="I11" s="171">
        <v>1</v>
      </c>
      <c r="J11" s="171"/>
      <c r="K11" s="171">
        <v>1</v>
      </c>
      <c r="L11" s="171"/>
      <c r="M11" s="171">
        <v>1</v>
      </c>
      <c r="N11" s="171"/>
      <c r="Q11" s="464" t="s">
        <v>512</v>
      </c>
      <c r="R11" s="464"/>
      <c r="S11" s="286">
        <v>0.26993985312012736</v>
      </c>
      <c r="T11" s="461">
        <v>281.15111657828089</v>
      </c>
      <c r="U11" s="461"/>
      <c r="V11" s="34">
        <v>0.18</v>
      </c>
    </row>
    <row r="12" spans="1:22">
      <c r="C12" s="45" t="s">
        <v>199</v>
      </c>
      <c r="D12" s="36" t="s">
        <v>174</v>
      </c>
      <c r="E12" s="103">
        <v>0.05</v>
      </c>
      <c r="F12" s="103">
        <v>0.05</v>
      </c>
      <c r="G12" s="103">
        <v>0.05</v>
      </c>
      <c r="H12" s="103">
        <v>0.05</v>
      </c>
      <c r="I12" s="103">
        <v>0.05</v>
      </c>
      <c r="J12" s="103">
        <v>0.05</v>
      </c>
      <c r="K12" s="103">
        <v>0.05</v>
      </c>
      <c r="L12" s="103">
        <v>0.05</v>
      </c>
      <c r="M12" s="103">
        <v>0.05</v>
      </c>
      <c r="N12" s="103">
        <v>0.05</v>
      </c>
      <c r="Q12" s="464" t="s">
        <v>519</v>
      </c>
      <c r="R12" s="464"/>
      <c r="S12" s="286">
        <v>6.3771628037600392E-2</v>
      </c>
      <c r="T12" s="461">
        <v>-219</v>
      </c>
      <c r="U12" s="461"/>
      <c r="V12" s="34">
        <v>0.18</v>
      </c>
    </row>
    <row r="13" spans="1:22">
      <c r="C13" s="45" t="s">
        <v>186</v>
      </c>
      <c r="D13" s="36" t="s">
        <v>187</v>
      </c>
      <c r="E13" s="36">
        <f>E$5*15</f>
        <v>30</v>
      </c>
      <c r="F13" s="36">
        <f t="shared" ref="F13:N13" si="4">F$5*15</f>
        <v>30</v>
      </c>
      <c r="G13" s="36">
        <f t="shared" si="4"/>
        <v>30</v>
      </c>
      <c r="H13" s="36">
        <f t="shared" si="4"/>
        <v>30</v>
      </c>
      <c r="I13" s="36">
        <f t="shared" si="4"/>
        <v>30</v>
      </c>
      <c r="J13" s="36">
        <f t="shared" si="4"/>
        <v>30</v>
      </c>
      <c r="K13" s="36">
        <f t="shared" si="4"/>
        <v>30</v>
      </c>
      <c r="L13" s="36">
        <f t="shared" si="4"/>
        <v>30</v>
      </c>
      <c r="M13" s="36">
        <f t="shared" si="4"/>
        <v>30</v>
      </c>
      <c r="N13" s="36">
        <f t="shared" si="4"/>
        <v>30</v>
      </c>
      <c r="Q13" s="464" t="s">
        <v>513</v>
      </c>
      <c r="R13" s="464"/>
      <c r="S13" s="286">
        <v>-0.21356968526512299</v>
      </c>
      <c r="T13" s="461">
        <v>-1032.61217190241</v>
      </c>
      <c r="U13" s="461"/>
      <c r="V13" s="34">
        <v>0.18</v>
      </c>
    </row>
    <row r="14" spans="1:2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Q14" s="464" t="s">
        <v>518</v>
      </c>
      <c r="R14" s="464"/>
      <c r="S14" s="286">
        <v>7.9021376976186275E-2</v>
      </c>
      <c r="T14" s="461">
        <v>-163.33242220693285</v>
      </c>
      <c r="U14" s="461"/>
      <c r="V14" s="34">
        <v>0.18</v>
      </c>
    </row>
    <row r="15" spans="1:22">
      <c r="B15" t="s">
        <v>175</v>
      </c>
      <c r="C15" s="172" t="s">
        <v>206</v>
      </c>
      <c r="D15" s="36" t="s">
        <v>176</v>
      </c>
      <c r="E15" s="36">
        <f>0.65*E9</f>
        <v>2145</v>
      </c>
      <c r="F15" s="36">
        <f>0.7*F9</f>
        <v>3500</v>
      </c>
      <c r="G15" s="36">
        <f>0.75*G9</f>
        <v>4950</v>
      </c>
      <c r="H15" s="36">
        <f>0.75*H9</f>
        <v>4950</v>
      </c>
      <c r="I15" s="36">
        <f t="shared" ref="I15:N15" si="5">0.75*I9</f>
        <v>4950</v>
      </c>
      <c r="J15" s="36">
        <f t="shared" si="5"/>
        <v>4950</v>
      </c>
      <c r="K15" s="36">
        <f t="shared" si="5"/>
        <v>4950</v>
      </c>
      <c r="L15" s="36">
        <f t="shared" si="5"/>
        <v>4950</v>
      </c>
      <c r="M15" s="36">
        <f t="shared" si="5"/>
        <v>4950</v>
      </c>
      <c r="N15" s="36">
        <f t="shared" si="5"/>
        <v>4950</v>
      </c>
      <c r="Q15" s="464" t="s">
        <v>514</v>
      </c>
      <c r="R15" s="464"/>
      <c r="S15" s="286">
        <v>-0.14443720687650763</v>
      </c>
      <c r="T15" s="461">
        <v>-921.02733031682919</v>
      </c>
      <c r="U15" s="461">
        <v>-921.02733031682919</v>
      </c>
      <c r="V15" s="34">
        <v>0.18</v>
      </c>
    </row>
    <row r="16" spans="1:22">
      <c r="C16" s="172" t="s">
        <v>195</v>
      </c>
      <c r="D16" s="36" t="s">
        <v>121</v>
      </c>
      <c r="E16" s="36">
        <f>0.33*E15</f>
        <v>707.85</v>
      </c>
      <c r="F16" s="36">
        <f>0.33*F15</f>
        <v>1155</v>
      </c>
      <c r="G16" s="36">
        <f>0.33*G15</f>
        <v>1633.5</v>
      </c>
      <c r="H16" s="36">
        <f t="shared" ref="H16:N16" si="6">0.33*H15</f>
        <v>1633.5</v>
      </c>
      <c r="I16" s="36">
        <f t="shared" si="6"/>
        <v>1633.5</v>
      </c>
      <c r="J16" s="36">
        <f t="shared" si="6"/>
        <v>1633.5</v>
      </c>
      <c r="K16" s="36">
        <f t="shared" si="6"/>
        <v>1633.5</v>
      </c>
      <c r="L16" s="36">
        <f t="shared" si="6"/>
        <v>1633.5</v>
      </c>
      <c r="M16" s="36">
        <f t="shared" si="6"/>
        <v>1633.5</v>
      </c>
      <c r="N16" s="36">
        <f t="shared" si="6"/>
        <v>1633.5</v>
      </c>
      <c r="O16" s="292">
        <f>+H16*300/1000</f>
        <v>490.05</v>
      </c>
      <c r="Q16" s="464" t="s">
        <v>516</v>
      </c>
      <c r="R16" s="464"/>
      <c r="S16" s="286">
        <v>0.26993985312012736</v>
      </c>
      <c r="T16" s="461">
        <v>203</v>
      </c>
      <c r="U16" s="461"/>
      <c r="V16" s="34">
        <v>0.2</v>
      </c>
    </row>
    <row r="17" spans="2:22">
      <c r="C17" s="45" t="s">
        <v>200</v>
      </c>
      <c r="D17" s="36" t="s">
        <v>174</v>
      </c>
      <c r="E17" s="103">
        <v>2.5000000000000001E-2</v>
      </c>
      <c r="F17" s="103">
        <v>0.05</v>
      </c>
      <c r="G17" s="103">
        <v>7.4999999999999997E-2</v>
      </c>
      <c r="H17" s="103">
        <f>G17</f>
        <v>7.4999999999999997E-2</v>
      </c>
      <c r="I17" s="103">
        <f>H17</f>
        <v>7.4999999999999997E-2</v>
      </c>
      <c r="J17" s="103">
        <f t="shared" ref="J17:N17" si="7">I17</f>
        <v>7.4999999999999997E-2</v>
      </c>
      <c r="K17" s="103">
        <f t="shared" si="7"/>
        <v>7.4999999999999997E-2</v>
      </c>
      <c r="L17" s="103">
        <f t="shared" si="7"/>
        <v>7.4999999999999997E-2</v>
      </c>
      <c r="M17" s="103">
        <f t="shared" si="7"/>
        <v>7.4999999999999997E-2</v>
      </c>
      <c r="N17" s="103">
        <f t="shared" si="7"/>
        <v>7.4999999999999997E-2</v>
      </c>
      <c r="Q17" s="464" t="s">
        <v>516</v>
      </c>
      <c r="R17" s="464"/>
      <c r="S17" s="286">
        <v>0.26993985312012736</v>
      </c>
      <c r="T17" s="461">
        <v>49</v>
      </c>
      <c r="U17" s="461"/>
      <c r="V17" s="34">
        <v>0.25</v>
      </c>
    </row>
    <row r="18" spans="2:22">
      <c r="C18" s="45" t="s">
        <v>498</v>
      </c>
      <c r="D18" s="36" t="s">
        <v>121</v>
      </c>
      <c r="E18" s="36">
        <f>E$5*3000*E17</f>
        <v>150</v>
      </c>
      <c r="F18" s="36">
        <f t="shared" ref="F18:N18" si="8">F$5*3000*F17</f>
        <v>300</v>
      </c>
      <c r="G18" s="36">
        <f t="shared" si="8"/>
        <v>450</v>
      </c>
      <c r="H18" s="36">
        <f t="shared" si="8"/>
        <v>450</v>
      </c>
      <c r="I18" s="36">
        <f t="shared" si="8"/>
        <v>450</v>
      </c>
      <c r="J18" s="36">
        <f t="shared" si="8"/>
        <v>450</v>
      </c>
      <c r="K18" s="36">
        <f t="shared" si="8"/>
        <v>450</v>
      </c>
      <c r="L18" s="36">
        <f t="shared" si="8"/>
        <v>450</v>
      </c>
      <c r="M18" s="36">
        <f t="shared" si="8"/>
        <v>450</v>
      </c>
      <c r="N18" s="36">
        <f t="shared" si="8"/>
        <v>450</v>
      </c>
    </row>
    <row r="19" spans="2:22"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</row>
    <row r="20" spans="2:22">
      <c r="D20" s="16" t="s">
        <v>184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</row>
    <row r="21" spans="2:22">
      <c r="B21" t="s">
        <v>175</v>
      </c>
      <c r="C21" t="s">
        <v>197</v>
      </c>
      <c r="D21" s="36">
        <f>2*Price</f>
        <v>2</v>
      </c>
      <c r="E21" s="171">
        <f>$D21*E16</f>
        <v>1415.7</v>
      </c>
      <c r="F21" s="171">
        <f t="shared" ref="F21:N21" si="9">$D21*F16</f>
        <v>2310</v>
      </c>
      <c r="G21" s="171">
        <f t="shared" si="9"/>
        <v>3267</v>
      </c>
      <c r="H21" s="171">
        <f t="shared" si="9"/>
        <v>3267</v>
      </c>
      <c r="I21" s="171">
        <f t="shared" si="9"/>
        <v>3267</v>
      </c>
      <c r="J21" s="171">
        <f t="shared" si="9"/>
        <v>3267</v>
      </c>
      <c r="K21" s="171">
        <f t="shared" si="9"/>
        <v>3267</v>
      </c>
      <c r="L21" s="171">
        <f t="shared" si="9"/>
        <v>3267</v>
      </c>
      <c r="M21" s="171">
        <f t="shared" si="9"/>
        <v>3267</v>
      </c>
      <c r="N21" s="171">
        <f t="shared" si="9"/>
        <v>3267</v>
      </c>
    </row>
    <row r="22" spans="2:22">
      <c r="C22" t="s">
        <v>198</v>
      </c>
      <c r="D22" s="36">
        <f>15/50</f>
        <v>0.3</v>
      </c>
      <c r="E22" s="171">
        <f>$D22*E18</f>
        <v>45</v>
      </c>
      <c r="F22" s="171">
        <f t="shared" ref="F22:N22" si="10">$D22*F18</f>
        <v>90</v>
      </c>
      <c r="G22" s="171">
        <f t="shared" si="10"/>
        <v>135</v>
      </c>
      <c r="H22" s="171">
        <f t="shared" si="10"/>
        <v>135</v>
      </c>
      <c r="I22" s="171">
        <f t="shared" si="10"/>
        <v>135</v>
      </c>
      <c r="J22" s="171">
        <f t="shared" si="10"/>
        <v>135</v>
      </c>
      <c r="K22" s="171">
        <f t="shared" si="10"/>
        <v>135</v>
      </c>
      <c r="L22" s="171">
        <f t="shared" si="10"/>
        <v>135</v>
      </c>
      <c r="M22" s="171">
        <f t="shared" si="10"/>
        <v>135</v>
      </c>
      <c r="N22" s="171">
        <f t="shared" si="10"/>
        <v>135</v>
      </c>
    </row>
    <row r="23" spans="2:22"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2:22"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spans="2:22">
      <c r="B25" t="s">
        <v>168</v>
      </c>
      <c r="C25" s="83" t="s">
        <v>193</v>
      </c>
      <c r="D25" s="36">
        <v>750</v>
      </c>
      <c r="E25" s="171">
        <f t="shared" ref="E25:N25" si="11">$D25*E7</f>
        <v>750</v>
      </c>
      <c r="F25" s="171">
        <f t="shared" si="11"/>
        <v>0</v>
      </c>
      <c r="G25" s="171">
        <f t="shared" si="11"/>
        <v>0</v>
      </c>
      <c r="H25" s="171">
        <f t="shared" si="11"/>
        <v>0</v>
      </c>
      <c r="I25" s="171">
        <f t="shared" si="11"/>
        <v>0</v>
      </c>
      <c r="J25" s="171">
        <f t="shared" si="11"/>
        <v>0</v>
      </c>
      <c r="K25" s="171">
        <f t="shared" si="11"/>
        <v>0</v>
      </c>
      <c r="L25" s="171">
        <f t="shared" si="11"/>
        <v>0</v>
      </c>
      <c r="M25" s="171">
        <f t="shared" si="11"/>
        <v>0</v>
      </c>
      <c r="N25" s="171">
        <f t="shared" si="11"/>
        <v>0</v>
      </c>
    </row>
    <row r="26" spans="2:22">
      <c r="D26" s="36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2:22">
      <c r="B27" s="1" t="s">
        <v>169</v>
      </c>
      <c r="C27" s="83" t="s">
        <v>133</v>
      </c>
      <c r="D27" s="72">
        <f>0.15</f>
        <v>0.15</v>
      </c>
      <c r="E27" s="171">
        <f>$D27*E9</f>
        <v>495</v>
      </c>
      <c r="F27" s="171">
        <f t="shared" ref="F27:N27" si="12">$D27*F9</f>
        <v>750</v>
      </c>
      <c r="G27" s="171">
        <f t="shared" si="12"/>
        <v>990</v>
      </c>
      <c r="H27" s="171">
        <f t="shared" si="12"/>
        <v>990</v>
      </c>
      <c r="I27" s="171">
        <f t="shared" si="12"/>
        <v>990</v>
      </c>
      <c r="J27" s="171">
        <f t="shared" si="12"/>
        <v>990</v>
      </c>
      <c r="K27" s="171">
        <f t="shared" si="12"/>
        <v>990</v>
      </c>
      <c r="L27" s="171">
        <f t="shared" si="12"/>
        <v>990</v>
      </c>
      <c r="M27" s="171">
        <f t="shared" si="12"/>
        <v>990</v>
      </c>
      <c r="N27" s="171">
        <f t="shared" si="12"/>
        <v>990</v>
      </c>
    </row>
    <row r="28" spans="2:22">
      <c r="C28" s="83" t="s">
        <v>134</v>
      </c>
      <c r="D28" s="72">
        <f>1.2</f>
        <v>1.2</v>
      </c>
      <c r="E28" s="171">
        <f>$D28*E10</f>
        <v>980.09999999999991</v>
      </c>
      <c r="F28" s="171">
        <f t="shared" ref="F28:N28" si="13">$D28*F10</f>
        <v>1485</v>
      </c>
      <c r="G28" s="171">
        <f t="shared" si="13"/>
        <v>1960.1999999999998</v>
      </c>
      <c r="H28" s="171">
        <f t="shared" si="13"/>
        <v>1960.1999999999998</v>
      </c>
      <c r="I28" s="171">
        <f t="shared" si="13"/>
        <v>1960.1999999999998</v>
      </c>
      <c r="J28" s="171">
        <f t="shared" si="13"/>
        <v>1960.1999999999998</v>
      </c>
      <c r="K28" s="171">
        <f t="shared" si="13"/>
        <v>1960.1999999999998</v>
      </c>
      <c r="L28" s="171">
        <f t="shared" si="13"/>
        <v>1960.1999999999998</v>
      </c>
      <c r="M28" s="171">
        <f t="shared" si="13"/>
        <v>1960.1999999999998</v>
      </c>
      <c r="N28" s="171">
        <f t="shared" si="13"/>
        <v>1960.1999999999998</v>
      </c>
    </row>
    <row r="29" spans="2:22">
      <c r="C29" s="83" t="s">
        <v>122</v>
      </c>
      <c r="D29" s="36">
        <v>25</v>
      </c>
      <c r="E29" s="171">
        <f t="shared" ref="E29:N29" si="14">$D29*E11</f>
        <v>25</v>
      </c>
      <c r="F29" s="171">
        <f t="shared" si="14"/>
        <v>0</v>
      </c>
      <c r="G29" s="171">
        <f t="shared" si="14"/>
        <v>25</v>
      </c>
      <c r="H29" s="171">
        <f t="shared" si="14"/>
        <v>0</v>
      </c>
      <c r="I29" s="171">
        <f t="shared" si="14"/>
        <v>25</v>
      </c>
      <c r="J29" s="171">
        <f t="shared" si="14"/>
        <v>0</v>
      </c>
      <c r="K29" s="171">
        <f t="shared" si="14"/>
        <v>25</v>
      </c>
      <c r="L29" s="171">
        <f t="shared" si="14"/>
        <v>0</v>
      </c>
      <c r="M29" s="171">
        <f t="shared" si="14"/>
        <v>25</v>
      </c>
      <c r="N29" s="171">
        <f t="shared" si="14"/>
        <v>0</v>
      </c>
    </row>
    <row r="30" spans="2:22">
      <c r="C30" s="45" t="s">
        <v>196</v>
      </c>
      <c r="D30" s="36">
        <f>D25</f>
        <v>750</v>
      </c>
      <c r="E30" s="171">
        <f t="shared" ref="E30:N30" si="15">$D30*E12</f>
        <v>37.5</v>
      </c>
      <c r="F30" s="171">
        <f t="shared" si="15"/>
        <v>37.5</v>
      </c>
      <c r="G30" s="171">
        <f t="shared" si="15"/>
        <v>37.5</v>
      </c>
      <c r="H30" s="171">
        <f t="shared" si="15"/>
        <v>37.5</v>
      </c>
      <c r="I30" s="171">
        <f t="shared" si="15"/>
        <v>37.5</v>
      </c>
      <c r="J30" s="171">
        <f t="shared" si="15"/>
        <v>37.5</v>
      </c>
      <c r="K30" s="171">
        <f t="shared" si="15"/>
        <v>37.5</v>
      </c>
      <c r="L30" s="171">
        <f t="shared" si="15"/>
        <v>37.5</v>
      </c>
      <c r="M30" s="171">
        <f t="shared" si="15"/>
        <v>37.5</v>
      </c>
      <c r="N30" s="171">
        <f t="shared" si="15"/>
        <v>37.5</v>
      </c>
    </row>
    <row r="31" spans="2:22">
      <c r="C31" s="45" t="s">
        <v>186</v>
      </c>
      <c r="D31" s="36">
        <v>1.25</v>
      </c>
      <c r="E31" s="171">
        <f t="shared" ref="E31:N31" si="16">$D31*E13</f>
        <v>37.5</v>
      </c>
      <c r="F31" s="171">
        <f t="shared" si="16"/>
        <v>37.5</v>
      </c>
      <c r="G31" s="171">
        <f t="shared" si="16"/>
        <v>37.5</v>
      </c>
      <c r="H31" s="171">
        <f t="shared" si="16"/>
        <v>37.5</v>
      </c>
      <c r="I31" s="171">
        <f t="shared" si="16"/>
        <v>37.5</v>
      </c>
      <c r="J31" s="171">
        <f t="shared" si="16"/>
        <v>37.5</v>
      </c>
      <c r="K31" s="171">
        <f t="shared" si="16"/>
        <v>37.5</v>
      </c>
      <c r="L31" s="171">
        <f t="shared" si="16"/>
        <v>37.5</v>
      </c>
      <c r="M31" s="171">
        <f t="shared" si="16"/>
        <v>37.5</v>
      </c>
      <c r="N31" s="171">
        <f t="shared" si="16"/>
        <v>37.5</v>
      </c>
    </row>
    <row r="32" spans="2:22"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3:14">
      <c r="C33" s="173" t="s">
        <v>189</v>
      </c>
      <c r="D33" s="60" t="s">
        <v>188</v>
      </c>
      <c r="E33" s="138">
        <f>SUM(E21:E22)-SUM(E25,E27:E31)</f>
        <v>-864.39999999999986</v>
      </c>
      <c r="F33" s="138">
        <f t="shared" ref="F33:N33" si="17">SUM(F21:F22)-SUM(F25,F27:F31)</f>
        <v>90</v>
      </c>
      <c r="G33" s="138">
        <f t="shared" si="17"/>
        <v>351.80000000000018</v>
      </c>
      <c r="H33" s="138">
        <f t="shared" si="17"/>
        <v>376.80000000000018</v>
      </c>
      <c r="I33" s="138">
        <f t="shared" si="17"/>
        <v>351.80000000000018</v>
      </c>
      <c r="J33" s="138">
        <f t="shared" si="17"/>
        <v>376.80000000000018</v>
      </c>
      <c r="K33" s="138">
        <f t="shared" si="17"/>
        <v>351.80000000000018</v>
      </c>
      <c r="L33" s="138">
        <f t="shared" si="17"/>
        <v>376.80000000000018</v>
      </c>
      <c r="M33" s="138">
        <f t="shared" si="17"/>
        <v>351.80000000000018</v>
      </c>
      <c r="N33" s="138">
        <f t="shared" si="17"/>
        <v>376.80000000000018</v>
      </c>
    </row>
    <row r="35" spans="3:14">
      <c r="D35" s="36" t="s">
        <v>190</v>
      </c>
      <c r="E35" s="75">
        <f>IRR(E33:N33)</f>
        <v>0.30780087159715674</v>
      </c>
    </row>
    <row r="36" spans="3:14">
      <c r="D36" s="36" t="s">
        <v>510</v>
      </c>
      <c r="E36" s="139">
        <f>NPV(0.18,E33:N33)</f>
        <v>395.90398486549731</v>
      </c>
    </row>
    <row r="38" spans="3:14">
      <c r="E38" s="144">
        <f>E33/1000000</f>
        <v>-8.6439999999999987E-4</v>
      </c>
      <c r="F38" s="144">
        <f t="shared" ref="F38:N38" si="18">F33/1000000</f>
        <v>9.0000000000000006E-5</v>
      </c>
      <c r="G38" s="144">
        <f t="shared" si="18"/>
        <v>3.518000000000002E-4</v>
      </c>
      <c r="H38" s="144">
        <f t="shared" si="18"/>
        <v>3.7680000000000016E-4</v>
      </c>
      <c r="I38" s="144">
        <f t="shared" si="18"/>
        <v>3.518000000000002E-4</v>
      </c>
      <c r="J38" s="144">
        <f t="shared" si="18"/>
        <v>3.7680000000000016E-4</v>
      </c>
      <c r="K38" s="144">
        <f t="shared" si="18"/>
        <v>3.518000000000002E-4</v>
      </c>
      <c r="L38" s="144">
        <f t="shared" si="18"/>
        <v>3.7680000000000016E-4</v>
      </c>
      <c r="M38" s="144">
        <f t="shared" si="18"/>
        <v>3.518000000000002E-4</v>
      </c>
      <c r="N38" s="144">
        <f t="shared" si="18"/>
        <v>3.7680000000000016E-4</v>
      </c>
    </row>
    <row r="40" spans="3:14">
      <c r="C40" s="2" t="s">
        <v>500</v>
      </c>
      <c r="D40"/>
      <c r="E40"/>
      <c r="F40"/>
      <c r="G40"/>
      <c r="H40"/>
      <c r="I40"/>
      <c r="J40"/>
      <c r="K40"/>
      <c r="L40"/>
      <c r="M40"/>
      <c r="N40"/>
    </row>
    <row r="41" spans="3:14">
      <c r="C41" s="283" t="s">
        <v>499</v>
      </c>
      <c r="D41" s="4" t="s">
        <v>188</v>
      </c>
      <c r="E41" s="36" t="s">
        <v>70</v>
      </c>
      <c r="F41" s="36" t="s">
        <v>71</v>
      </c>
      <c r="G41" s="36" t="s">
        <v>72</v>
      </c>
      <c r="H41" s="36" t="s">
        <v>73</v>
      </c>
      <c r="I41" s="36" t="s">
        <v>74</v>
      </c>
      <c r="J41" s="36" t="s">
        <v>75</v>
      </c>
      <c r="K41" s="36" t="s">
        <v>76</v>
      </c>
      <c r="L41" s="36" t="s">
        <v>77</v>
      </c>
      <c r="M41" s="36" t="s">
        <v>78</v>
      </c>
      <c r="N41" s="36" t="s">
        <v>79</v>
      </c>
    </row>
    <row r="42" spans="3:14">
      <c r="C42" t="s">
        <v>501</v>
      </c>
      <c r="D42" t="s">
        <v>504</v>
      </c>
      <c r="E42" s="284">
        <f>S2/5</f>
        <v>150</v>
      </c>
      <c r="F42" s="284">
        <f>E42</f>
        <v>150</v>
      </c>
      <c r="G42" s="284">
        <f>F42</f>
        <v>150</v>
      </c>
      <c r="H42" s="284">
        <f>G42</f>
        <v>150</v>
      </c>
      <c r="I42" s="284">
        <f>H42</f>
        <v>150</v>
      </c>
      <c r="J42"/>
      <c r="K42"/>
      <c r="L42"/>
      <c r="M42"/>
      <c r="N42"/>
    </row>
    <row r="43" spans="3:14">
      <c r="C43" t="s">
        <v>503</v>
      </c>
      <c r="D43" t="s">
        <v>502</v>
      </c>
      <c r="E43" s="284">
        <f>0.18*SUM(E42:I42)</f>
        <v>135</v>
      </c>
      <c r="F43" s="284">
        <f>0.18*SUM(F42:J42)</f>
        <v>108</v>
      </c>
      <c r="G43" s="284">
        <f>0.18*SUM(G42:K42)</f>
        <v>81</v>
      </c>
      <c r="H43" s="284">
        <f t="shared" ref="H43:I43" si="19">0.18*SUM(H42:L42)</f>
        <v>54</v>
      </c>
      <c r="I43" s="284">
        <f t="shared" si="19"/>
        <v>27</v>
      </c>
      <c r="J43"/>
      <c r="K43"/>
      <c r="L43"/>
      <c r="M43"/>
      <c r="N43"/>
    </row>
    <row r="44" spans="3:14">
      <c r="D44" t="s">
        <v>505</v>
      </c>
      <c r="E44" s="33">
        <f>SUM(E42:E43)</f>
        <v>285</v>
      </c>
      <c r="F44" s="33">
        <f t="shared" ref="F44:I44" si="20">SUM(F42:F43)</f>
        <v>258</v>
      </c>
      <c r="G44" s="33">
        <f t="shared" si="20"/>
        <v>231</v>
      </c>
      <c r="H44" s="33">
        <f t="shared" si="20"/>
        <v>204</v>
      </c>
      <c r="I44" s="33">
        <f t="shared" si="20"/>
        <v>177</v>
      </c>
      <c r="J44"/>
      <c r="K44"/>
      <c r="L44"/>
      <c r="M44"/>
      <c r="N44"/>
    </row>
    <row r="45" spans="3:14">
      <c r="D45"/>
      <c r="E45"/>
      <c r="F45"/>
      <c r="G45"/>
      <c r="H45"/>
      <c r="I45"/>
      <c r="J45"/>
      <c r="K45"/>
      <c r="L45"/>
      <c r="M45"/>
      <c r="N45"/>
    </row>
    <row r="46" spans="3:14">
      <c r="D46" t="s">
        <v>189</v>
      </c>
      <c r="E46" s="33">
        <f>SUM(E21:E22)-SUM(E27:E31)-E44</f>
        <v>-399.39999999999986</v>
      </c>
      <c r="F46" s="33">
        <f t="shared" ref="F46:N46" si="21">SUM(F21:F22)-SUM(F27:F31)-F44</f>
        <v>-168</v>
      </c>
      <c r="G46" s="33">
        <f t="shared" si="21"/>
        <v>120.80000000000018</v>
      </c>
      <c r="H46" s="33">
        <f t="shared" si="21"/>
        <v>172.80000000000018</v>
      </c>
      <c r="I46" s="33">
        <f t="shared" si="21"/>
        <v>174.80000000000018</v>
      </c>
      <c r="J46" s="33">
        <f t="shared" si="21"/>
        <v>376.80000000000018</v>
      </c>
      <c r="K46" s="33">
        <f t="shared" si="21"/>
        <v>351.80000000000018</v>
      </c>
      <c r="L46" s="33">
        <f t="shared" si="21"/>
        <v>376.80000000000018</v>
      </c>
      <c r="M46" s="33">
        <f t="shared" si="21"/>
        <v>351.80000000000018</v>
      </c>
      <c r="N46" s="33">
        <f t="shared" si="21"/>
        <v>376.80000000000018</v>
      </c>
    </row>
    <row r="47" spans="3:14">
      <c r="D47"/>
      <c r="E47"/>
      <c r="F47"/>
      <c r="G47"/>
      <c r="H47"/>
      <c r="I47"/>
      <c r="J47"/>
      <c r="K47"/>
      <c r="L47"/>
      <c r="M47"/>
      <c r="N47"/>
    </row>
    <row r="48" spans="3:14">
      <c r="D48" s="36" t="s">
        <v>190</v>
      </c>
      <c r="E48" s="75">
        <f>IRR(E46:N46)</f>
        <v>0.29783954104558319</v>
      </c>
      <c r="F48"/>
      <c r="G48"/>
      <c r="H48"/>
      <c r="I48"/>
      <c r="J48"/>
      <c r="K48"/>
      <c r="L48"/>
      <c r="M48"/>
      <c r="N48"/>
    </row>
    <row r="49" spans="3:14">
      <c r="D49" s="36" t="s">
        <v>510</v>
      </c>
      <c r="E49" s="139">
        <f>NPV(0.18,E46:N46)</f>
        <v>281.49720520448028</v>
      </c>
      <c r="F49"/>
      <c r="G49"/>
      <c r="H49"/>
      <c r="I49"/>
      <c r="J49"/>
      <c r="K49"/>
      <c r="L49"/>
      <c r="M49"/>
      <c r="N49"/>
    </row>
    <row r="50" spans="3:14">
      <c r="D50"/>
      <c r="E50"/>
      <c r="F50"/>
      <c r="G50"/>
      <c r="H50"/>
      <c r="I50"/>
      <c r="J50"/>
      <c r="K50"/>
      <c r="L50"/>
      <c r="M50"/>
      <c r="N50"/>
    </row>
    <row r="51" spans="3:14">
      <c r="D51"/>
      <c r="E51"/>
      <c r="F51"/>
      <c r="G51"/>
      <c r="H51"/>
      <c r="I51"/>
      <c r="J51"/>
      <c r="K51"/>
      <c r="L51"/>
      <c r="M51"/>
      <c r="N51"/>
    </row>
    <row r="52" spans="3:14">
      <c r="C52" s="2" t="s">
        <v>506</v>
      </c>
      <c r="D52" s="4" t="s">
        <v>188</v>
      </c>
      <c r="E52" s="36" t="s">
        <v>70</v>
      </c>
      <c r="F52" s="36" t="s">
        <v>71</v>
      </c>
      <c r="G52" s="36" t="s">
        <v>72</v>
      </c>
      <c r="H52" s="36" t="s">
        <v>73</v>
      </c>
      <c r="I52" s="36" t="s">
        <v>74</v>
      </c>
      <c r="J52" s="36" t="s">
        <v>75</v>
      </c>
      <c r="K52" s="36" t="s">
        <v>76</v>
      </c>
      <c r="L52" s="36" t="s">
        <v>77</v>
      </c>
      <c r="M52" s="36" t="s">
        <v>78</v>
      </c>
      <c r="N52" s="36" t="s">
        <v>79</v>
      </c>
    </row>
    <row r="53" spans="3:14">
      <c r="C53" s="283" t="s">
        <v>499</v>
      </c>
      <c r="D53" t="s">
        <v>504</v>
      </c>
      <c r="E53" s="284">
        <f>S2/5/2</f>
        <v>75</v>
      </c>
      <c r="F53" s="284">
        <f>E53</f>
        <v>75</v>
      </c>
      <c r="G53" s="284">
        <f>F53</f>
        <v>75</v>
      </c>
      <c r="H53" s="284">
        <f>G53</f>
        <v>75</v>
      </c>
      <c r="I53" s="284">
        <f>H53</f>
        <v>75</v>
      </c>
      <c r="J53"/>
      <c r="K53"/>
      <c r="L53"/>
      <c r="M53"/>
      <c r="N53"/>
    </row>
    <row r="54" spans="3:14">
      <c r="C54" t="s">
        <v>507</v>
      </c>
      <c r="D54" t="s">
        <v>502</v>
      </c>
      <c r="E54" s="284">
        <f>0.18*SUM(E53:I53)</f>
        <v>67.5</v>
      </c>
      <c r="F54" s="284">
        <f>0.18*SUM(F53:J53)</f>
        <v>54</v>
      </c>
      <c r="G54" s="284">
        <f>0.18*SUM(G53:K53)</f>
        <v>40.5</v>
      </c>
      <c r="H54" s="284">
        <f t="shared" ref="H54:I54" si="22">0.18*SUM(H53:L53)</f>
        <v>27</v>
      </c>
      <c r="I54" s="284">
        <f t="shared" si="22"/>
        <v>13.5</v>
      </c>
      <c r="J54"/>
      <c r="K54"/>
      <c r="L54"/>
      <c r="M54"/>
      <c r="N54"/>
    </row>
    <row r="55" spans="3:14">
      <c r="C55" t="s">
        <v>503</v>
      </c>
      <c r="D55" t="s">
        <v>509</v>
      </c>
      <c r="E55" s="284">
        <f>S2/2</f>
        <v>375</v>
      </c>
      <c r="F55"/>
      <c r="G55"/>
      <c r="H55"/>
      <c r="I55"/>
      <c r="J55"/>
      <c r="K55"/>
      <c r="L55"/>
      <c r="M55"/>
      <c r="N55"/>
    </row>
    <row r="56" spans="3:14">
      <c r="C56" t="s">
        <v>508</v>
      </c>
      <c r="D56" t="s">
        <v>505</v>
      </c>
      <c r="E56" s="33">
        <f>SUM(E53:E55)</f>
        <v>517.5</v>
      </c>
      <c r="F56" s="33">
        <f t="shared" ref="F56:I56" si="23">SUM(F53:F55)</f>
        <v>129</v>
      </c>
      <c r="G56" s="33">
        <f t="shared" si="23"/>
        <v>115.5</v>
      </c>
      <c r="H56" s="33">
        <f t="shared" si="23"/>
        <v>102</v>
      </c>
      <c r="I56" s="33">
        <f t="shared" si="23"/>
        <v>88.5</v>
      </c>
      <c r="J56"/>
      <c r="K56"/>
      <c r="L56"/>
      <c r="M56"/>
      <c r="N56"/>
    </row>
    <row r="57" spans="3:14">
      <c r="D57"/>
      <c r="E57"/>
      <c r="F57"/>
      <c r="G57"/>
      <c r="H57"/>
      <c r="I57"/>
      <c r="J57"/>
      <c r="K57"/>
      <c r="L57"/>
      <c r="M57"/>
      <c r="N57"/>
    </row>
    <row r="58" spans="3:14">
      <c r="D58" t="s">
        <v>189</v>
      </c>
      <c r="E58" s="33">
        <f>SUM(E21:E22)-SUM(E27:E31)-E56</f>
        <v>-631.89999999999986</v>
      </c>
      <c r="F58" s="33">
        <f t="shared" ref="F58:N58" si="24">SUM(F21:F22)-SUM(F27:F31)-F56</f>
        <v>-39</v>
      </c>
      <c r="G58" s="33">
        <f t="shared" si="24"/>
        <v>236.30000000000018</v>
      </c>
      <c r="H58" s="33">
        <f t="shared" si="24"/>
        <v>274.80000000000018</v>
      </c>
      <c r="I58" s="33">
        <f t="shared" si="24"/>
        <v>263.30000000000018</v>
      </c>
      <c r="J58" s="33">
        <f t="shared" si="24"/>
        <v>376.80000000000018</v>
      </c>
      <c r="K58" s="33">
        <f t="shared" si="24"/>
        <v>351.80000000000018</v>
      </c>
      <c r="L58" s="33">
        <f t="shared" si="24"/>
        <v>376.80000000000018</v>
      </c>
      <c r="M58" s="33">
        <f t="shared" si="24"/>
        <v>351.80000000000018</v>
      </c>
      <c r="N58" s="33">
        <f t="shared" si="24"/>
        <v>376.80000000000018</v>
      </c>
    </row>
    <row r="59" spans="3:14">
      <c r="D59"/>
      <c r="E59"/>
      <c r="F59"/>
      <c r="G59"/>
      <c r="H59"/>
      <c r="I59"/>
      <c r="J59"/>
      <c r="K59"/>
      <c r="L59"/>
      <c r="M59"/>
      <c r="N59"/>
    </row>
    <row r="60" spans="3:14">
      <c r="D60" s="36" t="s">
        <v>190</v>
      </c>
      <c r="E60" s="75">
        <f>IRR(E58:N58)</f>
        <v>0.30358676588432587</v>
      </c>
      <c r="F60"/>
      <c r="G60"/>
      <c r="H60"/>
      <c r="I60"/>
      <c r="J60"/>
      <c r="K60"/>
      <c r="L60"/>
      <c r="M60"/>
      <c r="N60"/>
    </row>
    <row r="61" spans="3:14">
      <c r="D61" s="36" t="s">
        <v>510</v>
      </c>
      <c r="E61" s="139">
        <f>NPV(0.18,E58:N58)</f>
        <v>338.70059503498885</v>
      </c>
      <c r="F61"/>
      <c r="G61"/>
      <c r="H61"/>
      <c r="I61"/>
      <c r="J61"/>
      <c r="K61"/>
      <c r="L61"/>
      <c r="M61"/>
      <c r="N61"/>
    </row>
  </sheetData>
  <mergeCells count="15">
    <mergeCell ref="Q13:R13"/>
    <mergeCell ref="T13:U13"/>
    <mergeCell ref="T10:U10"/>
    <mergeCell ref="Q11:R11"/>
    <mergeCell ref="T11:U11"/>
    <mergeCell ref="Q12:R12"/>
    <mergeCell ref="T12:U12"/>
    <mergeCell ref="Q17:R17"/>
    <mergeCell ref="T17:U17"/>
    <mergeCell ref="Q14:R14"/>
    <mergeCell ref="T14:U14"/>
    <mergeCell ref="Q15:R15"/>
    <mergeCell ref="T15:U15"/>
    <mergeCell ref="Q16:R16"/>
    <mergeCell ref="T16:U16"/>
  </mergeCells>
  <pageMargins left="0.7" right="0.7" top="0.75" bottom="0.75" header="0.3" footer="0.3"/>
  <pageSetup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2:W72"/>
  <sheetViews>
    <sheetView zoomScale="90" zoomScaleNormal="90" workbookViewId="0">
      <selection activeCell="E23" sqref="E23"/>
    </sheetView>
  </sheetViews>
  <sheetFormatPr defaultColWidth="8.7109375" defaultRowHeight="15"/>
  <cols>
    <col min="2" max="2" width="16.140625" bestFit="1" customWidth="1"/>
    <col min="3" max="3" width="58" bestFit="1" customWidth="1"/>
    <col min="4" max="4" width="16.42578125" bestFit="1" customWidth="1"/>
    <col min="5" max="5" width="9.7109375" bestFit="1" customWidth="1"/>
  </cols>
  <sheetData>
    <row r="2" spans="2:23">
      <c r="B2" s="1" t="s">
        <v>135</v>
      </c>
      <c r="Q2" s="273" t="s">
        <v>493</v>
      </c>
      <c r="R2" s="273"/>
      <c r="S2" s="274">
        <f>SUM(E28:E35)</f>
        <v>33200</v>
      </c>
      <c r="T2" s="273"/>
      <c r="U2" s="273"/>
      <c r="V2" s="273"/>
    </row>
    <row r="3" spans="2:23">
      <c r="D3" s="36"/>
      <c r="E3" s="36" t="s">
        <v>70</v>
      </c>
      <c r="F3" s="36" t="s">
        <v>71</v>
      </c>
      <c r="G3" s="36" t="s">
        <v>72</v>
      </c>
      <c r="H3" s="36" t="s">
        <v>73</v>
      </c>
      <c r="I3" s="36" t="s">
        <v>74</v>
      </c>
      <c r="J3" s="36" t="s">
        <v>75</v>
      </c>
      <c r="K3" s="36" t="s">
        <v>76</v>
      </c>
      <c r="L3" s="36" t="s">
        <v>77</v>
      </c>
      <c r="M3" s="36" t="s">
        <v>78</v>
      </c>
      <c r="N3" s="36" t="s">
        <v>79</v>
      </c>
      <c r="Q3" s="273" t="s">
        <v>494</v>
      </c>
      <c r="R3" s="273"/>
      <c r="S3" s="273"/>
      <c r="T3" s="273"/>
      <c r="U3" s="273"/>
      <c r="V3" s="273"/>
    </row>
    <row r="4" spans="2:23">
      <c r="D4" s="8" t="s">
        <v>171</v>
      </c>
      <c r="E4" s="36">
        <v>2</v>
      </c>
      <c r="F4" s="36">
        <v>2</v>
      </c>
      <c r="G4" s="36">
        <v>2</v>
      </c>
      <c r="H4" s="36">
        <v>2</v>
      </c>
      <c r="I4" s="36">
        <v>2</v>
      </c>
      <c r="J4" s="36">
        <v>2</v>
      </c>
      <c r="K4" s="36">
        <v>2</v>
      </c>
      <c r="L4" s="36">
        <v>2</v>
      </c>
      <c r="M4" s="36">
        <v>2</v>
      </c>
      <c r="N4" s="36">
        <v>2</v>
      </c>
      <c r="Q4" s="275" t="s">
        <v>70</v>
      </c>
      <c r="R4" s="276" t="s">
        <v>71</v>
      </c>
      <c r="S4" s="276" t="s">
        <v>72</v>
      </c>
      <c r="T4" s="276" t="s">
        <v>73</v>
      </c>
      <c r="U4" s="276" t="s">
        <v>74</v>
      </c>
      <c r="V4" s="278" t="s">
        <v>75</v>
      </c>
    </row>
    <row r="5" spans="2:23"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Q5" s="277">
        <f>SUM(E26-SUM(E37:E41))</f>
        <v>5168.5</v>
      </c>
      <c r="R5" s="277">
        <f t="shared" ref="R5:V5" si="0">SUM(F26-SUM(F37:F41))</f>
        <v>5168.5</v>
      </c>
      <c r="S5" s="277">
        <f t="shared" si="0"/>
        <v>5168.5</v>
      </c>
      <c r="T5" s="277">
        <f t="shared" si="0"/>
        <v>6518.5</v>
      </c>
      <c r="U5" s="277">
        <f t="shared" si="0"/>
        <v>6518.5</v>
      </c>
      <c r="V5" s="277">
        <f t="shared" si="0"/>
        <v>6518.5</v>
      </c>
      <c r="W5" s="35">
        <f>SUM(Q5:V5)</f>
        <v>35061</v>
      </c>
    </row>
    <row r="6" spans="2:23">
      <c r="C6" s="1" t="s">
        <v>201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Q6" s="273"/>
      <c r="R6" s="273"/>
      <c r="S6" s="273"/>
      <c r="T6" s="273"/>
      <c r="U6" s="273"/>
      <c r="V6" s="273"/>
    </row>
    <row r="7" spans="2:23">
      <c r="B7" t="s">
        <v>168</v>
      </c>
      <c r="C7" s="83" t="s">
        <v>139</v>
      </c>
      <c r="D7" s="36" t="s">
        <v>119</v>
      </c>
      <c r="E7" s="36">
        <v>1</v>
      </c>
      <c r="F7" s="36"/>
      <c r="G7" s="36"/>
      <c r="H7" s="36"/>
      <c r="I7" s="36"/>
      <c r="J7" s="36"/>
      <c r="K7" s="36"/>
      <c r="L7" s="36"/>
      <c r="M7" s="36"/>
      <c r="N7" s="36"/>
      <c r="Q7" s="278" t="s">
        <v>495</v>
      </c>
      <c r="R7" s="279" t="s">
        <v>497</v>
      </c>
      <c r="S7" s="273"/>
      <c r="T7" s="273"/>
      <c r="U7" s="273"/>
      <c r="V7" s="273"/>
    </row>
    <row r="8" spans="2:23">
      <c r="C8" s="83" t="s">
        <v>140</v>
      </c>
      <c r="D8" s="36" t="s">
        <v>123</v>
      </c>
      <c r="E8" s="36">
        <v>1</v>
      </c>
      <c r="F8" s="36"/>
      <c r="G8" s="36"/>
      <c r="H8" s="36"/>
      <c r="I8" s="36"/>
      <c r="J8" s="36"/>
      <c r="K8" s="36"/>
      <c r="L8" s="36"/>
      <c r="M8" s="36"/>
      <c r="N8" s="36"/>
    </row>
    <row r="9" spans="2:23">
      <c r="C9" s="83" t="s">
        <v>141</v>
      </c>
      <c r="D9" s="36" t="s">
        <v>123</v>
      </c>
      <c r="E9" s="36">
        <v>1</v>
      </c>
      <c r="F9" s="36"/>
      <c r="G9" s="36"/>
      <c r="H9" s="36"/>
      <c r="I9" s="36"/>
      <c r="J9" s="36"/>
      <c r="K9" s="36"/>
      <c r="L9" s="36"/>
      <c r="M9" s="36"/>
      <c r="N9" s="36"/>
    </row>
    <row r="10" spans="2:23">
      <c r="C10" s="129" t="s">
        <v>142</v>
      </c>
      <c r="D10" s="174" t="s">
        <v>119</v>
      </c>
      <c r="E10" s="36">
        <v>1</v>
      </c>
      <c r="F10" s="36"/>
      <c r="G10" s="36"/>
      <c r="H10" s="36"/>
      <c r="I10" s="36"/>
      <c r="J10" s="36"/>
      <c r="K10" s="36"/>
      <c r="L10" s="36"/>
      <c r="M10" s="36"/>
      <c r="N10" s="36"/>
      <c r="S10" s="4" t="s">
        <v>190</v>
      </c>
      <c r="T10" s="462" t="s">
        <v>515</v>
      </c>
      <c r="U10" s="463"/>
      <c r="V10" t="s">
        <v>517</v>
      </c>
    </row>
    <row r="11" spans="2:23">
      <c r="C11" s="83" t="s">
        <v>143</v>
      </c>
      <c r="D11" s="36" t="s">
        <v>144</v>
      </c>
      <c r="E11" s="36">
        <f>5*400</f>
        <v>2000</v>
      </c>
      <c r="F11" s="36"/>
      <c r="G11" s="36"/>
      <c r="H11" s="36"/>
      <c r="I11" s="36"/>
      <c r="J11" s="36"/>
      <c r="K11" s="36"/>
      <c r="L11" s="36"/>
      <c r="M11" s="36"/>
      <c r="N11" s="36"/>
      <c r="Q11" s="464" t="s">
        <v>512</v>
      </c>
      <c r="R11" s="464"/>
      <c r="S11" s="286">
        <v>0.15339011071296715</v>
      </c>
      <c r="T11" s="461">
        <v>3422.607869777321</v>
      </c>
      <c r="U11" s="461">
        <v>3422.607869777321</v>
      </c>
      <c r="V11" s="34">
        <v>0.18</v>
      </c>
    </row>
    <row r="12" spans="2:23">
      <c r="C12" s="83" t="s">
        <v>145</v>
      </c>
      <c r="D12" s="36" t="s">
        <v>146</v>
      </c>
      <c r="E12" s="36">
        <v>5</v>
      </c>
      <c r="F12" s="36"/>
      <c r="G12" s="36"/>
      <c r="H12" s="36"/>
      <c r="I12" s="36"/>
      <c r="J12" s="36"/>
      <c r="K12" s="36"/>
      <c r="L12" s="36"/>
      <c r="M12" s="36"/>
      <c r="N12" s="36"/>
      <c r="Q12" s="464" t="s">
        <v>519</v>
      </c>
      <c r="R12" s="464"/>
      <c r="S12" s="286">
        <v>8.377482876615483E-2</v>
      </c>
      <c r="T12" s="461">
        <v>-3662</v>
      </c>
      <c r="U12" s="461"/>
      <c r="V12" s="34">
        <v>0.18</v>
      </c>
    </row>
    <row r="13" spans="2:23">
      <c r="C13" s="83" t="s">
        <v>147</v>
      </c>
      <c r="D13" s="36" t="s">
        <v>146</v>
      </c>
      <c r="E13" s="36">
        <v>5</v>
      </c>
      <c r="F13" s="36"/>
      <c r="G13" s="36"/>
      <c r="H13" s="36"/>
      <c r="I13" s="36"/>
      <c r="J13" s="36"/>
      <c r="K13" s="36"/>
      <c r="L13" s="36"/>
      <c r="M13" s="36"/>
      <c r="N13" s="36"/>
      <c r="Q13" s="464" t="s">
        <v>513</v>
      </c>
      <c r="R13" s="464"/>
      <c r="S13" s="286">
        <v>1.0372734778960835E-2</v>
      </c>
      <c r="T13" s="461">
        <v>-10746</v>
      </c>
      <c r="U13" s="461"/>
      <c r="V13" s="34">
        <v>0.18</v>
      </c>
    </row>
    <row r="14" spans="2:23">
      <c r="C14" s="45" t="s">
        <v>202</v>
      </c>
      <c r="D14" s="36" t="s">
        <v>172</v>
      </c>
      <c r="E14" s="36">
        <v>5</v>
      </c>
      <c r="F14" s="36"/>
      <c r="G14" s="36">
        <v>5</v>
      </c>
      <c r="H14" s="36"/>
      <c r="I14" s="36">
        <v>5</v>
      </c>
      <c r="J14" s="36"/>
      <c r="K14" s="36">
        <v>5</v>
      </c>
      <c r="L14" s="36"/>
      <c r="M14" s="36">
        <v>5</v>
      </c>
      <c r="N14" s="36"/>
      <c r="Q14" s="464" t="s">
        <v>518</v>
      </c>
      <c r="R14" s="464"/>
      <c r="S14" s="286">
        <v>0.10868510711961643</v>
      </c>
      <c r="T14" s="461">
        <v>-1154.0727832354808</v>
      </c>
      <c r="U14" s="461">
        <v>-1154.0727832354808</v>
      </c>
      <c r="V14" s="34">
        <v>0.18</v>
      </c>
    </row>
    <row r="15" spans="2:23"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Q15" s="464" t="s">
        <v>514</v>
      </c>
      <c r="R15" s="464"/>
      <c r="S15" s="286">
        <v>6.3203101975431775E-2</v>
      </c>
      <c r="T15" s="461">
        <v>-5730.7534362482747</v>
      </c>
      <c r="U15" s="461"/>
      <c r="V15" s="34">
        <v>0.18</v>
      </c>
    </row>
    <row r="16" spans="2:23">
      <c r="B16" s="1" t="s">
        <v>169</v>
      </c>
      <c r="C16" s="83" t="s">
        <v>148</v>
      </c>
      <c r="D16" s="36" t="s">
        <v>119</v>
      </c>
      <c r="E16" s="171">
        <f>E$4*E11*3</f>
        <v>12000</v>
      </c>
      <c r="F16" s="171">
        <f>E16</f>
        <v>12000</v>
      </c>
      <c r="G16" s="171">
        <f t="shared" ref="G16:N16" si="1">F16</f>
        <v>12000</v>
      </c>
      <c r="H16" s="171">
        <f t="shared" si="1"/>
        <v>12000</v>
      </c>
      <c r="I16" s="171">
        <f t="shared" si="1"/>
        <v>12000</v>
      </c>
      <c r="J16" s="171">
        <f t="shared" si="1"/>
        <v>12000</v>
      </c>
      <c r="K16" s="171">
        <f t="shared" si="1"/>
        <v>12000</v>
      </c>
      <c r="L16" s="171">
        <f t="shared" si="1"/>
        <v>12000</v>
      </c>
      <c r="M16" s="171">
        <f t="shared" si="1"/>
        <v>12000</v>
      </c>
      <c r="N16" s="171">
        <f t="shared" si="1"/>
        <v>12000</v>
      </c>
      <c r="Q16" s="464" t="s">
        <v>516</v>
      </c>
      <c r="R16" s="464"/>
      <c r="S16" s="286">
        <v>0.15339011071296715</v>
      </c>
      <c r="T16" s="461">
        <v>-3545</v>
      </c>
      <c r="U16" s="461"/>
      <c r="V16" s="34">
        <v>0.2</v>
      </c>
    </row>
    <row r="17" spans="2:22">
      <c r="C17" s="83" t="s">
        <v>149</v>
      </c>
      <c r="D17" s="36" t="s">
        <v>121</v>
      </c>
      <c r="E17" s="171">
        <f>E16*E$4*0.5*1.5</f>
        <v>18000</v>
      </c>
      <c r="F17" s="171">
        <f t="shared" ref="F17:N17" si="2">F16*F$4*0.5*1.5</f>
        <v>18000</v>
      </c>
      <c r="G17" s="171">
        <f t="shared" si="2"/>
        <v>18000</v>
      </c>
      <c r="H17" s="171">
        <f t="shared" si="2"/>
        <v>18000</v>
      </c>
      <c r="I17" s="171">
        <f t="shared" si="2"/>
        <v>18000</v>
      </c>
      <c r="J17" s="171">
        <f t="shared" si="2"/>
        <v>18000</v>
      </c>
      <c r="K17" s="171">
        <f t="shared" si="2"/>
        <v>18000</v>
      </c>
      <c r="L17" s="171">
        <f t="shared" si="2"/>
        <v>18000</v>
      </c>
      <c r="M17" s="171">
        <f t="shared" si="2"/>
        <v>18000</v>
      </c>
      <c r="N17" s="171">
        <f t="shared" si="2"/>
        <v>18000</v>
      </c>
      <c r="Q17" s="464" t="s">
        <v>516</v>
      </c>
      <c r="R17" s="464"/>
      <c r="S17" s="286">
        <v>0.15339011071296715</v>
      </c>
      <c r="T17" s="461">
        <v>-6217</v>
      </c>
      <c r="U17" s="461"/>
      <c r="V17" s="34">
        <v>0.25</v>
      </c>
    </row>
    <row r="18" spans="2:22">
      <c r="C18" s="45" t="s">
        <v>186</v>
      </c>
      <c r="D18" s="36" t="s">
        <v>203</v>
      </c>
      <c r="E18" s="171">
        <f>6*30*2/8*5</f>
        <v>225</v>
      </c>
      <c r="F18" s="171">
        <f t="shared" ref="F18:N18" si="3">6*30*2/8*5</f>
        <v>225</v>
      </c>
      <c r="G18" s="171">
        <f t="shared" si="3"/>
        <v>225</v>
      </c>
      <c r="H18" s="171">
        <f t="shared" si="3"/>
        <v>225</v>
      </c>
      <c r="I18" s="171">
        <f t="shared" si="3"/>
        <v>225</v>
      </c>
      <c r="J18" s="171">
        <f t="shared" si="3"/>
        <v>225</v>
      </c>
      <c r="K18" s="171">
        <f t="shared" si="3"/>
        <v>225</v>
      </c>
      <c r="L18" s="171">
        <f t="shared" si="3"/>
        <v>225</v>
      </c>
      <c r="M18" s="171">
        <f t="shared" si="3"/>
        <v>225</v>
      </c>
      <c r="N18" s="171">
        <f t="shared" si="3"/>
        <v>225</v>
      </c>
    </row>
    <row r="19" spans="2:22">
      <c r="C19" s="45" t="s">
        <v>204</v>
      </c>
      <c r="D19" s="102" t="s">
        <v>174</v>
      </c>
      <c r="E19" s="38">
        <f>0.025</f>
        <v>2.5000000000000001E-2</v>
      </c>
      <c r="F19" s="38">
        <f t="shared" ref="F19:N19" si="4">0.025</f>
        <v>2.5000000000000001E-2</v>
      </c>
      <c r="G19" s="38">
        <f t="shared" si="4"/>
        <v>2.5000000000000001E-2</v>
      </c>
      <c r="H19" s="38">
        <f t="shared" si="4"/>
        <v>2.5000000000000001E-2</v>
      </c>
      <c r="I19" s="38">
        <f t="shared" si="4"/>
        <v>2.5000000000000001E-2</v>
      </c>
      <c r="J19" s="38">
        <f t="shared" si="4"/>
        <v>2.5000000000000001E-2</v>
      </c>
      <c r="K19" s="38">
        <f t="shared" si="4"/>
        <v>2.5000000000000001E-2</v>
      </c>
      <c r="L19" s="38">
        <f t="shared" si="4"/>
        <v>2.5000000000000001E-2</v>
      </c>
      <c r="M19" s="38">
        <f t="shared" si="4"/>
        <v>2.5000000000000001E-2</v>
      </c>
      <c r="N19" s="38">
        <f t="shared" si="4"/>
        <v>2.5000000000000001E-2</v>
      </c>
    </row>
    <row r="20" spans="2:22">
      <c r="C20" s="45" t="s">
        <v>181</v>
      </c>
      <c r="D20" s="102" t="s">
        <v>174</v>
      </c>
      <c r="E20" s="38">
        <v>0.1</v>
      </c>
      <c r="F20" s="38">
        <v>0.1</v>
      </c>
      <c r="G20" s="38">
        <v>0.1</v>
      </c>
      <c r="H20" s="38">
        <v>0.1</v>
      </c>
      <c r="I20" s="38">
        <v>0.1</v>
      </c>
      <c r="J20" s="38">
        <v>0.1</v>
      </c>
      <c r="K20" s="38">
        <v>0.1</v>
      </c>
      <c r="L20" s="38">
        <v>0.1</v>
      </c>
      <c r="M20" s="38">
        <v>0.1</v>
      </c>
      <c r="N20" s="38">
        <v>0.1</v>
      </c>
    </row>
    <row r="21" spans="2:22"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spans="2:22">
      <c r="B22" t="s">
        <v>175</v>
      </c>
      <c r="C22" s="172" t="s">
        <v>194</v>
      </c>
      <c r="D22" s="102" t="s">
        <v>176</v>
      </c>
      <c r="E22" s="171">
        <f>0.9*E16</f>
        <v>10800</v>
      </c>
      <c r="F22" s="171">
        <f t="shared" ref="F22:G22" si="5">0.9*F16</f>
        <v>10800</v>
      </c>
      <c r="G22" s="171">
        <f t="shared" si="5"/>
        <v>10800</v>
      </c>
      <c r="H22" s="171">
        <f>0.95*H16</f>
        <v>11400</v>
      </c>
      <c r="I22" s="171">
        <f t="shared" ref="I22:N22" si="6">0.95*I16</f>
        <v>11400</v>
      </c>
      <c r="J22" s="171">
        <f t="shared" si="6"/>
        <v>11400</v>
      </c>
      <c r="K22" s="171">
        <f t="shared" si="6"/>
        <v>11400</v>
      </c>
      <c r="L22" s="171">
        <f t="shared" si="6"/>
        <v>11400</v>
      </c>
      <c r="M22" s="171">
        <f t="shared" si="6"/>
        <v>11400</v>
      </c>
      <c r="N22" s="171">
        <f t="shared" si="6"/>
        <v>11400</v>
      </c>
    </row>
    <row r="23" spans="2:22">
      <c r="C23" s="172" t="s">
        <v>205</v>
      </c>
      <c r="D23" s="102" t="s">
        <v>121</v>
      </c>
      <c r="E23" s="171">
        <f>E22*0.5</f>
        <v>5400</v>
      </c>
      <c r="F23" s="171">
        <f t="shared" ref="F23:G23" si="7">F22*0.5</f>
        <v>5400</v>
      </c>
      <c r="G23" s="171">
        <f t="shared" si="7"/>
        <v>5400</v>
      </c>
      <c r="H23" s="171">
        <f t="shared" ref="H23" si="8">H22*0.5</f>
        <v>5700</v>
      </c>
      <c r="I23" s="171">
        <f t="shared" ref="I23" si="9">I22*0.5</f>
        <v>5700</v>
      </c>
      <c r="J23" s="171">
        <f t="shared" ref="J23" si="10">J22*0.5</f>
        <v>5700</v>
      </c>
      <c r="K23" s="171">
        <f t="shared" ref="K23" si="11">K22*0.5</f>
        <v>5700</v>
      </c>
      <c r="L23" s="171">
        <f t="shared" ref="L23" si="12">L22*0.5</f>
        <v>5700</v>
      </c>
      <c r="M23" s="171">
        <f t="shared" ref="M23" si="13">M22*0.5</f>
        <v>5700</v>
      </c>
      <c r="N23" s="171">
        <f t="shared" ref="N23" si="14">N22*0.5</f>
        <v>5700</v>
      </c>
    </row>
    <row r="24" spans="2:22"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spans="2:22">
      <c r="D25" s="36" t="s">
        <v>184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2:22">
      <c r="B26" t="s">
        <v>175</v>
      </c>
      <c r="C26" t="s">
        <v>197</v>
      </c>
      <c r="D26" s="177">
        <f>4.5*Price</f>
        <v>4.5</v>
      </c>
      <c r="E26" s="171">
        <f>E23*$D26</f>
        <v>24300</v>
      </c>
      <c r="F26" s="171">
        <f t="shared" ref="F26:N26" si="15">F23*$D26</f>
        <v>24300</v>
      </c>
      <c r="G26" s="171">
        <f t="shared" si="15"/>
        <v>24300</v>
      </c>
      <c r="H26" s="171">
        <f t="shared" si="15"/>
        <v>25650</v>
      </c>
      <c r="I26" s="171">
        <f t="shared" si="15"/>
        <v>25650</v>
      </c>
      <c r="J26" s="171">
        <f t="shared" si="15"/>
        <v>25650</v>
      </c>
      <c r="K26" s="171">
        <f t="shared" si="15"/>
        <v>25650</v>
      </c>
      <c r="L26" s="171">
        <f t="shared" si="15"/>
        <v>25650</v>
      </c>
      <c r="M26" s="171">
        <f t="shared" si="15"/>
        <v>25650</v>
      </c>
      <c r="N26" s="171">
        <f t="shared" si="15"/>
        <v>25650</v>
      </c>
    </row>
    <row r="27" spans="2:22"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</row>
    <row r="28" spans="2:22">
      <c r="B28" t="s">
        <v>168</v>
      </c>
      <c r="C28" s="83" t="s">
        <v>139</v>
      </c>
      <c r="D28" s="171">
        <v>6000</v>
      </c>
      <c r="E28" s="171">
        <f>E7*$D28</f>
        <v>6000</v>
      </c>
      <c r="F28" s="171">
        <f t="shared" ref="F28:N28" si="16">F7*$D28</f>
        <v>0</v>
      </c>
      <c r="G28" s="171">
        <f t="shared" si="16"/>
        <v>0</v>
      </c>
      <c r="H28" s="171">
        <f t="shared" si="16"/>
        <v>0</v>
      </c>
      <c r="I28" s="171">
        <f t="shared" si="16"/>
        <v>0</v>
      </c>
      <c r="J28" s="171">
        <f t="shared" si="16"/>
        <v>0</v>
      </c>
      <c r="K28" s="171">
        <f t="shared" si="16"/>
        <v>0</v>
      </c>
      <c r="L28" s="171">
        <f t="shared" si="16"/>
        <v>0</v>
      </c>
      <c r="M28" s="171">
        <f t="shared" si="16"/>
        <v>0</v>
      </c>
      <c r="N28" s="171">
        <f t="shared" si="16"/>
        <v>0</v>
      </c>
    </row>
    <row r="29" spans="2:22">
      <c r="C29" s="83" t="s">
        <v>140</v>
      </c>
      <c r="D29" s="171">
        <v>4600</v>
      </c>
      <c r="E29" s="171">
        <f t="shared" ref="E29:N29" si="17">E8*$D29</f>
        <v>4600</v>
      </c>
      <c r="F29" s="171">
        <f t="shared" si="17"/>
        <v>0</v>
      </c>
      <c r="G29" s="171">
        <f t="shared" si="17"/>
        <v>0</v>
      </c>
      <c r="H29" s="171">
        <f t="shared" si="17"/>
        <v>0</v>
      </c>
      <c r="I29" s="171">
        <f t="shared" si="17"/>
        <v>0</v>
      </c>
      <c r="J29" s="171">
        <f t="shared" si="17"/>
        <v>0</v>
      </c>
      <c r="K29" s="171">
        <f t="shared" si="17"/>
        <v>0</v>
      </c>
      <c r="L29" s="171">
        <f t="shared" si="17"/>
        <v>0</v>
      </c>
      <c r="M29" s="171">
        <f t="shared" si="17"/>
        <v>0</v>
      </c>
      <c r="N29" s="171">
        <f t="shared" si="17"/>
        <v>0</v>
      </c>
    </row>
    <row r="30" spans="2:22">
      <c r="C30" s="83" t="s">
        <v>141</v>
      </c>
      <c r="D30" s="171">
        <f>4500</f>
        <v>4500</v>
      </c>
      <c r="E30" s="171">
        <f t="shared" ref="E30:N30" si="18">E9*$D30</f>
        <v>4500</v>
      </c>
      <c r="F30" s="171">
        <f t="shared" si="18"/>
        <v>0</v>
      </c>
      <c r="G30" s="171">
        <f t="shared" si="18"/>
        <v>0</v>
      </c>
      <c r="H30" s="171">
        <f t="shared" si="18"/>
        <v>0</v>
      </c>
      <c r="I30" s="171">
        <f t="shared" si="18"/>
        <v>0</v>
      </c>
      <c r="J30" s="171">
        <f t="shared" si="18"/>
        <v>0</v>
      </c>
      <c r="K30" s="171">
        <f t="shared" si="18"/>
        <v>0</v>
      </c>
      <c r="L30" s="171">
        <f t="shared" si="18"/>
        <v>0</v>
      </c>
      <c r="M30" s="171">
        <f t="shared" si="18"/>
        <v>0</v>
      </c>
      <c r="N30" s="171">
        <f t="shared" si="18"/>
        <v>0</v>
      </c>
    </row>
    <row r="31" spans="2:22">
      <c r="C31" s="129" t="s">
        <v>142</v>
      </c>
      <c r="D31" s="175">
        <v>4100</v>
      </c>
      <c r="E31" s="171">
        <f t="shared" ref="E31:N31" si="19">E10*$D31</f>
        <v>4100</v>
      </c>
      <c r="F31" s="171">
        <f t="shared" si="19"/>
        <v>0</v>
      </c>
      <c r="G31" s="171">
        <f t="shared" si="19"/>
        <v>0</v>
      </c>
      <c r="H31" s="171">
        <f t="shared" si="19"/>
        <v>0</v>
      </c>
      <c r="I31" s="171">
        <f t="shared" si="19"/>
        <v>0</v>
      </c>
      <c r="J31" s="171">
        <f t="shared" si="19"/>
        <v>0</v>
      </c>
      <c r="K31" s="171">
        <f t="shared" si="19"/>
        <v>0</v>
      </c>
      <c r="L31" s="171">
        <f t="shared" si="19"/>
        <v>0</v>
      </c>
      <c r="M31" s="171">
        <f t="shared" si="19"/>
        <v>0</v>
      </c>
      <c r="N31" s="171">
        <f t="shared" si="19"/>
        <v>0</v>
      </c>
    </row>
    <row r="32" spans="2:22">
      <c r="C32" s="83" t="s">
        <v>143</v>
      </c>
      <c r="D32" s="171">
        <v>2</v>
      </c>
      <c r="E32" s="171">
        <f t="shared" ref="E32:N32" si="20">E11*$D32</f>
        <v>4000</v>
      </c>
      <c r="F32" s="171">
        <f t="shared" si="20"/>
        <v>0</v>
      </c>
      <c r="G32" s="171">
        <f t="shared" si="20"/>
        <v>0</v>
      </c>
      <c r="H32" s="171">
        <f t="shared" si="20"/>
        <v>0</v>
      </c>
      <c r="I32" s="171">
        <f t="shared" si="20"/>
        <v>0</v>
      </c>
      <c r="J32" s="171">
        <f t="shared" si="20"/>
        <v>0</v>
      </c>
      <c r="K32" s="171">
        <f t="shared" si="20"/>
        <v>0</v>
      </c>
      <c r="L32" s="171">
        <f t="shared" si="20"/>
        <v>0</v>
      </c>
      <c r="M32" s="171">
        <f t="shared" si="20"/>
        <v>0</v>
      </c>
      <c r="N32" s="171">
        <f t="shared" si="20"/>
        <v>0</v>
      </c>
    </row>
    <row r="33" spans="2:19">
      <c r="C33" s="83" t="s">
        <v>145</v>
      </c>
      <c r="D33" s="171">
        <v>1200</v>
      </c>
      <c r="E33" s="171">
        <f t="shared" ref="E33:N33" si="21">E12*$D33</f>
        <v>6000</v>
      </c>
      <c r="F33" s="171">
        <f t="shared" si="21"/>
        <v>0</v>
      </c>
      <c r="G33" s="171">
        <f t="shared" si="21"/>
        <v>0</v>
      </c>
      <c r="H33" s="171">
        <f t="shared" si="21"/>
        <v>0</v>
      </c>
      <c r="I33" s="171">
        <f t="shared" si="21"/>
        <v>0</v>
      </c>
      <c r="J33" s="171">
        <f t="shared" si="21"/>
        <v>0</v>
      </c>
      <c r="K33" s="171">
        <f t="shared" si="21"/>
        <v>0</v>
      </c>
      <c r="L33" s="171">
        <f t="shared" si="21"/>
        <v>0</v>
      </c>
      <c r="M33" s="171">
        <f t="shared" si="21"/>
        <v>0</v>
      </c>
      <c r="N33" s="171">
        <f t="shared" si="21"/>
        <v>0</v>
      </c>
    </row>
    <row r="34" spans="2:19">
      <c r="C34" s="83" t="s">
        <v>147</v>
      </c>
      <c r="D34" s="171">
        <v>750</v>
      </c>
      <c r="E34" s="171">
        <f t="shared" ref="E34:N34" si="22">E13*$D34</f>
        <v>3750</v>
      </c>
      <c r="F34" s="171">
        <f t="shared" si="22"/>
        <v>0</v>
      </c>
      <c r="G34" s="171">
        <f t="shared" si="22"/>
        <v>0</v>
      </c>
      <c r="H34" s="171">
        <f t="shared" si="22"/>
        <v>0</v>
      </c>
      <c r="I34" s="171">
        <f t="shared" si="22"/>
        <v>0</v>
      </c>
      <c r="J34" s="171">
        <f t="shared" si="22"/>
        <v>0</v>
      </c>
      <c r="K34" s="171">
        <f t="shared" si="22"/>
        <v>0</v>
      </c>
      <c r="L34" s="171">
        <f t="shared" si="22"/>
        <v>0</v>
      </c>
      <c r="M34" s="171">
        <f t="shared" si="22"/>
        <v>0</v>
      </c>
      <c r="N34" s="171">
        <f t="shared" si="22"/>
        <v>0</v>
      </c>
    </row>
    <row r="35" spans="2:19">
      <c r="C35" s="45" t="s">
        <v>122</v>
      </c>
      <c r="D35" s="176">
        <v>50</v>
      </c>
      <c r="E35" s="171">
        <f t="shared" ref="E35:N35" si="23">E14*$D35</f>
        <v>250</v>
      </c>
      <c r="F35" s="171">
        <f t="shared" si="23"/>
        <v>0</v>
      </c>
      <c r="G35" s="171">
        <f t="shared" si="23"/>
        <v>250</v>
      </c>
      <c r="H35" s="171">
        <f t="shared" si="23"/>
        <v>0</v>
      </c>
      <c r="I35" s="171">
        <f t="shared" si="23"/>
        <v>250</v>
      </c>
      <c r="J35" s="171">
        <f t="shared" si="23"/>
        <v>0</v>
      </c>
      <c r="K35" s="171">
        <f t="shared" si="23"/>
        <v>250</v>
      </c>
      <c r="L35" s="171">
        <f t="shared" si="23"/>
        <v>0</v>
      </c>
      <c r="M35" s="171">
        <f t="shared" si="23"/>
        <v>250</v>
      </c>
      <c r="N35" s="171">
        <f t="shared" si="23"/>
        <v>0</v>
      </c>
    </row>
    <row r="36" spans="2:19"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  <row r="37" spans="2:19">
      <c r="B37" t="s">
        <v>169</v>
      </c>
      <c r="C37" s="83" t="s">
        <v>148</v>
      </c>
      <c r="D37" s="72">
        <f>0.15*1</f>
        <v>0.15</v>
      </c>
      <c r="E37" s="171">
        <f>E16*$D37</f>
        <v>1800</v>
      </c>
      <c r="F37" s="171">
        <f t="shared" ref="F37:N37" si="24">F16*$D37</f>
        <v>1800</v>
      </c>
      <c r="G37" s="171">
        <f t="shared" si="24"/>
        <v>1800</v>
      </c>
      <c r="H37" s="171">
        <f t="shared" si="24"/>
        <v>1800</v>
      </c>
      <c r="I37" s="171">
        <f t="shared" si="24"/>
        <v>1800</v>
      </c>
      <c r="J37" s="171">
        <f t="shared" si="24"/>
        <v>1800</v>
      </c>
      <c r="K37" s="171">
        <f t="shared" si="24"/>
        <v>1800</v>
      </c>
      <c r="L37" s="171">
        <f t="shared" si="24"/>
        <v>1800</v>
      </c>
      <c r="M37" s="171">
        <f t="shared" si="24"/>
        <v>1800</v>
      </c>
      <c r="N37" s="171">
        <f t="shared" si="24"/>
        <v>1800</v>
      </c>
    </row>
    <row r="38" spans="2:19">
      <c r="C38" s="83" t="s">
        <v>149</v>
      </c>
      <c r="D38" s="178">
        <f>0.8*1</f>
        <v>0.8</v>
      </c>
      <c r="E38" s="171">
        <f t="shared" ref="E38:N38" si="25">E17*$D38</f>
        <v>14400</v>
      </c>
      <c r="F38" s="171">
        <f t="shared" si="25"/>
        <v>14400</v>
      </c>
      <c r="G38" s="171">
        <f t="shared" si="25"/>
        <v>14400</v>
      </c>
      <c r="H38" s="171">
        <f t="shared" si="25"/>
        <v>14400</v>
      </c>
      <c r="I38" s="171">
        <f t="shared" si="25"/>
        <v>14400</v>
      </c>
      <c r="J38" s="171">
        <f t="shared" si="25"/>
        <v>14400</v>
      </c>
      <c r="K38" s="171">
        <f t="shared" si="25"/>
        <v>14400</v>
      </c>
      <c r="L38" s="171">
        <f t="shared" si="25"/>
        <v>14400</v>
      </c>
      <c r="M38" s="171">
        <f t="shared" si="25"/>
        <v>14400</v>
      </c>
      <c r="N38" s="171">
        <f t="shared" si="25"/>
        <v>14400</v>
      </c>
    </row>
    <row r="39" spans="2:19">
      <c r="C39" s="45" t="s">
        <v>186</v>
      </c>
      <c r="D39" s="72">
        <v>1.25</v>
      </c>
      <c r="E39" s="171">
        <f t="shared" ref="E39:N39" si="26">E18*$D39</f>
        <v>281.25</v>
      </c>
      <c r="F39" s="171">
        <f t="shared" si="26"/>
        <v>281.25</v>
      </c>
      <c r="G39" s="171">
        <f t="shared" si="26"/>
        <v>281.25</v>
      </c>
      <c r="H39" s="171">
        <f t="shared" si="26"/>
        <v>281.25</v>
      </c>
      <c r="I39" s="171">
        <f t="shared" si="26"/>
        <v>281.25</v>
      </c>
      <c r="J39" s="171">
        <f t="shared" si="26"/>
        <v>281.25</v>
      </c>
      <c r="K39" s="171">
        <f t="shared" si="26"/>
        <v>281.25</v>
      </c>
      <c r="L39" s="171">
        <f t="shared" si="26"/>
        <v>281.25</v>
      </c>
      <c r="M39" s="171">
        <f t="shared" si="26"/>
        <v>281.25</v>
      </c>
      <c r="N39" s="171">
        <f t="shared" si="26"/>
        <v>281.25</v>
      </c>
    </row>
    <row r="40" spans="2:19">
      <c r="C40" s="45" t="s">
        <v>204</v>
      </c>
      <c r="D40" s="171">
        <f>SUM(D28:D35)</f>
        <v>21202</v>
      </c>
      <c r="E40" s="171">
        <f t="shared" ref="E40:N40" si="27">E19*$D40</f>
        <v>530.05000000000007</v>
      </c>
      <c r="F40" s="171">
        <f t="shared" si="27"/>
        <v>530.05000000000007</v>
      </c>
      <c r="G40" s="171">
        <f t="shared" si="27"/>
        <v>530.05000000000007</v>
      </c>
      <c r="H40" s="171">
        <f t="shared" si="27"/>
        <v>530.05000000000007</v>
      </c>
      <c r="I40" s="171">
        <f t="shared" si="27"/>
        <v>530.05000000000007</v>
      </c>
      <c r="J40" s="171">
        <f t="shared" si="27"/>
        <v>530.05000000000007</v>
      </c>
      <c r="K40" s="171">
        <f t="shared" si="27"/>
        <v>530.05000000000007</v>
      </c>
      <c r="L40" s="171">
        <f t="shared" si="27"/>
        <v>530.05000000000007</v>
      </c>
      <c r="M40" s="171">
        <f t="shared" si="27"/>
        <v>530.05000000000007</v>
      </c>
      <c r="N40" s="171">
        <f t="shared" si="27"/>
        <v>530.05000000000007</v>
      </c>
    </row>
    <row r="41" spans="2:19">
      <c r="C41" s="45" t="s">
        <v>181</v>
      </c>
      <c r="D41" s="171">
        <f>SUM(D28:D35)</f>
        <v>21202</v>
      </c>
      <c r="E41" s="171">
        <f t="shared" ref="E41:N41" si="28">E20*$D41</f>
        <v>2120.2000000000003</v>
      </c>
      <c r="F41" s="171">
        <f t="shared" si="28"/>
        <v>2120.2000000000003</v>
      </c>
      <c r="G41" s="171">
        <f t="shared" si="28"/>
        <v>2120.2000000000003</v>
      </c>
      <c r="H41" s="171">
        <f t="shared" si="28"/>
        <v>2120.2000000000003</v>
      </c>
      <c r="I41" s="171">
        <f t="shared" si="28"/>
        <v>2120.2000000000003</v>
      </c>
      <c r="J41" s="171">
        <f t="shared" si="28"/>
        <v>2120.2000000000003</v>
      </c>
      <c r="K41" s="171">
        <f t="shared" si="28"/>
        <v>2120.2000000000003</v>
      </c>
      <c r="L41" s="171">
        <f t="shared" si="28"/>
        <v>2120.2000000000003</v>
      </c>
      <c r="M41" s="171">
        <f t="shared" si="28"/>
        <v>2120.2000000000003</v>
      </c>
      <c r="N41" s="171">
        <f t="shared" si="28"/>
        <v>2120.2000000000003</v>
      </c>
    </row>
    <row r="42" spans="2:19"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</row>
    <row r="43" spans="2:19">
      <c r="C43" s="173" t="s">
        <v>189</v>
      </c>
      <c r="D43" s="60" t="s">
        <v>188</v>
      </c>
      <c r="E43" s="138">
        <f>SUM(E26)-SUM(E28:E41)</f>
        <v>-28031.5</v>
      </c>
      <c r="F43" s="138">
        <f t="shared" ref="F43:N43" si="29">SUM(F26)-SUM(F28:F41)</f>
        <v>5168.5</v>
      </c>
      <c r="G43" s="138">
        <f t="shared" si="29"/>
        <v>4918.5</v>
      </c>
      <c r="H43" s="138">
        <f t="shared" si="29"/>
        <v>6518.5</v>
      </c>
      <c r="I43" s="138">
        <f t="shared" si="29"/>
        <v>6268.5</v>
      </c>
      <c r="J43" s="138">
        <f t="shared" si="29"/>
        <v>6518.5</v>
      </c>
      <c r="K43" s="138">
        <f t="shared" si="29"/>
        <v>6268.5</v>
      </c>
      <c r="L43" s="138">
        <f t="shared" si="29"/>
        <v>6518.5</v>
      </c>
      <c r="M43" s="138">
        <f t="shared" si="29"/>
        <v>6268.5</v>
      </c>
      <c r="N43" s="138">
        <f t="shared" si="29"/>
        <v>6518.5</v>
      </c>
      <c r="O43" s="35"/>
      <c r="P43" s="35"/>
      <c r="Q43" s="35"/>
      <c r="R43" s="35"/>
      <c r="S43" s="35"/>
    </row>
    <row r="45" spans="2:19">
      <c r="D45" s="36" t="s">
        <v>190</v>
      </c>
      <c r="E45" s="75">
        <f>IRR(E43:N43)</f>
        <v>0.15339011071296715</v>
      </c>
    </row>
    <row r="46" spans="2:19">
      <c r="D46" s="36" t="s">
        <v>510</v>
      </c>
      <c r="E46" s="139">
        <f>NPV(0.12,E43:N43)</f>
        <v>3422.607869777321</v>
      </c>
    </row>
    <row r="49" spans="3:14">
      <c r="E49" s="145">
        <f>E43/1000000</f>
        <v>-2.8031500000000001E-2</v>
      </c>
      <c r="F49" s="145">
        <f t="shared" ref="F49:N49" si="30">F43/1000000</f>
        <v>5.1685000000000004E-3</v>
      </c>
      <c r="G49" s="145">
        <f t="shared" si="30"/>
        <v>4.9185000000000001E-3</v>
      </c>
      <c r="H49" s="145">
        <f t="shared" si="30"/>
        <v>6.5185E-3</v>
      </c>
      <c r="I49" s="145">
        <f t="shared" si="30"/>
        <v>6.2684999999999998E-3</v>
      </c>
      <c r="J49" s="145">
        <f t="shared" si="30"/>
        <v>6.5185E-3</v>
      </c>
      <c r="K49" s="145">
        <f t="shared" si="30"/>
        <v>6.2684999999999998E-3</v>
      </c>
      <c r="L49" s="145">
        <f t="shared" si="30"/>
        <v>6.5185E-3</v>
      </c>
      <c r="M49" s="145">
        <f t="shared" si="30"/>
        <v>6.2684999999999998E-3</v>
      </c>
      <c r="N49" s="145">
        <f t="shared" si="30"/>
        <v>6.5185E-3</v>
      </c>
    </row>
    <row r="51" spans="3:14">
      <c r="C51" s="2" t="s">
        <v>500</v>
      </c>
    </row>
    <row r="52" spans="3:14">
      <c r="C52" s="283" t="s">
        <v>499</v>
      </c>
      <c r="D52" s="4" t="s">
        <v>188</v>
      </c>
      <c r="E52" s="36" t="s">
        <v>70</v>
      </c>
      <c r="F52" s="36" t="s">
        <v>71</v>
      </c>
      <c r="G52" s="36" t="s">
        <v>72</v>
      </c>
      <c r="H52" s="36" t="s">
        <v>73</v>
      </c>
      <c r="I52" s="36" t="s">
        <v>74</v>
      </c>
      <c r="J52" s="36" t="s">
        <v>75</v>
      </c>
      <c r="K52" s="36" t="s">
        <v>76</v>
      </c>
      <c r="L52" s="36" t="s">
        <v>77</v>
      </c>
      <c r="M52" s="36" t="s">
        <v>78</v>
      </c>
      <c r="N52" s="36" t="s">
        <v>79</v>
      </c>
    </row>
    <row r="53" spans="3:14">
      <c r="C53" t="s">
        <v>511</v>
      </c>
      <c r="D53" t="s">
        <v>504</v>
      </c>
      <c r="E53" s="284">
        <f>S2/6</f>
        <v>5533.333333333333</v>
      </c>
      <c r="F53" s="284">
        <f>E53</f>
        <v>5533.333333333333</v>
      </c>
      <c r="G53" s="284">
        <f>F53</f>
        <v>5533.333333333333</v>
      </c>
      <c r="H53" s="284">
        <f>G53</f>
        <v>5533.333333333333</v>
      </c>
      <c r="I53" s="284">
        <f>H53</f>
        <v>5533.333333333333</v>
      </c>
      <c r="J53" s="284">
        <f>I53</f>
        <v>5533.333333333333</v>
      </c>
    </row>
    <row r="54" spans="3:14">
      <c r="C54" t="s">
        <v>503</v>
      </c>
      <c r="D54" t="s">
        <v>502</v>
      </c>
      <c r="E54" s="284">
        <f>0.18*SUM(E53:J53)</f>
        <v>5976</v>
      </c>
      <c r="F54" s="284">
        <f t="shared" ref="F54:J54" si="31">0.18*SUM(F53:K53)</f>
        <v>4979.9999999999991</v>
      </c>
      <c r="G54" s="284">
        <f t="shared" si="31"/>
        <v>3983.9999999999995</v>
      </c>
      <c r="H54" s="284">
        <f t="shared" si="31"/>
        <v>2988</v>
      </c>
      <c r="I54" s="284">
        <f t="shared" si="31"/>
        <v>1991.9999999999998</v>
      </c>
      <c r="J54" s="284">
        <f t="shared" si="31"/>
        <v>995.99999999999989</v>
      </c>
    </row>
    <row r="55" spans="3:14">
      <c r="D55" t="s">
        <v>505</v>
      </c>
      <c r="E55" s="33">
        <f>SUM(E53:E54)</f>
        <v>11509.333333333332</v>
      </c>
      <c r="F55" s="33">
        <f t="shared" ref="F55:J55" si="32">SUM(F53:F54)</f>
        <v>10513.333333333332</v>
      </c>
      <c r="G55" s="33">
        <f t="shared" si="32"/>
        <v>9517.3333333333321</v>
      </c>
      <c r="H55" s="33">
        <f t="shared" si="32"/>
        <v>8521.3333333333321</v>
      </c>
      <c r="I55" s="33">
        <f t="shared" si="32"/>
        <v>7525.333333333333</v>
      </c>
      <c r="J55" s="33">
        <f t="shared" si="32"/>
        <v>6529.333333333333</v>
      </c>
    </row>
    <row r="57" spans="3:14">
      <c r="D57" t="s">
        <v>189</v>
      </c>
      <c r="E57" s="33">
        <f>SUM(E26)-SUM(E37:E41)-E55</f>
        <v>-6340.8333333333321</v>
      </c>
      <c r="F57" s="33">
        <f t="shared" ref="F57:N57" si="33">SUM(F26)-SUM(F37:F41)-F55</f>
        <v>-5344.8333333333321</v>
      </c>
      <c r="G57" s="33">
        <f t="shared" si="33"/>
        <v>-4348.8333333333321</v>
      </c>
      <c r="H57" s="33">
        <f t="shared" si="33"/>
        <v>-2002.8333333333321</v>
      </c>
      <c r="I57" s="33">
        <f t="shared" si="33"/>
        <v>-1006.833333333333</v>
      </c>
      <c r="J57" s="33">
        <f t="shared" si="33"/>
        <v>-10.83333333333303</v>
      </c>
      <c r="K57" s="33">
        <f t="shared" si="33"/>
        <v>6518.5</v>
      </c>
      <c r="L57" s="33">
        <f t="shared" si="33"/>
        <v>6518.5</v>
      </c>
      <c r="M57" s="33">
        <f t="shared" si="33"/>
        <v>6518.5</v>
      </c>
      <c r="N57" s="33">
        <f t="shared" si="33"/>
        <v>6518.5</v>
      </c>
    </row>
    <row r="59" spans="3:14">
      <c r="D59" s="36" t="s">
        <v>190</v>
      </c>
      <c r="E59" s="75">
        <f>IRR(E57:N57)</f>
        <v>5.156985287548399E-2</v>
      </c>
    </row>
    <row r="60" spans="3:14">
      <c r="D60" s="36" t="s">
        <v>510</v>
      </c>
      <c r="E60" s="139">
        <f>NPV(0.18,E57:N57)</f>
        <v>-6840.5669414405365</v>
      </c>
    </row>
    <row r="63" spans="3:14">
      <c r="C63" s="2" t="s">
        <v>506</v>
      </c>
      <c r="D63" s="4" t="s">
        <v>188</v>
      </c>
      <c r="E63" s="36" t="s">
        <v>70</v>
      </c>
      <c r="F63" s="36" t="s">
        <v>71</v>
      </c>
      <c r="G63" s="36" t="s">
        <v>72</v>
      </c>
      <c r="H63" s="36" t="s">
        <v>73</v>
      </c>
      <c r="I63" s="36" t="s">
        <v>74</v>
      </c>
      <c r="J63" s="36" t="s">
        <v>75</v>
      </c>
      <c r="K63" s="36" t="s">
        <v>76</v>
      </c>
      <c r="L63" s="36" t="s">
        <v>77</v>
      </c>
      <c r="M63" s="36" t="s">
        <v>78</v>
      </c>
      <c r="N63" s="36" t="s">
        <v>79</v>
      </c>
    </row>
    <row r="64" spans="3:14">
      <c r="C64" s="283" t="s">
        <v>499</v>
      </c>
      <c r="D64" t="s">
        <v>504</v>
      </c>
      <c r="E64" s="284">
        <f>S2/6/2</f>
        <v>2766.6666666666665</v>
      </c>
      <c r="F64" s="284">
        <f>E64</f>
        <v>2766.6666666666665</v>
      </c>
      <c r="G64" s="284">
        <f>F64</f>
        <v>2766.6666666666665</v>
      </c>
      <c r="H64" s="284">
        <f>G64</f>
        <v>2766.6666666666665</v>
      </c>
      <c r="I64" s="284">
        <f>H64</f>
        <v>2766.6666666666665</v>
      </c>
      <c r="J64" s="284">
        <f>I64</f>
        <v>2766.6666666666665</v>
      </c>
    </row>
    <row r="65" spans="3:14">
      <c r="C65" t="s">
        <v>507</v>
      </c>
      <c r="D65" t="s">
        <v>502</v>
      </c>
      <c r="E65" s="284">
        <f>0.18*SUM(E64:J64)</f>
        <v>2988</v>
      </c>
      <c r="F65" s="284">
        <f t="shared" ref="F65:J65" si="34">0.18*SUM(F64:K64)</f>
        <v>2489.9999999999995</v>
      </c>
      <c r="G65" s="284">
        <f t="shared" si="34"/>
        <v>1991.9999999999998</v>
      </c>
      <c r="H65" s="284">
        <f t="shared" si="34"/>
        <v>1494</v>
      </c>
      <c r="I65" s="284">
        <f t="shared" si="34"/>
        <v>995.99999999999989</v>
      </c>
      <c r="J65" s="284">
        <f t="shared" si="34"/>
        <v>497.99999999999994</v>
      </c>
    </row>
    <row r="66" spans="3:14">
      <c r="C66" t="s">
        <v>503</v>
      </c>
      <c r="D66" t="s">
        <v>509</v>
      </c>
      <c r="E66" s="284">
        <f>S2/2</f>
        <v>16600</v>
      </c>
    </row>
    <row r="67" spans="3:14">
      <c r="C67" t="s">
        <v>508</v>
      </c>
      <c r="D67" t="s">
        <v>505</v>
      </c>
      <c r="E67" s="33">
        <f>SUM(E64:E66)</f>
        <v>22354.666666666664</v>
      </c>
      <c r="F67" s="33">
        <f t="shared" ref="F67:J67" si="35">SUM(F64:F66)</f>
        <v>5256.6666666666661</v>
      </c>
      <c r="G67" s="33">
        <f t="shared" si="35"/>
        <v>4758.6666666666661</v>
      </c>
      <c r="H67" s="33">
        <f t="shared" si="35"/>
        <v>4260.6666666666661</v>
      </c>
      <c r="I67" s="33">
        <f t="shared" si="35"/>
        <v>3762.6666666666665</v>
      </c>
      <c r="J67" s="33">
        <f t="shared" si="35"/>
        <v>3264.6666666666665</v>
      </c>
    </row>
    <row r="69" spans="3:14">
      <c r="D69" t="s">
        <v>189</v>
      </c>
      <c r="E69" s="33">
        <f>SUM(E26)-SUM(E37:E41)-E67</f>
        <v>-17186.166666666664</v>
      </c>
      <c r="F69" s="33">
        <f t="shared" ref="F69:N69" si="36">SUM(F26)-SUM(F37:F41)-F67</f>
        <v>-88.16666666666606</v>
      </c>
      <c r="G69" s="33">
        <f t="shared" si="36"/>
        <v>409.83333333333394</v>
      </c>
      <c r="H69" s="33">
        <f t="shared" si="36"/>
        <v>2257.8333333333339</v>
      </c>
      <c r="I69" s="33">
        <f t="shared" si="36"/>
        <v>2755.8333333333335</v>
      </c>
      <c r="J69" s="33">
        <f t="shared" si="36"/>
        <v>3253.8333333333335</v>
      </c>
      <c r="K69" s="33">
        <f t="shared" si="36"/>
        <v>6518.5</v>
      </c>
      <c r="L69" s="33">
        <f t="shared" si="36"/>
        <v>6518.5</v>
      </c>
      <c r="M69" s="33">
        <f t="shared" si="36"/>
        <v>6518.5</v>
      </c>
      <c r="N69" s="33">
        <f t="shared" si="36"/>
        <v>6518.5</v>
      </c>
    </row>
    <row r="71" spans="3:14">
      <c r="D71" s="36" t="s">
        <v>190</v>
      </c>
      <c r="E71" s="75">
        <f>IRR(E69:N69)</f>
        <v>0.11474070271969983</v>
      </c>
    </row>
    <row r="72" spans="3:14">
      <c r="D72" s="36" t="s">
        <v>510</v>
      </c>
      <c r="E72" s="139">
        <f>NPV(0.18,E69:N69)</f>
        <v>-4308.3635516100239</v>
      </c>
    </row>
  </sheetData>
  <mergeCells count="15">
    <mergeCell ref="Q13:R13"/>
    <mergeCell ref="T13:U13"/>
    <mergeCell ref="T10:U10"/>
    <mergeCell ref="Q11:R11"/>
    <mergeCell ref="T11:U11"/>
    <mergeCell ref="Q12:R12"/>
    <mergeCell ref="T12:U12"/>
    <mergeCell ref="Q17:R17"/>
    <mergeCell ref="T17:U17"/>
    <mergeCell ref="Q14:R14"/>
    <mergeCell ref="T14:U14"/>
    <mergeCell ref="Q15:R15"/>
    <mergeCell ref="T15:U15"/>
    <mergeCell ref="Q16:R16"/>
    <mergeCell ref="T16:U1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V61"/>
  <sheetViews>
    <sheetView workbookViewId="0">
      <selection activeCell="E26" sqref="E26"/>
    </sheetView>
  </sheetViews>
  <sheetFormatPr defaultColWidth="8.7109375" defaultRowHeight="15"/>
  <cols>
    <col min="2" max="2" width="16.140625" bestFit="1" customWidth="1"/>
    <col min="3" max="3" width="27" customWidth="1"/>
    <col min="4" max="4" width="16.42578125" style="4" bestFit="1" customWidth="1"/>
    <col min="5" max="14" width="9.140625" style="4"/>
  </cols>
  <sheetData>
    <row r="1" spans="2:22">
      <c r="B1" s="1" t="s">
        <v>153</v>
      </c>
    </row>
    <row r="2" spans="2:22">
      <c r="P2" s="273" t="s">
        <v>493</v>
      </c>
      <c r="Q2" s="273"/>
      <c r="R2" s="277">
        <f>SUM(E18:E19)</f>
        <v>9500</v>
      </c>
      <c r="S2" s="273"/>
      <c r="T2" s="273"/>
      <c r="U2" s="273"/>
    </row>
    <row r="3" spans="2:22">
      <c r="B3" s="1" t="s">
        <v>210</v>
      </c>
      <c r="E3" s="36" t="s">
        <v>70</v>
      </c>
      <c r="F3" s="36" t="s">
        <v>71</v>
      </c>
      <c r="G3" s="36" t="s">
        <v>72</v>
      </c>
      <c r="H3" s="36" t="s">
        <v>73</v>
      </c>
      <c r="I3" s="36" t="s">
        <v>74</v>
      </c>
      <c r="J3" s="36" t="s">
        <v>75</v>
      </c>
      <c r="K3" s="36" t="s">
        <v>76</v>
      </c>
      <c r="L3" s="36" t="s">
        <v>77</v>
      </c>
      <c r="M3" s="36" t="s">
        <v>78</v>
      </c>
      <c r="N3" s="36" t="s">
        <v>79</v>
      </c>
      <c r="P3" s="273" t="s">
        <v>494</v>
      </c>
      <c r="Q3" s="273"/>
      <c r="R3" s="273"/>
      <c r="S3" s="273"/>
      <c r="T3" s="273"/>
      <c r="U3" s="273"/>
    </row>
    <row r="4" spans="2:22">
      <c r="P4" s="275" t="s">
        <v>70</v>
      </c>
      <c r="Q4" s="276" t="s">
        <v>71</v>
      </c>
      <c r="R4" s="276" t="s">
        <v>72</v>
      </c>
      <c r="S4" s="276" t="s">
        <v>73</v>
      </c>
      <c r="T4" s="276" t="s">
        <v>74</v>
      </c>
      <c r="U4" s="276" t="s">
        <v>75</v>
      </c>
    </row>
    <row r="5" spans="2:22">
      <c r="B5" t="s">
        <v>168</v>
      </c>
      <c r="C5" s="83" t="s">
        <v>161</v>
      </c>
      <c r="D5" s="36" t="s">
        <v>119</v>
      </c>
      <c r="E5" s="36">
        <v>1</v>
      </c>
      <c r="F5" s="36"/>
      <c r="G5" s="36"/>
      <c r="H5" s="36"/>
      <c r="I5" s="36"/>
      <c r="J5" s="36"/>
      <c r="K5" s="36"/>
      <c r="L5" s="36"/>
      <c r="M5" s="36"/>
      <c r="N5" s="36"/>
      <c r="P5" s="277">
        <f>SUM(E16)-SUM(E21:E24)</f>
        <v>1491.1280000000002</v>
      </c>
      <c r="Q5" s="277">
        <f t="shared" ref="Q5:U5" si="0">SUM(F16)-SUM(F21:F24)</f>
        <v>1717.0239999999994</v>
      </c>
      <c r="R5" s="277">
        <f t="shared" si="0"/>
        <v>1942.92</v>
      </c>
      <c r="S5" s="277">
        <f t="shared" si="0"/>
        <v>1942.92</v>
      </c>
      <c r="T5" s="277">
        <f t="shared" si="0"/>
        <v>1942.92</v>
      </c>
      <c r="U5" s="277">
        <f t="shared" si="0"/>
        <v>1942.92</v>
      </c>
      <c r="V5" s="35">
        <f>SUM(P5:U5)</f>
        <v>10979.832</v>
      </c>
    </row>
    <row r="6" spans="2:22">
      <c r="C6" s="83" t="s">
        <v>162</v>
      </c>
      <c r="D6" s="36" t="s">
        <v>163</v>
      </c>
      <c r="E6" s="36">
        <v>10</v>
      </c>
      <c r="F6" s="36"/>
      <c r="G6" s="36"/>
      <c r="H6" s="36"/>
      <c r="I6" s="36"/>
      <c r="J6" s="36"/>
      <c r="K6" s="36"/>
      <c r="L6" s="36"/>
      <c r="M6" s="36"/>
      <c r="N6" s="36"/>
      <c r="P6" s="273"/>
      <c r="Q6" s="273"/>
      <c r="R6" s="273"/>
      <c r="S6" s="273"/>
      <c r="T6" s="273"/>
      <c r="U6" s="273"/>
    </row>
    <row r="7" spans="2:22"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P7" s="278" t="s">
        <v>495</v>
      </c>
      <c r="Q7" s="279" t="s">
        <v>497</v>
      </c>
      <c r="R7" s="273"/>
      <c r="S7" s="273"/>
      <c r="T7" s="273"/>
      <c r="U7" s="273"/>
    </row>
    <row r="8" spans="2:22">
      <c r="B8" t="s">
        <v>169</v>
      </c>
      <c r="C8" t="s">
        <v>207</v>
      </c>
      <c r="D8" s="36" t="s">
        <v>209</v>
      </c>
      <c r="E8" s="36">
        <v>4</v>
      </c>
      <c r="F8" s="36">
        <f>E8</f>
        <v>4</v>
      </c>
      <c r="G8" s="36">
        <f t="shared" ref="G8:N8" si="1">F8</f>
        <v>4</v>
      </c>
      <c r="H8" s="36">
        <f t="shared" si="1"/>
        <v>4</v>
      </c>
      <c r="I8" s="36">
        <f t="shared" si="1"/>
        <v>4</v>
      </c>
      <c r="J8" s="36">
        <f t="shared" si="1"/>
        <v>4</v>
      </c>
      <c r="K8" s="36">
        <f t="shared" si="1"/>
        <v>4</v>
      </c>
      <c r="L8" s="36">
        <f t="shared" si="1"/>
        <v>4</v>
      </c>
      <c r="M8" s="36">
        <f t="shared" si="1"/>
        <v>4</v>
      </c>
      <c r="N8" s="36">
        <f t="shared" si="1"/>
        <v>4</v>
      </c>
    </row>
    <row r="9" spans="2:22">
      <c r="C9" t="s">
        <v>186</v>
      </c>
      <c r="D9" s="36" t="s">
        <v>187</v>
      </c>
      <c r="E9" s="36">
        <f>12*10*5</f>
        <v>600</v>
      </c>
      <c r="F9" s="36">
        <f>E9</f>
        <v>600</v>
      </c>
      <c r="G9" s="36">
        <f t="shared" ref="G9:N9" si="2">F9</f>
        <v>600</v>
      </c>
      <c r="H9" s="36">
        <f t="shared" si="2"/>
        <v>600</v>
      </c>
      <c r="I9" s="36">
        <f t="shared" si="2"/>
        <v>600</v>
      </c>
      <c r="J9" s="36">
        <f t="shared" si="2"/>
        <v>600</v>
      </c>
      <c r="K9" s="36">
        <f t="shared" si="2"/>
        <v>600</v>
      </c>
      <c r="L9" s="36">
        <f t="shared" si="2"/>
        <v>600</v>
      </c>
      <c r="M9" s="36">
        <f t="shared" si="2"/>
        <v>600</v>
      </c>
      <c r="N9" s="36">
        <f t="shared" si="2"/>
        <v>600</v>
      </c>
    </row>
    <row r="10" spans="2:22">
      <c r="C10" t="s">
        <v>204</v>
      </c>
      <c r="D10" s="36" t="s">
        <v>174</v>
      </c>
      <c r="E10" s="38">
        <f>0.05</f>
        <v>0.05</v>
      </c>
      <c r="F10" s="38">
        <f t="shared" ref="F10:N10" si="3">0.05</f>
        <v>0.05</v>
      </c>
      <c r="G10" s="38">
        <f t="shared" si="3"/>
        <v>0.05</v>
      </c>
      <c r="H10" s="38">
        <f t="shared" si="3"/>
        <v>0.05</v>
      </c>
      <c r="I10" s="38">
        <f t="shared" si="3"/>
        <v>0.05</v>
      </c>
      <c r="J10" s="38">
        <f t="shared" si="3"/>
        <v>0.05</v>
      </c>
      <c r="K10" s="38">
        <f t="shared" si="3"/>
        <v>0.05</v>
      </c>
      <c r="L10" s="38">
        <f t="shared" si="3"/>
        <v>0.05</v>
      </c>
      <c r="M10" s="38">
        <f t="shared" si="3"/>
        <v>0.05</v>
      </c>
      <c r="N10" s="38">
        <f t="shared" si="3"/>
        <v>0.05</v>
      </c>
      <c r="R10" s="4" t="s">
        <v>190</v>
      </c>
      <c r="S10" s="462" t="s">
        <v>515</v>
      </c>
      <c r="T10" s="463"/>
      <c r="U10" t="s">
        <v>517</v>
      </c>
    </row>
    <row r="11" spans="2:22">
      <c r="C11" t="s">
        <v>181</v>
      </c>
      <c r="D11" s="36" t="s">
        <v>174</v>
      </c>
      <c r="E11" s="38">
        <v>0.1</v>
      </c>
      <c r="F11" s="38">
        <v>0.1</v>
      </c>
      <c r="G11" s="38">
        <v>0.1</v>
      </c>
      <c r="H11" s="38">
        <v>0.1</v>
      </c>
      <c r="I11" s="38">
        <v>0.1</v>
      </c>
      <c r="J11" s="38">
        <v>0.1</v>
      </c>
      <c r="K11" s="38">
        <v>0.1</v>
      </c>
      <c r="L11" s="38">
        <v>0.1</v>
      </c>
      <c r="M11" s="38">
        <v>0.1</v>
      </c>
      <c r="N11" s="38">
        <v>0.1</v>
      </c>
      <c r="P11" s="464" t="s">
        <v>512</v>
      </c>
      <c r="Q11" s="464"/>
      <c r="R11" s="286">
        <v>0.18586883994826553</v>
      </c>
      <c r="S11" s="461">
        <v>1912.3198467681973</v>
      </c>
      <c r="T11" s="461">
        <v>1912.3198467681973</v>
      </c>
      <c r="U11" s="34">
        <v>0.18</v>
      </c>
    </row>
    <row r="12" spans="2:22"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P12" s="464" t="s">
        <v>519</v>
      </c>
      <c r="Q12" s="464"/>
      <c r="R12" s="286">
        <v>0.14304114371031518</v>
      </c>
      <c r="S12" s="461">
        <v>665.13049666474285</v>
      </c>
      <c r="T12" s="461"/>
      <c r="U12" s="34">
        <v>0.18</v>
      </c>
    </row>
    <row r="13" spans="2:22">
      <c r="B13" t="s">
        <v>175</v>
      </c>
      <c r="C13" t="s">
        <v>211</v>
      </c>
      <c r="D13" s="36" t="s">
        <v>121</v>
      </c>
      <c r="E13" s="171">
        <f>10*4*(2567/1000)*11</f>
        <v>1129.48</v>
      </c>
      <c r="F13" s="171">
        <f>E13</f>
        <v>1129.48</v>
      </c>
      <c r="G13" s="171">
        <f t="shared" ref="G13:N13" si="4">F13</f>
        <v>1129.48</v>
      </c>
      <c r="H13" s="171">
        <f t="shared" si="4"/>
        <v>1129.48</v>
      </c>
      <c r="I13" s="171">
        <f t="shared" si="4"/>
        <v>1129.48</v>
      </c>
      <c r="J13" s="171">
        <f t="shared" si="4"/>
        <v>1129.48</v>
      </c>
      <c r="K13" s="171">
        <f t="shared" si="4"/>
        <v>1129.48</v>
      </c>
      <c r="L13" s="171">
        <f t="shared" si="4"/>
        <v>1129.48</v>
      </c>
      <c r="M13" s="171">
        <f t="shared" si="4"/>
        <v>1129.48</v>
      </c>
      <c r="N13" s="171">
        <f t="shared" si="4"/>
        <v>1129.48</v>
      </c>
      <c r="P13" s="464" t="s">
        <v>513</v>
      </c>
      <c r="Q13" s="464"/>
      <c r="R13" s="286">
        <v>9.962162216397763E-2</v>
      </c>
      <c r="S13" s="461">
        <v>-582</v>
      </c>
      <c r="T13" s="461"/>
      <c r="U13" s="34">
        <v>0.18</v>
      </c>
    </row>
    <row r="14" spans="2:2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P14" s="464" t="s">
        <v>518</v>
      </c>
      <c r="Q14" s="464"/>
      <c r="R14" s="286">
        <v>0.17736599194938374</v>
      </c>
      <c r="S14" s="465">
        <v>1665.1225892752223</v>
      </c>
      <c r="T14" s="465">
        <v>1665.1225892752223</v>
      </c>
      <c r="U14" s="34">
        <v>0.18</v>
      </c>
    </row>
    <row r="15" spans="2:22">
      <c r="D15" s="36" t="s">
        <v>184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P15" s="464" t="s">
        <v>514</v>
      </c>
      <c r="Q15" s="464"/>
      <c r="R15" s="286">
        <v>0.16886769505085142</v>
      </c>
      <c r="S15" s="461">
        <v>1417.9253317822463</v>
      </c>
      <c r="T15" s="461"/>
      <c r="U15" s="34">
        <v>0.18</v>
      </c>
    </row>
    <row r="16" spans="2:22">
      <c r="B16" t="s">
        <v>175</v>
      </c>
      <c r="C16" t="s">
        <v>249</v>
      </c>
      <c r="D16" s="36">
        <f>4*Price</f>
        <v>4</v>
      </c>
      <c r="E16" s="171">
        <f>0.9*$D16*E13</f>
        <v>4066.1280000000002</v>
      </c>
      <c r="F16" s="171">
        <f>0.95*$D16*F13</f>
        <v>4292.0239999999994</v>
      </c>
      <c r="G16" s="171">
        <f t="shared" ref="G16:N16" si="5">$D16*G13</f>
        <v>4517.92</v>
      </c>
      <c r="H16" s="171">
        <f t="shared" si="5"/>
        <v>4517.92</v>
      </c>
      <c r="I16" s="171">
        <f t="shared" si="5"/>
        <v>4517.92</v>
      </c>
      <c r="J16" s="171">
        <f t="shared" si="5"/>
        <v>4517.92</v>
      </c>
      <c r="K16" s="171">
        <f t="shared" si="5"/>
        <v>4517.92</v>
      </c>
      <c r="L16" s="171">
        <f t="shared" si="5"/>
        <v>4517.92</v>
      </c>
      <c r="M16" s="171">
        <f t="shared" si="5"/>
        <v>4517.92</v>
      </c>
      <c r="N16" s="171">
        <f t="shared" si="5"/>
        <v>4517.92</v>
      </c>
      <c r="P16" s="464" t="s">
        <v>516</v>
      </c>
      <c r="Q16" s="464"/>
      <c r="R16" s="286">
        <v>0.18586883994826553</v>
      </c>
      <c r="S16" s="461">
        <v>-304.39435776391718</v>
      </c>
      <c r="T16" s="461">
        <v>-304.39435776391718</v>
      </c>
      <c r="U16" s="34">
        <v>0.2</v>
      </c>
    </row>
    <row r="17" spans="2:21"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P17" s="464" t="s">
        <v>516</v>
      </c>
      <c r="Q17" s="464"/>
      <c r="R17" s="286">
        <v>0.18586883994826553</v>
      </c>
      <c r="S17" s="461">
        <v>-1168.8048258744316</v>
      </c>
      <c r="T17" s="461"/>
      <c r="U17" s="34">
        <v>0.25</v>
      </c>
    </row>
    <row r="18" spans="2:21">
      <c r="B18" t="s">
        <v>168</v>
      </c>
      <c r="C18" s="83" t="s">
        <v>161</v>
      </c>
      <c r="D18" s="171">
        <v>7500</v>
      </c>
      <c r="E18" s="171">
        <f>$D18*E5</f>
        <v>7500</v>
      </c>
      <c r="F18" s="171">
        <f t="shared" ref="F18:N22" si="6">$D18*F5</f>
        <v>0</v>
      </c>
      <c r="G18" s="171">
        <f t="shared" si="6"/>
        <v>0</v>
      </c>
      <c r="H18" s="171">
        <f t="shared" si="6"/>
        <v>0</v>
      </c>
      <c r="I18" s="171">
        <f t="shared" si="6"/>
        <v>0</v>
      </c>
      <c r="J18" s="171">
        <f t="shared" si="6"/>
        <v>0</v>
      </c>
      <c r="K18" s="171">
        <f t="shared" si="6"/>
        <v>0</v>
      </c>
      <c r="L18" s="171">
        <f t="shared" si="6"/>
        <v>0</v>
      </c>
      <c r="M18" s="171">
        <f t="shared" si="6"/>
        <v>0</v>
      </c>
      <c r="N18" s="171">
        <f t="shared" si="6"/>
        <v>0</v>
      </c>
    </row>
    <row r="19" spans="2:21">
      <c r="C19" s="83" t="s">
        <v>162</v>
      </c>
      <c r="D19" s="36">
        <v>200</v>
      </c>
      <c r="E19" s="171">
        <f>$D19*E6</f>
        <v>2000</v>
      </c>
      <c r="F19" s="171">
        <f t="shared" si="6"/>
        <v>0</v>
      </c>
      <c r="G19" s="171">
        <f t="shared" si="6"/>
        <v>0</v>
      </c>
      <c r="H19" s="171">
        <f t="shared" si="6"/>
        <v>0</v>
      </c>
      <c r="I19" s="171">
        <f t="shared" si="6"/>
        <v>0</v>
      </c>
      <c r="J19" s="171">
        <f t="shared" si="6"/>
        <v>0</v>
      </c>
      <c r="K19" s="171">
        <f t="shared" si="6"/>
        <v>0</v>
      </c>
      <c r="L19" s="171">
        <f t="shared" si="6"/>
        <v>0</v>
      </c>
      <c r="M19" s="171">
        <f t="shared" si="6"/>
        <v>0</v>
      </c>
      <c r="N19" s="171">
        <f t="shared" si="6"/>
        <v>0</v>
      </c>
    </row>
    <row r="20" spans="2:21"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</row>
    <row r="21" spans="2:21">
      <c r="B21" t="s">
        <v>169</v>
      </c>
      <c r="C21" t="s">
        <v>208</v>
      </c>
      <c r="D21" s="36">
        <f>100*1</f>
        <v>100</v>
      </c>
      <c r="E21" s="171">
        <f>$D21*E8</f>
        <v>400</v>
      </c>
      <c r="F21" s="171">
        <f t="shared" si="6"/>
        <v>400</v>
      </c>
      <c r="G21" s="171">
        <f t="shared" si="6"/>
        <v>400</v>
      </c>
      <c r="H21" s="171">
        <f t="shared" si="6"/>
        <v>400</v>
      </c>
      <c r="I21" s="171">
        <f t="shared" si="6"/>
        <v>400</v>
      </c>
      <c r="J21" s="171">
        <f t="shared" si="6"/>
        <v>400</v>
      </c>
      <c r="K21" s="171">
        <f t="shared" si="6"/>
        <v>400</v>
      </c>
      <c r="L21" s="171">
        <f t="shared" si="6"/>
        <v>400</v>
      </c>
      <c r="M21" s="171">
        <f t="shared" si="6"/>
        <v>400</v>
      </c>
      <c r="N21" s="171">
        <f t="shared" si="6"/>
        <v>400</v>
      </c>
    </row>
    <row r="22" spans="2:21">
      <c r="C22" t="s">
        <v>186</v>
      </c>
      <c r="D22" s="36">
        <v>1.25</v>
      </c>
      <c r="E22" s="171">
        <f>$D22*E9</f>
        <v>750</v>
      </c>
      <c r="F22" s="171">
        <f t="shared" si="6"/>
        <v>750</v>
      </c>
      <c r="G22" s="171">
        <f t="shared" si="6"/>
        <v>750</v>
      </c>
      <c r="H22" s="171">
        <f t="shared" si="6"/>
        <v>750</v>
      </c>
      <c r="I22" s="171">
        <f t="shared" si="6"/>
        <v>750</v>
      </c>
      <c r="J22" s="171">
        <f t="shared" si="6"/>
        <v>750</v>
      </c>
      <c r="K22" s="171">
        <f t="shared" si="6"/>
        <v>750</v>
      </c>
      <c r="L22" s="171">
        <f t="shared" si="6"/>
        <v>750</v>
      </c>
      <c r="M22" s="171">
        <f t="shared" si="6"/>
        <v>750</v>
      </c>
      <c r="N22" s="171">
        <f t="shared" si="6"/>
        <v>750</v>
      </c>
    </row>
    <row r="23" spans="2:21">
      <c r="C23" t="s">
        <v>204</v>
      </c>
      <c r="D23" s="171">
        <f>SUM(E18:E19)</f>
        <v>9500</v>
      </c>
      <c r="E23" s="171">
        <f>$D23*E10</f>
        <v>475</v>
      </c>
      <c r="F23" s="171">
        <f t="shared" ref="F23:N24" si="7">$D23*F10</f>
        <v>475</v>
      </c>
      <c r="G23" s="171">
        <f t="shared" si="7"/>
        <v>475</v>
      </c>
      <c r="H23" s="171">
        <f t="shared" si="7"/>
        <v>475</v>
      </c>
      <c r="I23" s="171">
        <f t="shared" si="7"/>
        <v>475</v>
      </c>
      <c r="J23" s="171">
        <f t="shared" si="7"/>
        <v>475</v>
      </c>
      <c r="K23" s="171">
        <f t="shared" si="7"/>
        <v>475</v>
      </c>
      <c r="L23" s="171">
        <f t="shared" si="7"/>
        <v>475</v>
      </c>
      <c r="M23" s="171">
        <f t="shared" si="7"/>
        <v>475</v>
      </c>
      <c r="N23" s="171">
        <f t="shared" si="7"/>
        <v>475</v>
      </c>
    </row>
    <row r="24" spans="2:21">
      <c r="C24" t="s">
        <v>181</v>
      </c>
      <c r="D24" s="171">
        <f>SUM(E18:E19)</f>
        <v>9500</v>
      </c>
      <c r="E24" s="171">
        <f>$D24*E11</f>
        <v>950</v>
      </c>
      <c r="F24" s="171">
        <f t="shared" si="7"/>
        <v>950</v>
      </c>
      <c r="G24" s="171">
        <f t="shared" si="7"/>
        <v>950</v>
      </c>
      <c r="H24" s="171">
        <f t="shared" si="7"/>
        <v>950</v>
      </c>
      <c r="I24" s="171">
        <f t="shared" si="7"/>
        <v>950</v>
      </c>
      <c r="J24" s="171">
        <f t="shared" si="7"/>
        <v>950</v>
      </c>
      <c r="K24" s="171">
        <f t="shared" si="7"/>
        <v>950</v>
      </c>
      <c r="L24" s="171">
        <f t="shared" si="7"/>
        <v>950</v>
      </c>
      <c r="M24" s="171">
        <f t="shared" si="7"/>
        <v>950</v>
      </c>
      <c r="N24" s="171">
        <f t="shared" si="7"/>
        <v>950</v>
      </c>
    </row>
    <row r="25" spans="2:21"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2:21">
      <c r="C26" s="173" t="s">
        <v>189</v>
      </c>
      <c r="D26" s="60" t="s">
        <v>188</v>
      </c>
      <c r="E26" s="138">
        <f>SUM(E16)-SUM(E18:E24)</f>
        <v>-8008.8719999999994</v>
      </c>
      <c r="F26" s="138">
        <f t="shared" ref="F26:N26" si="8">SUM(F16)-SUM(F18:F24)</f>
        <v>1717.0239999999994</v>
      </c>
      <c r="G26" s="138">
        <f t="shared" si="8"/>
        <v>1942.92</v>
      </c>
      <c r="H26" s="138">
        <f t="shared" si="8"/>
        <v>1942.92</v>
      </c>
      <c r="I26" s="138">
        <f t="shared" si="8"/>
        <v>1942.92</v>
      </c>
      <c r="J26" s="138">
        <f t="shared" si="8"/>
        <v>1942.92</v>
      </c>
      <c r="K26" s="138">
        <f t="shared" si="8"/>
        <v>1942.92</v>
      </c>
      <c r="L26" s="138">
        <f t="shared" si="8"/>
        <v>1942.92</v>
      </c>
      <c r="M26" s="138">
        <f t="shared" si="8"/>
        <v>1942.92</v>
      </c>
      <c r="N26" s="138">
        <f t="shared" si="8"/>
        <v>1942.92</v>
      </c>
    </row>
    <row r="27" spans="2:21">
      <c r="D27"/>
      <c r="E27"/>
      <c r="F27"/>
      <c r="G27"/>
      <c r="H27"/>
      <c r="I27"/>
      <c r="J27"/>
      <c r="K27"/>
      <c r="L27"/>
      <c r="M27"/>
      <c r="N27"/>
    </row>
    <row r="28" spans="2:21">
      <c r="D28" s="36" t="s">
        <v>190</v>
      </c>
      <c r="E28" s="75">
        <f>IRR(E26:N26)</f>
        <v>0.18586883994826553</v>
      </c>
      <c r="F28"/>
      <c r="G28"/>
      <c r="H28"/>
      <c r="I28"/>
      <c r="J28"/>
      <c r="K28"/>
      <c r="L28"/>
      <c r="M28"/>
      <c r="N28"/>
    </row>
    <row r="29" spans="2:21">
      <c r="D29" s="36" t="s">
        <v>510</v>
      </c>
      <c r="E29" s="139">
        <f>NPV(0.12,E26:N26)</f>
        <v>1912.3198467681973</v>
      </c>
      <c r="F29"/>
      <c r="G29"/>
      <c r="H29"/>
      <c r="I29"/>
      <c r="J29"/>
      <c r="K29"/>
      <c r="L29"/>
      <c r="M29"/>
      <c r="N29"/>
    </row>
    <row r="31" spans="2:21">
      <c r="E31" s="144">
        <f>E26/1000000</f>
        <v>-8.0088720000000002E-3</v>
      </c>
      <c r="F31" s="144">
        <f t="shared" ref="F31:N31" si="9">F26/1000000</f>
        <v>1.7170239999999995E-3</v>
      </c>
      <c r="G31" s="144">
        <f t="shared" si="9"/>
        <v>1.9429200000000001E-3</v>
      </c>
      <c r="H31" s="144">
        <f t="shared" si="9"/>
        <v>1.9429200000000001E-3</v>
      </c>
      <c r="I31" s="144">
        <f t="shared" si="9"/>
        <v>1.9429200000000001E-3</v>
      </c>
      <c r="J31" s="144">
        <f t="shared" si="9"/>
        <v>1.9429200000000001E-3</v>
      </c>
      <c r="K31" s="144">
        <f t="shared" si="9"/>
        <v>1.9429200000000001E-3</v>
      </c>
      <c r="L31" s="144">
        <f t="shared" si="9"/>
        <v>1.9429200000000001E-3</v>
      </c>
      <c r="M31" s="144">
        <f t="shared" si="9"/>
        <v>1.9429200000000001E-3</v>
      </c>
      <c r="N31" s="144">
        <f t="shared" si="9"/>
        <v>1.9429200000000001E-3</v>
      </c>
    </row>
    <row r="33" spans="3:14">
      <c r="C33" s="2" t="s">
        <v>500</v>
      </c>
      <c r="D33"/>
      <c r="E33"/>
      <c r="F33"/>
      <c r="G33"/>
      <c r="H33"/>
      <c r="I33"/>
      <c r="J33"/>
      <c r="K33"/>
      <c r="L33"/>
      <c r="M33"/>
      <c r="N33"/>
    </row>
    <row r="34" spans="3:14">
      <c r="C34" s="283" t="s">
        <v>499</v>
      </c>
      <c r="D34" s="4" t="s">
        <v>188</v>
      </c>
      <c r="E34" s="36" t="s">
        <v>70</v>
      </c>
      <c r="F34" s="36" t="s">
        <v>71</v>
      </c>
      <c r="G34" s="36" t="s">
        <v>72</v>
      </c>
      <c r="H34" s="36" t="s">
        <v>73</v>
      </c>
      <c r="I34" s="36" t="s">
        <v>74</v>
      </c>
      <c r="J34" s="36" t="s">
        <v>75</v>
      </c>
      <c r="K34" s="36" t="s">
        <v>76</v>
      </c>
      <c r="L34" s="36" t="s">
        <v>77</v>
      </c>
      <c r="M34" s="36" t="s">
        <v>78</v>
      </c>
      <c r="N34" s="36" t="s">
        <v>79</v>
      </c>
    </row>
    <row r="35" spans="3:14">
      <c r="C35" t="s">
        <v>511</v>
      </c>
      <c r="D35" t="s">
        <v>504</v>
      </c>
      <c r="E35" s="284">
        <f>R2/6</f>
        <v>1583.3333333333333</v>
      </c>
      <c r="F35" s="284">
        <f>E35</f>
        <v>1583.3333333333333</v>
      </c>
      <c r="G35" s="284">
        <f>F35</f>
        <v>1583.3333333333333</v>
      </c>
      <c r="H35" s="284">
        <f>G35</f>
        <v>1583.3333333333333</v>
      </c>
      <c r="I35" s="284">
        <f>H35</f>
        <v>1583.3333333333333</v>
      </c>
      <c r="J35" s="284">
        <f>I35</f>
        <v>1583.3333333333333</v>
      </c>
      <c r="K35"/>
      <c r="L35"/>
      <c r="M35"/>
      <c r="N35"/>
    </row>
    <row r="36" spans="3:14">
      <c r="C36" t="s">
        <v>503</v>
      </c>
      <c r="D36" t="s">
        <v>502</v>
      </c>
      <c r="E36" s="284">
        <f>0.18*SUM(E35:J35)</f>
        <v>1710</v>
      </c>
      <c r="F36" s="284">
        <f t="shared" ref="F36:J36" si="10">0.18*SUM(F35:K35)</f>
        <v>1424.9999999999998</v>
      </c>
      <c r="G36" s="284">
        <f t="shared" si="10"/>
        <v>1140</v>
      </c>
      <c r="H36" s="284">
        <f t="shared" si="10"/>
        <v>855</v>
      </c>
      <c r="I36" s="284">
        <f t="shared" si="10"/>
        <v>570</v>
      </c>
      <c r="J36" s="284">
        <f t="shared" si="10"/>
        <v>285</v>
      </c>
      <c r="K36"/>
      <c r="L36"/>
      <c r="M36"/>
      <c r="N36"/>
    </row>
    <row r="37" spans="3:14">
      <c r="D37" t="s">
        <v>505</v>
      </c>
      <c r="E37" s="33">
        <f>SUM(E35:E36)</f>
        <v>3293.333333333333</v>
      </c>
      <c r="F37" s="33">
        <f t="shared" ref="F37:J37" si="11">SUM(F35:F36)</f>
        <v>3008.333333333333</v>
      </c>
      <c r="G37" s="33">
        <f t="shared" si="11"/>
        <v>2723.333333333333</v>
      </c>
      <c r="H37" s="33">
        <f t="shared" si="11"/>
        <v>2438.333333333333</v>
      </c>
      <c r="I37" s="33">
        <f t="shared" si="11"/>
        <v>2153.333333333333</v>
      </c>
      <c r="J37" s="33">
        <f t="shared" si="11"/>
        <v>1868.3333333333333</v>
      </c>
      <c r="K37"/>
      <c r="L37"/>
      <c r="M37"/>
      <c r="N37"/>
    </row>
    <row r="38" spans="3:14">
      <c r="D38"/>
      <c r="E38"/>
      <c r="F38"/>
      <c r="G38"/>
      <c r="H38"/>
      <c r="I38"/>
      <c r="J38"/>
      <c r="K38"/>
      <c r="L38"/>
      <c r="M38"/>
      <c r="N38"/>
    </row>
    <row r="39" spans="3:14">
      <c r="D39" t="s">
        <v>189</v>
      </c>
      <c r="E39" s="33">
        <f>SUM(E16)-SUM(E21:E24)-E37</f>
        <v>-1802.2053333333329</v>
      </c>
      <c r="F39" s="33">
        <f t="shared" ref="F39:N39" si="12">SUM(F16)-SUM(F21:F24)-F37</f>
        <v>-1291.3093333333336</v>
      </c>
      <c r="G39" s="33">
        <f t="shared" si="12"/>
        <v>-780.41333333333296</v>
      </c>
      <c r="H39" s="33">
        <f t="shared" si="12"/>
        <v>-495.41333333333296</v>
      </c>
      <c r="I39" s="33">
        <f t="shared" si="12"/>
        <v>-210.41333333333296</v>
      </c>
      <c r="J39" s="33">
        <f t="shared" si="12"/>
        <v>74.586666666666815</v>
      </c>
      <c r="K39" s="33">
        <f t="shared" si="12"/>
        <v>1942.92</v>
      </c>
      <c r="L39" s="33">
        <f t="shared" si="12"/>
        <v>1942.92</v>
      </c>
      <c r="M39" s="33">
        <f t="shared" si="12"/>
        <v>1942.92</v>
      </c>
      <c r="N39" s="33">
        <f t="shared" si="12"/>
        <v>1942.92</v>
      </c>
    </row>
    <row r="40" spans="3:14">
      <c r="D40"/>
      <c r="E40"/>
      <c r="F40"/>
      <c r="G40"/>
      <c r="H40"/>
      <c r="I40"/>
      <c r="J40"/>
      <c r="K40"/>
      <c r="L40"/>
      <c r="M40"/>
      <c r="N40"/>
    </row>
    <row r="41" spans="3:14">
      <c r="D41" s="36" t="s">
        <v>190</v>
      </c>
      <c r="E41" s="75">
        <f>IRR(E39:N39)</f>
        <v>8.8519081316563053E-2</v>
      </c>
      <c r="F41"/>
      <c r="G41"/>
      <c r="H41"/>
      <c r="I41"/>
      <c r="J41"/>
      <c r="K41"/>
      <c r="L41"/>
      <c r="M41"/>
      <c r="N41"/>
    </row>
    <row r="42" spans="3:14">
      <c r="D42" s="36" t="s">
        <v>510</v>
      </c>
      <c r="E42" s="139">
        <f>NPV(0.18,E39:N39)</f>
        <v>-1313.4594220820641</v>
      </c>
      <c r="F42"/>
      <c r="G42"/>
      <c r="H42"/>
      <c r="I42"/>
      <c r="J42"/>
      <c r="K42"/>
      <c r="L42"/>
      <c r="M42"/>
      <c r="N42"/>
    </row>
    <row r="43" spans="3:14">
      <c r="D43"/>
      <c r="E43"/>
      <c r="F43"/>
      <c r="G43"/>
      <c r="H43"/>
      <c r="I43"/>
      <c r="J43"/>
      <c r="K43"/>
      <c r="L43"/>
      <c r="M43"/>
      <c r="N43"/>
    </row>
    <row r="44" spans="3:14">
      <c r="D44"/>
      <c r="E44"/>
      <c r="F44"/>
      <c r="G44"/>
      <c r="H44"/>
      <c r="I44"/>
      <c r="J44"/>
      <c r="K44"/>
      <c r="L44"/>
      <c r="M44"/>
      <c r="N44"/>
    </row>
    <row r="45" spans="3:14">
      <c r="C45" s="2" t="s">
        <v>506</v>
      </c>
      <c r="D45" s="4" t="s">
        <v>188</v>
      </c>
      <c r="E45" s="36" t="s">
        <v>70</v>
      </c>
      <c r="F45" s="36" t="s">
        <v>71</v>
      </c>
      <c r="G45" s="36" t="s">
        <v>72</v>
      </c>
      <c r="H45" s="36" t="s">
        <v>73</v>
      </c>
      <c r="I45" s="36" t="s">
        <v>74</v>
      </c>
      <c r="J45" s="36" t="s">
        <v>75</v>
      </c>
      <c r="K45" s="36" t="s">
        <v>76</v>
      </c>
      <c r="L45" s="36" t="s">
        <v>77</v>
      </c>
      <c r="M45" s="36" t="s">
        <v>78</v>
      </c>
      <c r="N45" s="36" t="s">
        <v>79</v>
      </c>
    </row>
    <row r="46" spans="3:14">
      <c r="C46" s="283" t="s">
        <v>499</v>
      </c>
      <c r="D46" t="s">
        <v>504</v>
      </c>
      <c r="E46" s="284">
        <f>R2/6/2</f>
        <v>791.66666666666663</v>
      </c>
      <c r="F46" s="284">
        <f>E46</f>
        <v>791.66666666666663</v>
      </c>
      <c r="G46" s="284">
        <f>F46</f>
        <v>791.66666666666663</v>
      </c>
      <c r="H46" s="284">
        <f>G46</f>
        <v>791.66666666666663</v>
      </c>
      <c r="I46" s="284">
        <f>H46</f>
        <v>791.66666666666663</v>
      </c>
      <c r="J46" s="284">
        <f>I46</f>
        <v>791.66666666666663</v>
      </c>
      <c r="K46"/>
      <c r="L46"/>
      <c r="M46"/>
      <c r="N46"/>
    </row>
    <row r="47" spans="3:14">
      <c r="C47" t="s">
        <v>507</v>
      </c>
      <c r="D47" t="s">
        <v>502</v>
      </c>
      <c r="E47" s="284">
        <f>0.18*SUM(E46:J46)</f>
        <v>855</v>
      </c>
      <c r="F47" s="284">
        <f t="shared" ref="F47:J47" si="13">0.18*SUM(F46:K46)</f>
        <v>712.49999999999989</v>
      </c>
      <c r="G47" s="284">
        <f t="shared" si="13"/>
        <v>570</v>
      </c>
      <c r="H47" s="284">
        <f t="shared" si="13"/>
        <v>427.5</v>
      </c>
      <c r="I47" s="284">
        <f t="shared" si="13"/>
        <v>285</v>
      </c>
      <c r="J47" s="284">
        <f t="shared" si="13"/>
        <v>142.5</v>
      </c>
      <c r="K47"/>
      <c r="L47"/>
      <c r="M47"/>
      <c r="N47"/>
    </row>
    <row r="48" spans="3:14">
      <c r="C48" t="s">
        <v>503</v>
      </c>
      <c r="D48" t="s">
        <v>509</v>
      </c>
      <c r="E48" s="284">
        <f>R2/2</f>
        <v>4750</v>
      </c>
      <c r="F48"/>
      <c r="G48"/>
      <c r="H48"/>
      <c r="I48"/>
      <c r="J48"/>
      <c r="K48"/>
      <c r="L48"/>
      <c r="M48"/>
      <c r="N48"/>
    </row>
    <row r="49" spans="3:14">
      <c r="C49" t="s">
        <v>508</v>
      </c>
      <c r="D49" t="s">
        <v>505</v>
      </c>
      <c r="E49" s="33">
        <f>SUM(E46:E48)</f>
        <v>6396.6666666666661</v>
      </c>
      <c r="F49" s="33">
        <f t="shared" ref="F49:J49" si="14">SUM(F46:F48)</f>
        <v>1504.1666666666665</v>
      </c>
      <c r="G49" s="33">
        <f t="shared" si="14"/>
        <v>1361.6666666666665</v>
      </c>
      <c r="H49" s="33">
        <f t="shared" si="14"/>
        <v>1219.1666666666665</v>
      </c>
      <c r="I49" s="33">
        <f t="shared" si="14"/>
        <v>1076.6666666666665</v>
      </c>
      <c r="J49" s="33">
        <f t="shared" si="14"/>
        <v>934.16666666666663</v>
      </c>
      <c r="K49"/>
      <c r="L49"/>
      <c r="M49"/>
      <c r="N49"/>
    </row>
    <row r="50" spans="3:14">
      <c r="D50"/>
      <c r="E50"/>
      <c r="F50"/>
      <c r="G50"/>
      <c r="H50"/>
      <c r="I50"/>
      <c r="J50"/>
      <c r="K50"/>
      <c r="L50"/>
      <c r="M50"/>
      <c r="N50"/>
    </row>
    <row r="51" spans="3:14">
      <c r="D51" t="s">
        <v>189</v>
      </c>
      <c r="E51" s="33">
        <f>SUM(E16)-SUM(E21:E24)-E49</f>
        <v>-4905.5386666666654</v>
      </c>
      <c r="F51" s="33">
        <f t="shared" ref="F51:N51" si="15">SUM(F16)-SUM(F21:F24)-F49</f>
        <v>212.85733333333292</v>
      </c>
      <c r="G51" s="33">
        <f t="shared" si="15"/>
        <v>581.25333333333356</v>
      </c>
      <c r="H51" s="33">
        <f t="shared" si="15"/>
        <v>723.75333333333356</v>
      </c>
      <c r="I51" s="33">
        <f t="shared" si="15"/>
        <v>866.25333333333356</v>
      </c>
      <c r="J51" s="33">
        <f t="shared" si="15"/>
        <v>1008.7533333333334</v>
      </c>
      <c r="K51" s="33">
        <f t="shared" si="15"/>
        <v>1942.92</v>
      </c>
      <c r="L51" s="33">
        <f t="shared" si="15"/>
        <v>1942.92</v>
      </c>
      <c r="M51" s="33">
        <f t="shared" si="15"/>
        <v>1942.92</v>
      </c>
      <c r="N51" s="33">
        <f t="shared" si="15"/>
        <v>1942.92</v>
      </c>
    </row>
    <row r="52" spans="3:14">
      <c r="D52"/>
      <c r="E52"/>
      <c r="F52"/>
      <c r="G52"/>
      <c r="H52"/>
      <c r="I52"/>
      <c r="J52"/>
      <c r="K52"/>
      <c r="L52"/>
      <c r="M52"/>
      <c r="N52"/>
    </row>
    <row r="53" spans="3:14">
      <c r="D53" s="36" t="s">
        <v>190</v>
      </c>
      <c r="E53" s="75">
        <f>IRR(E51:N51)</f>
        <v>0.1478824931366336</v>
      </c>
      <c r="F53"/>
      <c r="G53"/>
      <c r="H53"/>
      <c r="I53"/>
      <c r="J53"/>
      <c r="K53"/>
      <c r="L53"/>
      <c r="M53"/>
      <c r="N53"/>
    </row>
    <row r="54" spans="3:14">
      <c r="D54" s="36" t="s">
        <v>510</v>
      </c>
      <c r="E54" s="139">
        <f>NPV(0.18,E51:N51)</f>
        <v>-588.88315089562252</v>
      </c>
      <c r="F54"/>
      <c r="G54"/>
      <c r="H54"/>
      <c r="I54"/>
      <c r="J54"/>
      <c r="K54"/>
      <c r="L54"/>
      <c r="M54"/>
      <c r="N54"/>
    </row>
    <row r="61" spans="3:14">
      <c r="J61" s="4" t="s">
        <v>620</v>
      </c>
    </row>
  </sheetData>
  <mergeCells count="15">
    <mergeCell ref="P13:Q13"/>
    <mergeCell ref="S13:T13"/>
    <mergeCell ref="S10:T10"/>
    <mergeCell ref="P11:Q11"/>
    <mergeCell ref="S11:T11"/>
    <mergeCell ref="P12:Q12"/>
    <mergeCell ref="S12:T12"/>
    <mergeCell ref="P17:Q17"/>
    <mergeCell ref="S17:T17"/>
    <mergeCell ref="P14:Q14"/>
    <mergeCell ref="S14:T14"/>
    <mergeCell ref="P15:Q15"/>
    <mergeCell ref="S15:T15"/>
    <mergeCell ref="P16:Q16"/>
    <mergeCell ref="S16:T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90"/>
  <sheetViews>
    <sheetView zoomScale="160" zoomScaleNormal="160" workbookViewId="0">
      <selection activeCell="B2" sqref="B2"/>
    </sheetView>
  </sheetViews>
  <sheetFormatPr defaultColWidth="8.7109375" defaultRowHeight="15"/>
  <cols>
    <col min="3" max="3" width="21.7109375" customWidth="1"/>
    <col min="4" max="4" width="9.42578125" bestFit="1" customWidth="1"/>
    <col min="6" max="6" width="9.140625" customWidth="1"/>
    <col min="7" max="7" width="9.42578125" customWidth="1"/>
    <col min="8" max="10" width="12.42578125" customWidth="1"/>
    <col min="11" max="11" width="14.42578125" bestFit="1" customWidth="1"/>
    <col min="12" max="12" width="12" customWidth="1"/>
    <col min="14" max="14" width="9.42578125" bestFit="1" customWidth="1"/>
    <col min="18" max="20" width="9.140625" customWidth="1"/>
  </cols>
  <sheetData>
    <row r="1" spans="1:29" s="145" customFormat="1">
      <c r="A1" s="291" t="s">
        <v>524</v>
      </c>
    </row>
    <row r="2" spans="1:29">
      <c r="B2" s="1" t="s">
        <v>619</v>
      </c>
    </row>
    <row r="4" spans="1:29">
      <c r="B4" s="3" t="s">
        <v>50</v>
      </c>
    </row>
    <row r="6" spans="1:29">
      <c r="B6" s="1" t="s">
        <v>2</v>
      </c>
    </row>
    <row r="7" spans="1:29">
      <c r="A7" s="237" t="s">
        <v>1</v>
      </c>
      <c r="B7" s="4" t="s">
        <v>3</v>
      </c>
      <c r="C7" t="s">
        <v>51</v>
      </c>
    </row>
    <row r="8" spans="1:29">
      <c r="B8" s="4" t="s">
        <v>52</v>
      </c>
      <c r="C8" t="s">
        <v>53</v>
      </c>
    </row>
    <row r="9" spans="1:29">
      <c r="B9" s="4" t="s">
        <v>54</v>
      </c>
      <c r="C9" t="s">
        <v>55</v>
      </c>
    </row>
    <row r="10" spans="1:29">
      <c r="B10" s="4" t="s">
        <v>56</v>
      </c>
      <c r="C10" t="s">
        <v>57</v>
      </c>
    </row>
    <row r="11" spans="1:29">
      <c r="N11" t="s">
        <v>478</v>
      </c>
    </row>
    <row r="12" spans="1:29">
      <c r="A12" t="s">
        <v>90</v>
      </c>
      <c r="B12" s="4" t="s">
        <v>3</v>
      </c>
      <c r="C12" t="s">
        <v>91</v>
      </c>
      <c r="O12" s="271">
        <f>'Artisanal Catches'!O87</f>
        <v>2.4323261604647657E-2</v>
      </c>
    </row>
    <row r="13" spans="1:29">
      <c r="O13" s="8" t="s">
        <v>70</v>
      </c>
      <c r="P13" s="8" t="s">
        <v>71</v>
      </c>
      <c r="Q13" s="8" t="s">
        <v>72</v>
      </c>
      <c r="R13" s="8" t="s">
        <v>73</v>
      </c>
      <c r="S13" s="8" t="s">
        <v>74</v>
      </c>
      <c r="T13" s="8" t="s">
        <v>75</v>
      </c>
      <c r="U13" s="8" t="s">
        <v>76</v>
      </c>
      <c r="V13" s="8" t="s">
        <v>77</v>
      </c>
      <c r="W13" s="8" t="s">
        <v>78</v>
      </c>
      <c r="X13" s="8" t="s">
        <v>79</v>
      </c>
      <c r="Y13" s="8" t="s">
        <v>80</v>
      </c>
      <c r="Z13" s="8" t="s">
        <v>81</v>
      </c>
      <c r="AA13" s="8" t="s">
        <v>82</v>
      </c>
      <c r="AB13" s="8" t="s">
        <v>83</v>
      </c>
      <c r="AC13" s="8" t="s">
        <v>84</v>
      </c>
    </row>
    <row r="14" spans="1:29">
      <c r="O14" s="4">
        <v>1</v>
      </c>
      <c r="P14" s="4">
        <v>2</v>
      </c>
      <c r="Q14" s="4">
        <v>3</v>
      </c>
      <c r="R14" s="4">
        <v>4</v>
      </c>
      <c r="S14" s="4">
        <v>5</v>
      </c>
      <c r="T14" s="4">
        <v>6</v>
      </c>
      <c r="U14" s="4">
        <v>7</v>
      </c>
      <c r="V14" s="4">
        <v>8</v>
      </c>
      <c r="W14" s="4">
        <v>9</v>
      </c>
      <c r="X14" s="4">
        <v>10</v>
      </c>
      <c r="Y14" s="4">
        <v>11</v>
      </c>
      <c r="Z14" s="4">
        <v>12</v>
      </c>
      <c r="AA14" s="4">
        <v>13</v>
      </c>
      <c r="AB14" s="4">
        <v>14</v>
      </c>
      <c r="AC14" s="4">
        <v>15</v>
      </c>
    </row>
    <row r="15" spans="1:29">
      <c r="O15" s="272">
        <f>POWER((1+$O$12),O14)</f>
        <v>1.0243232616046476</v>
      </c>
      <c r="P15" s="272">
        <f t="shared" ref="P15:AC15" si="0">POWER((1+$O$12),P14)</f>
        <v>1.0492381442643832</v>
      </c>
      <c r="Q15" s="272">
        <f t="shared" si="0"/>
        <v>1.0747590381329009</v>
      </c>
      <c r="R15" s="272">
        <f t="shared" si="0"/>
        <v>1.1009006833793666</v>
      </c>
      <c r="S15" s="272">
        <f t="shared" si="0"/>
        <v>1.1276781787019383</v>
      </c>
      <c r="T15" s="272">
        <f t="shared" si="0"/>
        <v>1.1551069900483579</v>
      </c>
      <c r="U15" s="272">
        <f t="shared" si="0"/>
        <v>1.1832029595486613</v>
      </c>
      <c r="V15" s="272">
        <f t="shared" si="0"/>
        <v>1.2119823146651565</v>
      </c>
      <c r="W15" s="272">
        <f t="shared" si="0"/>
        <v>1.2414616775649634</v>
      </c>
      <c r="X15" s="272">
        <f t="shared" si="0"/>
        <v>1.2716580747205206</v>
      </c>
      <c r="Y15" s="272">
        <f t="shared" si="0"/>
        <v>1.3025889467436105</v>
      </c>
      <c r="Z15" s="272">
        <f t="shared" si="0"/>
        <v>1.3342721584585773</v>
      </c>
      <c r="AA15" s="272">
        <f t="shared" si="0"/>
        <v>1.3667260092205631</v>
      </c>
      <c r="AB15" s="272">
        <f t="shared" si="0"/>
        <v>1.3999692434847106</v>
      </c>
      <c r="AC15" s="272">
        <f t="shared" si="0"/>
        <v>1.43402106163245</v>
      </c>
    </row>
    <row r="18" spans="2:30" ht="15.75" thickBot="1">
      <c r="O18" s="4">
        <v>2022</v>
      </c>
      <c r="P18" s="4">
        <v>2023</v>
      </c>
      <c r="Q18" s="4">
        <v>2024</v>
      </c>
      <c r="R18" s="4">
        <v>2025</v>
      </c>
      <c r="S18" s="4">
        <v>2026</v>
      </c>
    </row>
    <row r="19" spans="2:30" ht="15.75" thickBot="1">
      <c r="B19" s="449" t="s">
        <v>40</v>
      </c>
      <c r="C19" s="450"/>
      <c r="D19" s="450"/>
      <c r="E19" s="450"/>
      <c r="F19" s="450"/>
      <c r="G19" s="451"/>
      <c r="O19" s="8" t="s">
        <v>70</v>
      </c>
      <c r="P19" s="8" t="s">
        <v>71</v>
      </c>
      <c r="Q19" s="8" t="s">
        <v>72</v>
      </c>
      <c r="R19" s="8" t="s">
        <v>73</v>
      </c>
      <c r="S19" s="8" t="s">
        <v>74</v>
      </c>
      <c r="T19" s="8" t="s">
        <v>75</v>
      </c>
      <c r="U19" s="8" t="s">
        <v>76</v>
      </c>
      <c r="V19" s="8" t="s">
        <v>77</v>
      </c>
      <c r="W19" s="8" t="s">
        <v>78</v>
      </c>
      <c r="X19" s="8" t="s">
        <v>79</v>
      </c>
      <c r="Y19" s="8" t="s">
        <v>80</v>
      </c>
      <c r="Z19" s="8" t="s">
        <v>81</v>
      </c>
      <c r="AA19" s="8" t="s">
        <v>82</v>
      </c>
      <c r="AB19" s="8" t="s">
        <v>83</v>
      </c>
      <c r="AC19" s="8" t="s">
        <v>84</v>
      </c>
    </row>
    <row r="20" spans="2:30">
      <c r="B20" s="65" t="s">
        <v>41</v>
      </c>
      <c r="C20" s="65" t="s">
        <v>46</v>
      </c>
      <c r="D20" s="65" t="s">
        <v>1</v>
      </c>
      <c r="E20" s="66" t="s">
        <v>47</v>
      </c>
      <c r="F20" s="65" t="s">
        <v>48</v>
      </c>
      <c r="G20" s="65" t="s">
        <v>49</v>
      </c>
      <c r="L20" t="s">
        <v>248</v>
      </c>
      <c r="N20" s="8" t="s">
        <v>86</v>
      </c>
      <c r="O20" s="281">
        <v>0.25</v>
      </c>
      <c r="P20" s="282">
        <v>0.26250000000000001</v>
      </c>
      <c r="Q20" s="282">
        <v>0.27500000000000002</v>
      </c>
      <c r="R20" s="282">
        <v>0.3</v>
      </c>
      <c r="S20" s="282">
        <f>R20</f>
        <v>0.3</v>
      </c>
      <c r="T20" s="282">
        <f t="shared" ref="T20:AC21" si="1">S20</f>
        <v>0.3</v>
      </c>
      <c r="U20" s="68">
        <f t="shared" si="1"/>
        <v>0.3</v>
      </c>
      <c r="V20" s="68">
        <f t="shared" si="1"/>
        <v>0.3</v>
      </c>
      <c r="W20" s="68">
        <f t="shared" si="1"/>
        <v>0.3</v>
      </c>
      <c r="X20" s="68">
        <f t="shared" si="1"/>
        <v>0.3</v>
      </c>
      <c r="Y20" s="68">
        <f t="shared" si="1"/>
        <v>0.3</v>
      </c>
      <c r="Z20" s="68">
        <f t="shared" si="1"/>
        <v>0.3</v>
      </c>
      <c r="AA20" s="68">
        <f t="shared" si="1"/>
        <v>0.3</v>
      </c>
      <c r="AB20" s="68">
        <f t="shared" si="1"/>
        <v>0.3</v>
      </c>
      <c r="AC20" s="68">
        <f t="shared" si="1"/>
        <v>0.3</v>
      </c>
    </row>
    <row r="21" spans="2:30">
      <c r="B21" s="36" t="s">
        <v>45</v>
      </c>
      <c r="C21" s="39" t="s">
        <v>43</v>
      </c>
      <c r="D21" s="238">
        <f>SUM('Output 2.1 Costs'!E3:P5)*1000</f>
        <v>580000</v>
      </c>
      <c r="E21" s="38">
        <v>0</v>
      </c>
      <c r="F21" s="36">
        <v>0</v>
      </c>
      <c r="G21" s="36">
        <v>0</v>
      </c>
      <c r="N21" s="8" t="s">
        <v>87</v>
      </c>
      <c r="O21" s="68">
        <f>O20</f>
        <v>0.25</v>
      </c>
      <c r="P21" s="68">
        <f t="shared" ref="P21:Q21" si="2">P20</f>
        <v>0.26250000000000001</v>
      </c>
      <c r="Q21" s="68">
        <f t="shared" si="2"/>
        <v>0.27500000000000002</v>
      </c>
      <c r="R21" s="68">
        <v>0.25</v>
      </c>
      <c r="S21" s="68">
        <v>0.2</v>
      </c>
      <c r="T21" s="68">
        <v>0.15</v>
      </c>
      <c r="U21" s="68">
        <f>T21</f>
        <v>0.15</v>
      </c>
      <c r="V21" s="68">
        <f t="shared" si="1"/>
        <v>0.15</v>
      </c>
      <c r="W21" s="68">
        <f t="shared" si="1"/>
        <v>0.15</v>
      </c>
      <c r="X21" s="68">
        <f t="shared" si="1"/>
        <v>0.15</v>
      </c>
      <c r="Y21" s="68">
        <f t="shared" si="1"/>
        <v>0.15</v>
      </c>
      <c r="Z21" s="68">
        <f t="shared" si="1"/>
        <v>0.15</v>
      </c>
      <c r="AA21" s="68">
        <f t="shared" si="1"/>
        <v>0.15</v>
      </c>
      <c r="AB21" s="68">
        <f t="shared" si="1"/>
        <v>0.15</v>
      </c>
      <c r="AC21" s="68">
        <f t="shared" si="1"/>
        <v>0.15</v>
      </c>
    </row>
    <row r="22" spans="2:30">
      <c r="B22" s="36">
        <v>1</v>
      </c>
      <c r="C22" s="36" t="s">
        <v>42</v>
      </c>
      <c r="D22" s="238">
        <f>SUM('Output 2.1 Costs'!J7:N14)*1000</f>
        <v>2695000</v>
      </c>
      <c r="E22" s="38">
        <f>D22/SUM($D$22:$D$27)</f>
        <v>0.42642405063291139</v>
      </c>
      <c r="F22" s="238">
        <f>E22*SUM($D$21,$D$28)</f>
        <v>460537.97468354431</v>
      </c>
      <c r="G22" s="238">
        <f>SUM(D22,F22)</f>
        <v>3155537.9746835441</v>
      </c>
    </row>
    <row r="23" spans="2:30">
      <c r="B23" s="36">
        <v>2</v>
      </c>
      <c r="C23" s="36" t="s">
        <v>23</v>
      </c>
      <c r="D23" s="238">
        <f>SUM('Output 2.1 Costs'!I15:N18)*1000</f>
        <v>672700</v>
      </c>
      <c r="E23" s="38">
        <f t="shared" ref="E23:E27" si="3">D23/SUM($D$22:$D$27)</f>
        <v>0.10643987341772151</v>
      </c>
      <c r="F23" s="238">
        <f t="shared" ref="F23:F27" si="4">E23*SUM($D$21,$D$28)</f>
        <v>114955.06329113923</v>
      </c>
      <c r="G23" s="238">
        <f t="shared" ref="G23:G27" si="5">SUM(D23,F23)</f>
        <v>787655.0632911392</v>
      </c>
      <c r="L23" s="447" t="s">
        <v>92</v>
      </c>
      <c r="M23" s="448"/>
      <c r="N23" s="78" t="s">
        <v>88</v>
      </c>
      <c r="O23" s="68">
        <f>O21-O20</f>
        <v>0</v>
      </c>
      <c r="P23" s="68">
        <f t="shared" ref="P23:AC23" si="6">P21-P20</f>
        <v>0</v>
      </c>
      <c r="Q23" s="68">
        <f t="shared" si="6"/>
        <v>0</v>
      </c>
      <c r="R23" s="68">
        <f t="shared" si="6"/>
        <v>-4.9999999999999989E-2</v>
      </c>
      <c r="S23" s="68">
        <f t="shared" si="6"/>
        <v>-9.9999999999999978E-2</v>
      </c>
      <c r="T23" s="68">
        <f t="shared" si="6"/>
        <v>-0.15</v>
      </c>
      <c r="U23" s="68">
        <f t="shared" si="6"/>
        <v>-0.15</v>
      </c>
      <c r="V23" s="68">
        <f t="shared" si="6"/>
        <v>-0.15</v>
      </c>
      <c r="W23" s="68">
        <f t="shared" si="6"/>
        <v>-0.15</v>
      </c>
      <c r="X23" s="68">
        <f t="shared" si="6"/>
        <v>-0.15</v>
      </c>
      <c r="Y23" s="68">
        <f t="shared" si="6"/>
        <v>-0.15</v>
      </c>
      <c r="Z23" s="68">
        <f t="shared" si="6"/>
        <v>-0.15</v>
      </c>
      <c r="AA23" s="68">
        <f t="shared" si="6"/>
        <v>-0.15</v>
      </c>
      <c r="AB23" s="68">
        <f t="shared" si="6"/>
        <v>-0.15</v>
      </c>
      <c r="AC23" s="68">
        <f t="shared" si="6"/>
        <v>-0.15</v>
      </c>
    </row>
    <row r="24" spans="2:30" ht="15.75" thickBot="1">
      <c r="B24" s="36">
        <v>3</v>
      </c>
      <c r="C24" s="36" t="s">
        <v>27</v>
      </c>
      <c r="D24" s="238">
        <f>SUM('Output 2.1 Costs'!K19:N22)*1000</f>
        <v>672700</v>
      </c>
      <c r="E24" s="38">
        <f t="shared" si="3"/>
        <v>0.10643987341772151</v>
      </c>
      <c r="F24" s="238">
        <f t="shared" si="4"/>
        <v>114955.06329113923</v>
      </c>
      <c r="G24" s="238">
        <f t="shared" si="5"/>
        <v>787655.0632911392</v>
      </c>
    </row>
    <row r="25" spans="2:30" ht="15.75" thickBot="1">
      <c r="B25" s="36">
        <v>4</v>
      </c>
      <c r="C25" s="36" t="s">
        <v>29</v>
      </c>
      <c r="D25" s="238">
        <f>SUM('Output 2.1 Costs'!K23:N25)*1000</f>
        <v>328700</v>
      </c>
      <c r="E25" s="38">
        <f t="shared" si="3"/>
        <v>5.2009493670886073E-2</v>
      </c>
      <c r="F25" s="238">
        <f t="shared" si="4"/>
        <v>56170.253164556962</v>
      </c>
      <c r="G25" s="238">
        <f t="shared" si="5"/>
        <v>384870.25316455698</v>
      </c>
      <c r="M25" s="446" t="s">
        <v>98</v>
      </c>
      <c r="N25" s="85" t="s">
        <v>42</v>
      </c>
      <c r="O25" s="86">
        <f>-$K34/1000000*O$23*O$15</f>
        <v>0</v>
      </c>
      <c r="P25" s="86">
        <f t="shared" ref="P25:AC25" si="7">-$K34/1000000*P$23*P$15</f>
        <v>0</v>
      </c>
      <c r="Q25" s="86">
        <f t="shared" si="7"/>
        <v>0</v>
      </c>
      <c r="R25" s="86">
        <f t="shared" si="7"/>
        <v>0.24864278375565038</v>
      </c>
      <c r="S25" s="86">
        <f t="shared" si="7"/>
        <v>0.50938117446209386</v>
      </c>
      <c r="T25" s="86">
        <f t="shared" si="7"/>
        <v>0.782656479037527</v>
      </c>
      <c r="U25" s="86">
        <f t="shared" si="7"/>
        <v>0.8016932373237291</v>
      </c>
      <c r="V25" s="86">
        <f t="shared" si="7"/>
        <v>0.821193031661831</v>
      </c>
      <c r="W25" s="86">
        <f t="shared" si="7"/>
        <v>0.84116712459885534</v>
      </c>
      <c r="X25" s="86">
        <f t="shared" si="7"/>
        <v>0.86162705262370243</v>
      </c>
      <c r="Y25" s="86">
        <f t="shared" si="7"/>
        <v>0.8825846328303103</v>
      </c>
      <c r="Z25" s="86">
        <f t="shared" si="7"/>
        <v>0.90405196974288349</v>
      </c>
      <c r="AA25" s="86">
        <f t="shared" si="7"/>
        <v>0.92604146230713658</v>
      </c>
      <c r="AB25" s="86">
        <f t="shared" si="7"/>
        <v>0.94856581105158333</v>
      </c>
      <c r="AC25" s="86">
        <f t="shared" si="7"/>
        <v>0.97163802542301592</v>
      </c>
    </row>
    <row r="26" spans="2:30" ht="15.75" thickBot="1">
      <c r="B26" s="36">
        <v>5</v>
      </c>
      <c r="C26" s="36" t="s">
        <v>35</v>
      </c>
      <c r="D26" s="238">
        <f>SUM('Output 2.1 Costs'!K32:P39)*1000</f>
        <v>1253300.0000000002</v>
      </c>
      <c r="E26" s="38">
        <f t="shared" si="3"/>
        <v>0.1983069620253165</v>
      </c>
      <c r="F26" s="238">
        <f t="shared" si="4"/>
        <v>214171.51898734181</v>
      </c>
      <c r="G26" s="238">
        <f t="shared" si="5"/>
        <v>1467471.518987342</v>
      </c>
      <c r="M26" s="445"/>
      <c r="N26" s="57" t="s">
        <v>23</v>
      </c>
      <c r="O26" s="86">
        <f t="shared" ref="O26:AC26" si="8">-$K35/1000000*O$23*O$15</f>
        <v>0</v>
      </c>
      <c r="P26" s="86">
        <f t="shared" si="8"/>
        <v>0</v>
      </c>
      <c r="Q26" s="86">
        <f t="shared" si="8"/>
        <v>0</v>
      </c>
      <c r="R26" s="86">
        <f t="shared" si="8"/>
        <v>0.43324420857549223</v>
      </c>
      <c r="S26" s="86">
        <f t="shared" si="8"/>
        <v>0.88756424159874492</v>
      </c>
      <c r="T26" s="86">
        <f t="shared" si="8"/>
        <v>1.3637290482571227</v>
      </c>
      <c r="U26" s="86">
        <f t="shared" si="8"/>
        <v>1.3968993866557378</v>
      </c>
      <c r="V26" s="86">
        <f t="shared" si="8"/>
        <v>1.4308765358727369</v>
      </c>
      <c r="W26" s="86">
        <f t="shared" si="8"/>
        <v>1.4656801201787215</v>
      </c>
      <c r="X26" s="86">
        <f t="shared" si="8"/>
        <v>1.5013302411705598</v>
      </c>
      <c r="Y26" s="86">
        <f t="shared" si="8"/>
        <v>1.5378474893815202</v>
      </c>
      <c r="Z26" s="86">
        <f t="shared" si="8"/>
        <v>1.5752529561737969</v>
      </c>
      <c r="AA26" s="86">
        <f t="shared" si="8"/>
        <v>1.6135682459203067</v>
      </c>
      <c r="AB26" s="86">
        <f t="shared" si="8"/>
        <v>1.6528154884827784</v>
      </c>
      <c r="AC26" s="86">
        <f t="shared" si="8"/>
        <v>1.6930173519933585</v>
      </c>
    </row>
    <row r="27" spans="2:30" ht="15.75" thickBot="1">
      <c r="B27" s="36">
        <v>6</v>
      </c>
      <c r="C27" s="36" t="s">
        <v>31</v>
      </c>
      <c r="D27" s="238">
        <f>SUM('Output 2.1 Costs'!K27:N31)*1000</f>
        <v>697600</v>
      </c>
      <c r="E27" s="38">
        <f t="shared" si="3"/>
        <v>0.11037974683544304</v>
      </c>
      <c r="F27" s="238">
        <f t="shared" si="4"/>
        <v>119210.12658227848</v>
      </c>
      <c r="G27" s="238">
        <f t="shared" si="5"/>
        <v>816810.12658227852</v>
      </c>
      <c r="M27" s="445"/>
      <c r="N27" s="57" t="s">
        <v>27</v>
      </c>
      <c r="O27" s="86">
        <f t="shared" ref="O27:AC27" si="9">-$K36/1000000*O$23*O$15</f>
        <v>0</v>
      </c>
      <c r="P27" s="86">
        <f t="shared" si="9"/>
        <v>0</v>
      </c>
      <c r="Q27" s="86">
        <f t="shared" si="9"/>
        <v>0</v>
      </c>
      <c r="R27" s="86">
        <f t="shared" si="9"/>
        <v>0.65023068452261346</v>
      </c>
      <c r="S27" s="86">
        <f t="shared" si="9"/>
        <v>1.3320928311312523</v>
      </c>
      <c r="T27" s="86">
        <f t="shared" si="9"/>
        <v>2.0467405103168002</v>
      </c>
      <c r="U27" s="86">
        <f t="shared" si="9"/>
        <v>2.096523915186066</v>
      </c>
      <c r="V27" s="86">
        <f t="shared" si="9"/>
        <v>2.1475182148355363</v>
      </c>
      <c r="W27" s="86">
        <f t="shared" si="9"/>
        <v>2.199752862175727</v>
      </c>
      <c r="X27" s="86">
        <f t="shared" si="9"/>
        <v>2.2532580265079991</v>
      </c>
      <c r="Y27" s="86">
        <f t="shared" si="9"/>
        <v>2.3080646109495255</v>
      </c>
      <c r="Z27" s="86">
        <f t="shared" si="9"/>
        <v>2.3642042702820794</v>
      </c>
      <c r="AA27" s="86">
        <f t="shared" si="9"/>
        <v>2.4217094292349755</v>
      </c>
      <c r="AB27" s="86">
        <f t="shared" si="9"/>
        <v>2.4806133012126992</v>
      </c>
      <c r="AC27" s="86">
        <f t="shared" si="9"/>
        <v>2.5409499074780642</v>
      </c>
    </row>
    <row r="28" spans="2:30" ht="15.75" thickBot="1">
      <c r="B28" s="36" t="s">
        <v>45</v>
      </c>
      <c r="C28" s="36" t="s">
        <v>44</v>
      </c>
      <c r="D28" s="238">
        <f>SUM('Output 2.1 Costs'!P41)*1000</f>
        <v>500000</v>
      </c>
      <c r="E28" s="38">
        <v>0</v>
      </c>
      <c r="F28" s="36">
        <v>0</v>
      </c>
      <c r="G28" s="36">
        <v>0</v>
      </c>
      <c r="M28" s="445"/>
      <c r="N28" s="57" t="s">
        <v>29</v>
      </c>
      <c r="O28" s="86">
        <f t="shared" ref="O28:AC28" si="10">-$K37/1000000*O$23*O$15</f>
        <v>0</v>
      </c>
      <c r="P28" s="86">
        <f t="shared" si="10"/>
        <v>0</v>
      </c>
      <c r="Q28" s="86">
        <f t="shared" si="10"/>
        <v>0</v>
      </c>
      <c r="R28" s="86">
        <f t="shared" si="10"/>
        <v>0.15720736208512923</v>
      </c>
      <c r="S28" s="86">
        <f t="shared" si="10"/>
        <v>0.32206231575860478</v>
      </c>
      <c r="T28" s="86">
        <f t="shared" si="10"/>
        <v>0.49484388257669992</v>
      </c>
      <c r="U28" s="86">
        <f t="shared" si="10"/>
        <v>0.50688009978607251</v>
      </c>
      <c r="V28" s="86">
        <f t="shared" si="10"/>
        <v>0.51920907705535901</v>
      </c>
      <c r="W28" s="86">
        <f t="shared" si="10"/>
        <v>0.53183793526408418</v>
      </c>
      <c r="X28" s="86">
        <f t="shared" si="10"/>
        <v>0.5447739684947881</v>
      </c>
      <c r="Y28" s="86">
        <f t="shared" si="10"/>
        <v>0.55802464824588893</v>
      </c>
      <c r="Z28" s="86">
        <f t="shared" si="10"/>
        <v>0.57159762774701495</v>
      </c>
      <c r="AA28" s="86">
        <f t="shared" si="10"/>
        <v>0.58550074637930161</v>
      </c>
      <c r="AB28" s="86">
        <f t="shared" si="10"/>
        <v>0.5997420342032016</v>
      </c>
      <c r="AC28" s="86">
        <f t="shared" si="10"/>
        <v>0.61432971659642976</v>
      </c>
    </row>
    <row r="29" spans="2:30" ht="15.75" thickBot="1">
      <c r="B29" s="36" t="s">
        <v>45</v>
      </c>
      <c r="C29" s="36" t="s">
        <v>49</v>
      </c>
      <c r="D29" s="238">
        <f>SUM(D21:D28)</f>
        <v>7400000</v>
      </c>
      <c r="E29" s="36"/>
      <c r="F29" s="238"/>
      <c r="G29" s="238">
        <f>SUM(G21:G28)</f>
        <v>7400000</v>
      </c>
      <c r="M29" s="445"/>
      <c r="N29" s="57" t="s">
        <v>35</v>
      </c>
      <c r="O29" s="86">
        <f t="shared" ref="O29:AC29" si="11">-$K38/1000000*O$23*O$15</f>
        <v>0</v>
      </c>
      <c r="P29" s="86">
        <f t="shared" si="11"/>
        <v>0</v>
      </c>
      <c r="Q29" s="86">
        <f t="shared" si="11"/>
        <v>0</v>
      </c>
      <c r="R29" s="86">
        <f t="shared" si="11"/>
        <v>0.19910954687713034</v>
      </c>
      <c r="S29" s="86">
        <f t="shared" si="11"/>
        <v>0.4079050809476113</v>
      </c>
      <c r="T29" s="86">
        <f t="shared" si="11"/>
        <v>0.62673999441204753</v>
      </c>
      <c r="U29" s="86">
        <f t="shared" si="11"/>
        <v>0.64198435525422715</v>
      </c>
      <c r="V29" s="86">
        <f t="shared" si="11"/>
        <v>0.65759950867316674</v>
      </c>
      <c r="W29" s="86">
        <f t="shared" si="11"/>
        <v>0.67359447355371183</v>
      </c>
      <c r="X29" s="86">
        <f t="shared" si="11"/>
        <v>0.68997848814940366</v>
      </c>
      <c r="Y29" s="86">
        <f t="shared" si="11"/>
        <v>0.70676101541824088</v>
      </c>
      <c r="Z29" s="86">
        <f t="shared" si="11"/>
        <v>0.72395174848822486</v>
      </c>
      <c r="AA29" s="86">
        <f t="shared" si="11"/>
        <v>0.74156061625584602</v>
      </c>
      <c r="AB29" s="86">
        <f t="shared" si="11"/>
        <v>0.75959778912074061</v>
      </c>
      <c r="AC29" s="86">
        <f t="shared" si="11"/>
        <v>0.77807368485983641</v>
      </c>
    </row>
    <row r="30" spans="2:30">
      <c r="B30" s="41"/>
      <c r="C30" s="41"/>
      <c r="D30" s="42"/>
      <c r="E30" s="41"/>
      <c r="F30" s="41"/>
      <c r="G30" s="42"/>
      <c r="M30" s="445"/>
      <c r="N30" s="57" t="s">
        <v>31</v>
      </c>
      <c r="O30" s="86">
        <f t="shared" ref="O30:AC30" si="12">-$K39/1000000*O$23*O$15</f>
        <v>0</v>
      </c>
      <c r="P30" s="86">
        <f t="shared" si="12"/>
        <v>0</v>
      </c>
      <c r="Q30" s="86">
        <f t="shared" si="12"/>
        <v>0</v>
      </c>
      <c r="R30" s="86">
        <f t="shared" si="12"/>
        <v>0.11449367107145411</v>
      </c>
      <c r="S30" s="86">
        <f t="shared" si="12"/>
        <v>0.23455706117000313</v>
      </c>
      <c r="T30" s="86">
        <f t="shared" si="12"/>
        <v>0.36039338089508766</v>
      </c>
      <c r="U30" s="86">
        <f t="shared" si="12"/>
        <v>0.36915932337918234</v>
      </c>
      <c r="V30" s="86">
        <f t="shared" si="12"/>
        <v>0.37813848217552881</v>
      </c>
      <c r="W30" s="86">
        <f t="shared" si="12"/>
        <v>0.38733604340026856</v>
      </c>
      <c r="X30" s="86">
        <f t="shared" si="12"/>
        <v>0.39675731931280245</v>
      </c>
      <c r="Y30" s="86">
        <f t="shared" si="12"/>
        <v>0.40640775138400648</v>
      </c>
      <c r="Z30" s="86">
        <f t="shared" si="12"/>
        <v>0.4162929134390761</v>
      </c>
      <c r="AA30" s="86">
        <f t="shared" si="12"/>
        <v>0.4264185148768157</v>
      </c>
      <c r="AB30" s="86">
        <f t="shared" si="12"/>
        <v>0.43679040396722973</v>
      </c>
      <c r="AC30" s="86">
        <f t="shared" si="12"/>
        <v>0.44741457122932443</v>
      </c>
    </row>
    <row r="31" spans="2:30" ht="15.75" thickBot="1">
      <c r="B31" s="458" t="s">
        <v>93</v>
      </c>
      <c r="C31" s="459"/>
      <c r="D31" s="459"/>
      <c r="E31" s="459"/>
      <c r="F31" s="459"/>
      <c r="G31" s="459"/>
      <c r="H31" s="459"/>
      <c r="I31" s="459"/>
      <c r="M31" s="89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90"/>
    </row>
    <row r="32" spans="2:30" ht="15.75" thickBot="1">
      <c r="B32" s="455"/>
      <c r="C32" s="457"/>
      <c r="D32" s="452" t="s">
        <v>94</v>
      </c>
      <c r="E32" s="425"/>
      <c r="F32" s="425"/>
      <c r="G32" s="453"/>
      <c r="H32" s="455" t="s">
        <v>69</v>
      </c>
      <c r="I32" s="456"/>
      <c r="J32" s="457"/>
      <c r="K32" s="41"/>
      <c r="L32" s="41"/>
      <c r="M32" s="89"/>
      <c r="N32" s="98" t="s">
        <v>100</v>
      </c>
      <c r="O32" s="99">
        <v>0.02</v>
      </c>
      <c r="P32" s="99">
        <v>0.19</v>
      </c>
      <c r="Q32" s="99">
        <v>0.7</v>
      </c>
      <c r="R32" s="100">
        <f>0.09+0.05%</f>
        <v>9.0499999999999997E-2</v>
      </c>
      <c r="S32" s="99">
        <v>0.05</v>
      </c>
      <c r="T32" s="99">
        <v>0.05</v>
      </c>
      <c r="U32" s="99">
        <v>0.05</v>
      </c>
      <c r="V32" s="99">
        <v>0.05</v>
      </c>
      <c r="W32" s="99">
        <v>0.05</v>
      </c>
      <c r="X32" s="99">
        <v>0.05</v>
      </c>
      <c r="Y32" s="99">
        <v>0.05</v>
      </c>
      <c r="Z32" s="99">
        <v>0.05</v>
      </c>
      <c r="AA32" s="99">
        <v>0.05</v>
      </c>
      <c r="AB32" s="99">
        <v>0.05</v>
      </c>
      <c r="AC32" s="101">
        <v>0.05</v>
      </c>
      <c r="AD32" s="67"/>
    </row>
    <row r="33" spans="2:29">
      <c r="B33" s="65" t="s">
        <v>41</v>
      </c>
      <c r="C33" s="65" t="s">
        <v>58</v>
      </c>
      <c r="D33" s="63">
        <v>2019</v>
      </c>
      <c r="E33" s="63">
        <v>2020</v>
      </c>
      <c r="F33" s="63" t="s">
        <v>62</v>
      </c>
      <c r="G33" s="63" t="s">
        <v>63</v>
      </c>
      <c r="H33" s="63">
        <v>2019</v>
      </c>
      <c r="I33" s="63">
        <v>2020</v>
      </c>
      <c r="J33" s="63" t="s">
        <v>62</v>
      </c>
      <c r="K33" s="71" t="s">
        <v>89</v>
      </c>
      <c r="L33" s="71"/>
      <c r="M33" s="445" t="s">
        <v>1</v>
      </c>
      <c r="N33" s="57" t="s">
        <v>42</v>
      </c>
      <c r="O33" s="72">
        <f>$G22*O$32/1000000</f>
        <v>6.3110759493670884E-2</v>
      </c>
      <c r="P33" s="72">
        <f t="shared" ref="P33:AC33" si="13">$G22*P$32/1000000</f>
        <v>0.59955221518987334</v>
      </c>
      <c r="Q33" s="72">
        <f t="shared" si="13"/>
        <v>2.2088765822784806</v>
      </c>
      <c r="R33" s="72">
        <f t="shared" si="13"/>
        <v>0.28557618670886076</v>
      </c>
      <c r="S33" s="72">
        <f t="shared" si="13"/>
        <v>0.15777689873417722</v>
      </c>
      <c r="T33" s="72">
        <f t="shared" si="13"/>
        <v>0.15777689873417722</v>
      </c>
      <c r="U33" s="72">
        <f t="shared" si="13"/>
        <v>0.15777689873417722</v>
      </c>
      <c r="V33" s="72">
        <f t="shared" si="13"/>
        <v>0.15777689873417722</v>
      </c>
      <c r="W33" s="72">
        <f t="shared" si="13"/>
        <v>0.15777689873417722</v>
      </c>
      <c r="X33" s="72">
        <f t="shared" si="13"/>
        <v>0.15777689873417722</v>
      </c>
      <c r="Y33" s="72">
        <f t="shared" si="13"/>
        <v>0.15777689873417722</v>
      </c>
      <c r="Z33" s="72">
        <f t="shared" si="13"/>
        <v>0.15777689873417722</v>
      </c>
      <c r="AA33" s="72">
        <f t="shared" si="13"/>
        <v>0.15777689873417722</v>
      </c>
      <c r="AB33" s="72">
        <f t="shared" si="13"/>
        <v>0.15777689873417722</v>
      </c>
      <c r="AC33" s="88">
        <f t="shared" si="13"/>
        <v>0.15777689873417722</v>
      </c>
    </row>
    <row r="34" spans="2:29">
      <c r="B34" s="57">
        <v>1</v>
      </c>
      <c r="C34" s="58" t="s">
        <v>42</v>
      </c>
      <c r="D34" s="59">
        <v>1243.3319504503941</v>
      </c>
      <c r="E34" s="59">
        <v>1070.2611167249534</v>
      </c>
      <c r="F34" s="53">
        <f>AVERAGE(D34:E34)</f>
        <v>1156.7965335876738</v>
      </c>
      <c r="G34" s="54">
        <f>F34/$F$46</f>
        <v>2.1442011743979125E-2</v>
      </c>
      <c r="H34" s="62">
        <f>D34*1000</f>
        <v>1243331.9504503941</v>
      </c>
      <c r="I34" s="62">
        <f t="shared" ref="I34:J42" si="14">E34*1000</f>
        <v>1070261.1167249533</v>
      </c>
      <c r="J34" s="62">
        <f t="shared" si="14"/>
        <v>1156796.5335876739</v>
      </c>
      <c r="K34" s="77">
        <f>(J34+0.8*J40+0.5*J41)*Price</f>
        <v>4517079.2880681492</v>
      </c>
      <c r="M34" s="445"/>
      <c r="N34" s="57" t="s">
        <v>23</v>
      </c>
      <c r="O34" s="72">
        <f t="shared" ref="O34:AC38" si="15">$G23*O$32/1000000</f>
        <v>1.5753101265822786E-2</v>
      </c>
      <c r="P34" s="72">
        <f t="shared" si="15"/>
        <v>0.14965446202531646</v>
      </c>
      <c r="Q34" s="72">
        <f t="shared" si="15"/>
        <v>0.55135854430379738</v>
      </c>
      <c r="R34" s="72">
        <f t="shared" si="15"/>
        <v>7.128278322784809E-2</v>
      </c>
      <c r="S34" s="72">
        <f t="shared" si="15"/>
        <v>3.9382753164556965E-2</v>
      </c>
      <c r="T34" s="72">
        <f t="shared" si="15"/>
        <v>3.9382753164556965E-2</v>
      </c>
      <c r="U34" s="72">
        <f t="shared" si="15"/>
        <v>3.9382753164556965E-2</v>
      </c>
      <c r="V34" s="72">
        <f t="shared" si="15"/>
        <v>3.9382753164556965E-2</v>
      </c>
      <c r="W34" s="72">
        <f t="shared" si="15"/>
        <v>3.9382753164556965E-2</v>
      </c>
      <c r="X34" s="72">
        <f t="shared" si="15"/>
        <v>3.9382753164556965E-2</v>
      </c>
      <c r="Y34" s="72">
        <f t="shared" si="15"/>
        <v>3.9382753164556965E-2</v>
      </c>
      <c r="Z34" s="72">
        <f t="shared" si="15"/>
        <v>3.9382753164556965E-2</v>
      </c>
      <c r="AA34" s="72">
        <f t="shared" si="15"/>
        <v>3.9382753164556965E-2</v>
      </c>
      <c r="AB34" s="72">
        <f t="shared" si="15"/>
        <v>3.9382753164556965E-2</v>
      </c>
      <c r="AC34" s="88">
        <f t="shared" si="15"/>
        <v>3.9382753164556965E-2</v>
      </c>
    </row>
    <row r="35" spans="2:29">
      <c r="B35" s="57">
        <v>2</v>
      </c>
      <c r="C35" s="58" t="s">
        <v>23</v>
      </c>
      <c r="D35" s="59">
        <v>8459.5007994958014</v>
      </c>
      <c r="E35" s="59">
        <v>7281.9449136847716</v>
      </c>
      <c r="F35" s="53">
        <f t="shared" ref="F35:F42" si="16">AVERAGE(D35:E35)</f>
        <v>7870.722856590286</v>
      </c>
      <c r="G35" s="54">
        <f t="shared" ref="G35:G42" si="17">F35/$F$46</f>
        <v>0.14588920957535284</v>
      </c>
      <c r="H35" s="62">
        <f t="shared" ref="H35:H39" si="18">D35*1000</f>
        <v>8459500.7994958013</v>
      </c>
      <c r="I35" s="62">
        <f t="shared" si="14"/>
        <v>7281944.9136847714</v>
      </c>
      <c r="J35" s="62">
        <f t="shared" si="14"/>
        <v>7870722.8565902859</v>
      </c>
      <c r="K35" s="70">
        <f>J35*Price</f>
        <v>7870722.8565902859</v>
      </c>
      <c r="M35" s="445"/>
      <c r="N35" s="57" t="s">
        <v>27</v>
      </c>
      <c r="O35" s="72">
        <f t="shared" si="15"/>
        <v>1.5753101265822786E-2</v>
      </c>
      <c r="P35" s="72">
        <f t="shared" si="15"/>
        <v>0.14965446202531646</v>
      </c>
      <c r="Q35" s="72">
        <f t="shared" si="15"/>
        <v>0.55135854430379738</v>
      </c>
      <c r="R35" s="72">
        <f t="shared" si="15"/>
        <v>7.128278322784809E-2</v>
      </c>
      <c r="S35" s="72">
        <f t="shared" si="15"/>
        <v>3.9382753164556965E-2</v>
      </c>
      <c r="T35" s="72">
        <f t="shared" si="15"/>
        <v>3.9382753164556965E-2</v>
      </c>
      <c r="U35" s="72">
        <f t="shared" si="15"/>
        <v>3.9382753164556965E-2</v>
      </c>
      <c r="V35" s="72">
        <f t="shared" si="15"/>
        <v>3.9382753164556965E-2</v>
      </c>
      <c r="W35" s="72">
        <f t="shared" si="15"/>
        <v>3.9382753164556965E-2</v>
      </c>
      <c r="X35" s="72">
        <f t="shared" si="15"/>
        <v>3.9382753164556965E-2</v>
      </c>
      <c r="Y35" s="72">
        <f t="shared" si="15"/>
        <v>3.9382753164556965E-2</v>
      </c>
      <c r="Z35" s="72">
        <f t="shared" si="15"/>
        <v>3.9382753164556965E-2</v>
      </c>
      <c r="AA35" s="72">
        <f t="shared" si="15"/>
        <v>3.9382753164556965E-2</v>
      </c>
      <c r="AB35" s="72">
        <f t="shared" si="15"/>
        <v>3.9382753164556965E-2</v>
      </c>
      <c r="AC35" s="88">
        <f t="shared" si="15"/>
        <v>3.9382753164556965E-2</v>
      </c>
    </row>
    <row r="36" spans="2:29">
      <c r="B36" s="57">
        <v>3</v>
      </c>
      <c r="C36" s="58" t="s">
        <v>27</v>
      </c>
      <c r="D36" s="59">
        <v>12696.365898719852</v>
      </c>
      <c r="E36" s="59">
        <v>10929.041709408459</v>
      </c>
      <c r="F36" s="53">
        <f t="shared" si="16"/>
        <v>11812.703804064156</v>
      </c>
      <c r="G36" s="54">
        <f t="shared" si="17"/>
        <v>0.21895651166013264</v>
      </c>
      <c r="H36" s="62">
        <f t="shared" si="18"/>
        <v>12696365.898719853</v>
      </c>
      <c r="I36" s="62">
        <f t="shared" si="14"/>
        <v>10929041.709408458</v>
      </c>
      <c r="J36" s="62">
        <f t="shared" si="14"/>
        <v>11812703.804064156</v>
      </c>
      <c r="K36" s="70">
        <f>J36*Price</f>
        <v>11812703.804064156</v>
      </c>
      <c r="M36" s="445"/>
      <c r="N36" s="57" t="s">
        <v>29</v>
      </c>
      <c r="O36" s="72">
        <f t="shared" si="15"/>
        <v>7.6974050632911397E-3</v>
      </c>
      <c r="P36" s="72">
        <f t="shared" si="15"/>
        <v>7.3125348101265836E-2</v>
      </c>
      <c r="Q36" s="72">
        <f t="shared" si="15"/>
        <v>0.26940917721518987</v>
      </c>
      <c r="R36" s="72">
        <f t="shared" si="15"/>
        <v>3.483075791139241E-2</v>
      </c>
      <c r="S36" s="72">
        <f t="shared" si="15"/>
        <v>1.9243512658227852E-2</v>
      </c>
      <c r="T36" s="72">
        <f t="shared" si="15"/>
        <v>1.9243512658227852E-2</v>
      </c>
      <c r="U36" s="72">
        <f t="shared" si="15"/>
        <v>1.9243512658227852E-2</v>
      </c>
      <c r="V36" s="72">
        <f t="shared" si="15"/>
        <v>1.9243512658227852E-2</v>
      </c>
      <c r="W36" s="72">
        <f t="shared" si="15"/>
        <v>1.9243512658227852E-2</v>
      </c>
      <c r="X36" s="72">
        <f t="shared" si="15"/>
        <v>1.9243512658227852E-2</v>
      </c>
      <c r="Y36" s="72">
        <f t="shared" si="15"/>
        <v>1.9243512658227852E-2</v>
      </c>
      <c r="Z36" s="72">
        <f t="shared" si="15"/>
        <v>1.9243512658227852E-2</v>
      </c>
      <c r="AA36" s="72">
        <f t="shared" si="15"/>
        <v>1.9243512658227852E-2</v>
      </c>
      <c r="AB36" s="72">
        <f t="shared" si="15"/>
        <v>1.9243512658227852E-2</v>
      </c>
      <c r="AC36" s="88">
        <f t="shared" si="15"/>
        <v>1.9243512658227852E-2</v>
      </c>
    </row>
    <row r="37" spans="2:29">
      <c r="B37" s="57">
        <v>4</v>
      </c>
      <c r="C37" s="58" t="s">
        <v>29</v>
      </c>
      <c r="D37" s="59">
        <v>3069.6216566136604</v>
      </c>
      <c r="E37" s="59">
        <v>2642.3327261399072</v>
      </c>
      <c r="F37" s="53">
        <f t="shared" si="16"/>
        <v>2855.9771913767836</v>
      </c>
      <c r="G37" s="54">
        <f t="shared" si="17"/>
        <v>5.2937482694657714E-2</v>
      </c>
      <c r="H37" s="62">
        <f t="shared" si="18"/>
        <v>3069621.6566136605</v>
      </c>
      <c r="I37" s="62">
        <f t="shared" si="14"/>
        <v>2642332.7261399073</v>
      </c>
      <c r="J37" s="62">
        <f t="shared" si="14"/>
        <v>2855977.1913767834</v>
      </c>
      <c r="K37" s="70">
        <f>J37*Price</f>
        <v>2855977.1913767834</v>
      </c>
      <c r="M37" s="445"/>
      <c r="N37" s="57" t="s">
        <v>35</v>
      </c>
      <c r="O37" s="72">
        <f t="shared" si="15"/>
        <v>2.9349430379746841E-2</v>
      </c>
      <c r="P37" s="72">
        <f t="shared" si="15"/>
        <v>0.27881958860759504</v>
      </c>
      <c r="Q37" s="72">
        <f t="shared" si="15"/>
        <v>1.0272300632911393</v>
      </c>
      <c r="R37" s="72">
        <f t="shared" si="15"/>
        <v>0.13280617246835447</v>
      </c>
      <c r="S37" s="72">
        <f t="shared" si="15"/>
        <v>7.3373575949367109E-2</v>
      </c>
      <c r="T37" s="72">
        <f t="shared" si="15"/>
        <v>7.3373575949367109E-2</v>
      </c>
      <c r="U37" s="72">
        <f t="shared" si="15"/>
        <v>7.3373575949367109E-2</v>
      </c>
      <c r="V37" s="72">
        <f t="shared" si="15"/>
        <v>7.3373575949367109E-2</v>
      </c>
      <c r="W37" s="72">
        <f t="shared" si="15"/>
        <v>7.3373575949367109E-2</v>
      </c>
      <c r="X37" s="72">
        <f t="shared" si="15"/>
        <v>7.3373575949367109E-2</v>
      </c>
      <c r="Y37" s="72">
        <f t="shared" si="15"/>
        <v>7.3373575949367109E-2</v>
      </c>
      <c r="Z37" s="72">
        <f t="shared" si="15"/>
        <v>7.3373575949367109E-2</v>
      </c>
      <c r="AA37" s="72">
        <f t="shared" si="15"/>
        <v>7.3373575949367109E-2</v>
      </c>
      <c r="AB37" s="72">
        <f t="shared" si="15"/>
        <v>7.3373575949367109E-2</v>
      </c>
      <c r="AC37" s="88">
        <f t="shared" si="15"/>
        <v>7.3373575949367109E-2</v>
      </c>
    </row>
    <row r="38" spans="2:29">
      <c r="B38" s="57">
        <v>5</v>
      </c>
      <c r="C38" s="58" t="s">
        <v>35</v>
      </c>
      <c r="D38" s="59">
        <v>3887.8012392422597</v>
      </c>
      <c r="E38" s="59">
        <v>3346.6223516646387</v>
      </c>
      <c r="F38" s="53">
        <f t="shared" si="16"/>
        <v>3617.2117954534492</v>
      </c>
      <c r="G38" s="54">
        <f t="shared" si="17"/>
        <v>6.7047484623789608E-2</v>
      </c>
      <c r="H38" s="62">
        <f t="shared" si="18"/>
        <v>3887801.2392422599</v>
      </c>
      <c r="I38" s="62">
        <f t="shared" si="14"/>
        <v>3346622.3516646386</v>
      </c>
      <c r="J38" s="62">
        <f t="shared" si="14"/>
        <v>3617211.7954534492</v>
      </c>
      <c r="K38" s="70">
        <f>J38*Price</f>
        <v>3617211.7954534492</v>
      </c>
      <c r="M38" s="445"/>
      <c r="N38" s="57" t="s">
        <v>31</v>
      </c>
      <c r="O38" s="72">
        <f t="shared" si="15"/>
        <v>1.6336202531645572E-2</v>
      </c>
      <c r="P38" s="72">
        <f t="shared" si="15"/>
        <v>0.15519392405063293</v>
      </c>
      <c r="Q38" s="72">
        <f t="shared" si="15"/>
        <v>0.57176708860759495</v>
      </c>
      <c r="R38" s="72">
        <f t="shared" si="15"/>
        <v>7.3921316455696204E-2</v>
      </c>
      <c r="S38" s="72">
        <f t="shared" si="15"/>
        <v>4.0840506329113929E-2</v>
      </c>
      <c r="T38" s="72">
        <f t="shared" si="15"/>
        <v>4.0840506329113929E-2</v>
      </c>
      <c r="U38" s="72">
        <f t="shared" si="15"/>
        <v>4.0840506329113929E-2</v>
      </c>
      <c r="V38" s="72">
        <f t="shared" si="15"/>
        <v>4.0840506329113929E-2</v>
      </c>
      <c r="W38" s="72">
        <f t="shared" si="15"/>
        <v>4.0840506329113929E-2</v>
      </c>
      <c r="X38" s="72">
        <f t="shared" si="15"/>
        <v>4.0840506329113929E-2</v>
      </c>
      <c r="Y38" s="72">
        <f t="shared" si="15"/>
        <v>4.0840506329113929E-2</v>
      </c>
      <c r="Z38" s="72">
        <f t="shared" si="15"/>
        <v>4.0840506329113929E-2</v>
      </c>
      <c r="AA38" s="72">
        <f t="shared" si="15"/>
        <v>4.0840506329113929E-2</v>
      </c>
      <c r="AB38" s="72">
        <f t="shared" si="15"/>
        <v>4.0840506329113929E-2</v>
      </c>
      <c r="AC38" s="88">
        <f t="shared" si="15"/>
        <v>4.0840506329113929E-2</v>
      </c>
    </row>
    <row r="39" spans="2:29">
      <c r="B39" s="57">
        <v>6</v>
      </c>
      <c r="C39" s="58" t="s">
        <v>31</v>
      </c>
      <c r="D39" s="64">
        <f>0.2*F45</f>
        <v>2080</v>
      </c>
      <c r="E39" s="64">
        <f>D39</f>
        <v>2080</v>
      </c>
      <c r="F39" s="53">
        <f>D39</f>
        <v>2080</v>
      </c>
      <c r="G39" s="54">
        <f t="shared" si="17"/>
        <v>3.8554216867469883E-2</v>
      </c>
      <c r="H39" s="62">
        <f t="shared" si="18"/>
        <v>2080000</v>
      </c>
      <c r="I39" s="62">
        <f t="shared" si="14"/>
        <v>2080000</v>
      </c>
      <c r="J39" s="62">
        <f t="shared" si="14"/>
        <v>2080000</v>
      </c>
      <c r="K39" s="70">
        <f>J39*Price</f>
        <v>2080000</v>
      </c>
      <c r="M39" s="89"/>
      <c r="N39" s="83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91"/>
    </row>
    <row r="40" spans="2:29">
      <c r="B40" s="4" t="s">
        <v>45</v>
      </c>
      <c r="C40" s="36" t="s">
        <v>60</v>
      </c>
      <c r="D40" s="47">
        <v>1265.5908211203439</v>
      </c>
      <c r="E40" s="47">
        <v>1089.421570030788</v>
      </c>
      <c r="F40" s="48">
        <f t="shared" si="16"/>
        <v>1177.5061955755659</v>
      </c>
      <c r="G40" s="49">
        <f>F40/$F$46</f>
        <v>2.182587943606239E-2</v>
      </c>
      <c r="H40" s="79">
        <f>D40*1000</f>
        <v>1265590.8211203439</v>
      </c>
      <c r="I40" s="79">
        <f t="shared" si="14"/>
        <v>1089421.570030788</v>
      </c>
      <c r="J40" s="79">
        <f t="shared" si="14"/>
        <v>1177506.195575566</v>
      </c>
      <c r="K40" s="80"/>
      <c r="M40" s="89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90"/>
    </row>
    <row r="41" spans="2:29">
      <c r="B41" s="4" t="s">
        <v>45</v>
      </c>
      <c r="C41" s="36" t="s">
        <v>85</v>
      </c>
      <c r="D41" s="47">
        <v>5198.3593727033558</v>
      </c>
      <c r="E41" s="47">
        <v>4474.7518193767328</v>
      </c>
      <c r="F41" s="48">
        <f t="shared" si="16"/>
        <v>4836.5555960400443</v>
      </c>
      <c r="G41" s="49">
        <f t="shared" si="17"/>
        <v>8.964885256793409E-2</v>
      </c>
      <c r="H41" s="79">
        <f t="shared" ref="H41:H42" si="19">D41*1000</f>
        <v>5198359.3727033557</v>
      </c>
      <c r="I41" s="79">
        <f t="shared" si="14"/>
        <v>4474751.8193767332</v>
      </c>
      <c r="J41" s="79">
        <f t="shared" si="14"/>
        <v>4836555.596040044</v>
      </c>
      <c r="K41" s="80"/>
      <c r="L41" s="80"/>
      <c r="M41" s="445" t="s">
        <v>97</v>
      </c>
      <c r="N41" s="57" t="s">
        <v>42</v>
      </c>
      <c r="O41" s="72">
        <f>O25-O33</f>
        <v>-6.3110759493670884E-2</v>
      </c>
      <c r="P41" s="72">
        <f t="shared" ref="P41:AC41" si="20">P25-P33</f>
        <v>-0.59955221518987334</v>
      </c>
      <c r="Q41" s="72">
        <f t="shared" si="20"/>
        <v>-2.2088765822784806</v>
      </c>
      <c r="R41" s="72">
        <f t="shared" si="20"/>
        <v>-3.6933402953210376E-2</v>
      </c>
      <c r="S41" s="72">
        <f t="shared" si="20"/>
        <v>0.35160427572791664</v>
      </c>
      <c r="T41" s="72">
        <f t="shared" si="20"/>
        <v>0.62487958030334978</v>
      </c>
      <c r="U41" s="72">
        <f t="shared" si="20"/>
        <v>0.64391633858955188</v>
      </c>
      <c r="V41" s="72">
        <f t="shared" si="20"/>
        <v>0.66341613292765378</v>
      </c>
      <c r="W41" s="72">
        <f t="shared" si="20"/>
        <v>0.68339022586467812</v>
      </c>
      <c r="X41" s="72">
        <f t="shared" si="20"/>
        <v>0.70385015388952521</v>
      </c>
      <c r="Y41" s="72">
        <f t="shared" si="20"/>
        <v>0.72480773409613308</v>
      </c>
      <c r="Z41" s="72">
        <f t="shared" si="20"/>
        <v>0.74627507100870627</v>
      </c>
      <c r="AA41" s="72">
        <f t="shared" si="20"/>
        <v>0.76826456357295936</v>
      </c>
      <c r="AB41" s="72">
        <f t="shared" si="20"/>
        <v>0.79078891231740611</v>
      </c>
      <c r="AC41" s="88">
        <f t="shared" si="20"/>
        <v>0.8138611266888387</v>
      </c>
    </row>
    <row r="42" spans="2:29">
      <c r="B42" s="4" t="s">
        <v>45</v>
      </c>
      <c r="C42" s="36" t="s">
        <v>59</v>
      </c>
      <c r="D42" s="47">
        <v>11171.656661353647</v>
      </c>
      <c r="E42" s="47">
        <v>9616.5708037317581</v>
      </c>
      <c r="F42" s="48">
        <f t="shared" si="16"/>
        <v>10394.113732542703</v>
      </c>
      <c r="G42" s="49">
        <f t="shared" si="17"/>
        <v>0.19266197836038373</v>
      </c>
      <c r="H42" s="79">
        <f t="shared" si="19"/>
        <v>11171656.661353648</v>
      </c>
      <c r="I42" s="79">
        <f t="shared" si="14"/>
        <v>9616570.8037317581</v>
      </c>
      <c r="J42" s="79">
        <f t="shared" si="14"/>
        <v>10394113.732542703</v>
      </c>
      <c r="K42" s="80"/>
      <c r="L42" s="80"/>
      <c r="M42" s="445"/>
      <c r="N42" s="57" t="s">
        <v>23</v>
      </c>
      <c r="O42" s="72">
        <f t="shared" ref="O42:AC46" si="21">O26-O34</f>
        <v>-1.5753101265822786E-2</v>
      </c>
      <c r="P42" s="72">
        <f t="shared" si="21"/>
        <v>-0.14965446202531646</v>
      </c>
      <c r="Q42" s="72">
        <f t="shared" si="21"/>
        <v>-0.55135854430379738</v>
      </c>
      <c r="R42" s="72">
        <f t="shared" si="21"/>
        <v>0.36196142534764414</v>
      </c>
      <c r="S42" s="72">
        <f t="shared" si="21"/>
        <v>0.84818148843418795</v>
      </c>
      <c r="T42" s="72">
        <f t="shared" si="21"/>
        <v>1.3243462950925657</v>
      </c>
      <c r="U42" s="72">
        <f t="shared" si="21"/>
        <v>1.3575166334911808</v>
      </c>
      <c r="V42" s="72">
        <f t="shared" si="21"/>
        <v>1.3914937827081799</v>
      </c>
      <c r="W42" s="72">
        <f t="shared" si="21"/>
        <v>1.4262973670141645</v>
      </c>
      <c r="X42" s="72">
        <f t="shared" si="21"/>
        <v>1.4619474880060028</v>
      </c>
      <c r="Y42" s="72">
        <f t="shared" si="21"/>
        <v>1.4984647362169632</v>
      </c>
      <c r="Z42" s="72">
        <f t="shared" si="21"/>
        <v>1.5358702030092399</v>
      </c>
      <c r="AA42" s="72">
        <f t="shared" si="21"/>
        <v>1.5741854927557497</v>
      </c>
      <c r="AB42" s="72">
        <f t="shared" si="21"/>
        <v>1.6134327353182214</v>
      </c>
      <c r="AC42" s="88">
        <f t="shared" si="21"/>
        <v>1.6536345988288015</v>
      </c>
    </row>
    <row r="43" spans="2:29">
      <c r="B43" s="4" t="s">
        <v>45</v>
      </c>
      <c r="C43" s="134" t="s">
        <v>64</v>
      </c>
      <c r="D43" s="454"/>
      <c r="E43" s="454"/>
      <c r="F43" s="48">
        <f>F46-SUM(F34:F42)</f>
        <v>8148.4122947693395</v>
      </c>
      <c r="G43" s="49">
        <f>F43/$F$46</f>
        <v>0.15103637247023799</v>
      </c>
      <c r="H43" s="16"/>
      <c r="I43" s="16"/>
      <c r="M43" s="445"/>
      <c r="N43" s="57" t="s">
        <v>27</v>
      </c>
      <c r="O43" s="72">
        <f t="shared" si="21"/>
        <v>-1.5753101265822786E-2</v>
      </c>
      <c r="P43" s="72">
        <f t="shared" si="21"/>
        <v>-0.14965446202531646</v>
      </c>
      <c r="Q43" s="72">
        <f t="shared" si="21"/>
        <v>-0.55135854430379738</v>
      </c>
      <c r="R43" s="72">
        <f t="shared" si="21"/>
        <v>0.57894790129476537</v>
      </c>
      <c r="S43" s="72">
        <f t="shared" si="21"/>
        <v>1.2927100779666953</v>
      </c>
      <c r="T43" s="72">
        <f t="shared" si="21"/>
        <v>2.0073577571522434</v>
      </c>
      <c r="U43" s="72">
        <f t="shared" si="21"/>
        <v>2.0571411620215092</v>
      </c>
      <c r="V43" s="72">
        <f t="shared" si="21"/>
        <v>2.1081354616709795</v>
      </c>
      <c r="W43" s="72">
        <f t="shared" si="21"/>
        <v>2.1603701090111702</v>
      </c>
      <c r="X43" s="72">
        <f t="shared" si="21"/>
        <v>2.2138752733434424</v>
      </c>
      <c r="Y43" s="72">
        <f t="shared" si="21"/>
        <v>2.2686818577849688</v>
      </c>
      <c r="Z43" s="72">
        <f t="shared" si="21"/>
        <v>2.3248215171175226</v>
      </c>
      <c r="AA43" s="72">
        <f t="shared" si="21"/>
        <v>2.3823266760704187</v>
      </c>
      <c r="AB43" s="72">
        <f t="shared" si="21"/>
        <v>2.4412305480481424</v>
      </c>
      <c r="AC43" s="88">
        <f t="shared" si="21"/>
        <v>2.5015671543135074</v>
      </c>
    </row>
    <row r="44" spans="2:29">
      <c r="B44" s="4" t="s">
        <v>45</v>
      </c>
      <c r="C44" s="134" t="s">
        <v>66</v>
      </c>
      <c r="D44" s="454"/>
      <c r="E44" s="454"/>
      <c r="F44" s="48">
        <f>0.67*F47</f>
        <v>43550</v>
      </c>
      <c r="G44" s="49">
        <f t="shared" ref="G44:G46" si="22">F44/$F$46</f>
        <v>0.80722891566265065</v>
      </c>
      <c r="H44" s="16"/>
      <c r="I44" s="16"/>
      <c r="M44" s="445"/>
      <c r="N44" s="57" t="s">
        <v>29</v>
      </c>
      <c r="O44" s="72">
        <f t="shared" si="21"/>
        <v>-7.6974050632911397E-3</v>
      </c>
      <c r="P44" s="72">
        <f t="shared" si="21"/>
        <v>-7.3125348101265836E-2</v>
      </c>
      <c r="Q44" s="72">
        <f t="shared" si="21"/>
        <v>-0.26940917721518987</v>
      </c>
      <c r="R44" s="72">
        <f t="shared" si="21"/>
        <v>0.12237660417373682</v>
      </c>
      <c r="S44" s="72">
        <f t="shared" si="21"/>
        <v>0.3028188031003769</v>
      </c>
      <c r="T44" s="72">
        <f t="shared" si="21"/>
        <v>0.4756003699184721</v>
      </c>
      <c r="U44" s="72">
        <f t="shared" si="21"/>
        <v>0.48763658712784463</v>
      </c>
      <c r="V44" s="72">
        <f t="shared" si="21"/>
        <v>0.49996556439713113</v>
      </c>
      <c r="W44" s="72">
        <f t="shared" si="21"/>
        <v>0.5125944226058563</v>
      </c>
      <c r="X44" s="72">
        <f t="shared" si="21"/>
        <v>0.52553045583656022</v>
      </c>
      <c r="Y44" s="72">
        <f t="shared" si="21"/>
        <v>0.53878113558766105</v>
      </c>
      <c r="Z44" s="72">
        <f t="shared" si="21"/>
        <v>0.55235411508878707</v>
      </c>
      <c r="AA44" s="72">
        <f t="shared" si="21"/>
        <v>0.56625723372107373</v>
      </c>
      <c r="AB44" s="72">
        <f t="shared" si="21"/>
        <v>0.58049852154497372</v>
      </c>
      <c r="AC44" s="88">
        <f t="shared" si="21"/>
        <v>0.59508620393820189</v>
      </c>
    </row>
    <row r="45" spans="2:29">
      <c r="B45" s="4" t="s">
        <v>45</v>
      </c>
      <c r="C45" s="134" t="s">
        <v>67</v>
      </c>
      <c r="D45" s="454"/>
      <c r="E45" s="454"/>
      <c r="F45" s="48">
        <f>0.16*F47</f>
        <v>10400</v>
      </c>
      <c r="G45" s="49">
        <f t="shared" si="22"/>
        <v>0.19277108433734941</v>
      </c>
      <c r="H45" s="16"/>
      <c r="I45" s="16"/>
      <c r="M45" s="445"/>
      <c r="N45" s="57" t="s">
        <v>35</v>
      </c>
      <c r="O45" s="72">
        <f t="shared" si="21"/>
        <v>-2.9349430379746841E-2</v>
      </c>
      <c r="P45" s="72">
        <f t="shared" si="21"/>
        <v>-0.27881958860759504</v>
      </c>
      <c r="Q45" s="72">
        <f t="shared" si="21"/>
        <v>-1.0272300632911393</v>
      </c>
      <c r="R45" s="72">
        <f t="shared" si="21"/>
        <v>6.6303374408775873E-2</v>
      </c>
      <c r="S45" s="72">
        <f t="shared" si="21"/>
        <v>0.33453150499824419</v>
      </c>
      <c r="T45" s="72">
        <f t="shared" si="21"/>
        <v>0.55336641846268042</v>
      </c>
      <c r="U45" s="72">
        <f t="shared" si="21"/>
        <v>0.56861077930486004</v>
      </c>
      <c r="V45" s="72">
        <f t="shared" si="21"/>
        <v>0.58422593272379963</v>
      </c>
      <c r="W45" s="72">
        <f t="shared" si="21"/>
        <v>0.60022089760434472</v>
      </c>
      <c r="X45" s="72">
        <f t="shared" si="21"/>
        <v>0.61660491220003655</v>
      </c>
      <c r="Y45" s="72">
        <f t="shared" si="21"/>
        <v>0.63338743946887377</v>
      </c>
      <c r="Z45" s="72">
        <f t="shared" si="21"/>
        <v>0.65057817253885775</v>
      </c>
      <c r="AA45" s="72">
        <f t="shared" si="21"/>
        <v>0.66818704030647891</v>
      </c>
      <c r="AB45" s="72">
        <f t="shared" si="21"/>
        <v>0.6862242131713735</v>
      </c>
      <c r="AC45" s="88">
        <f t="shared" si="21"/>
        <v>0.7047001089104693</v>
      </c>
    </row>
    <row r="46" spans="2:29">
      <c r="B46" s="4" t="s">
        <v>45</v>
      </c>
      <c r="C46" s="52" t="s">
        <v>65</v>
      </c>
      <c r="D46" s="454"/>
      <c r="E46" s="454"/>
      <c r="F46" s="50">
        <f>SUM(F44:F45)</f>
        <v>53950</v>
      </c>
      <c r="G46" s="51">
        <f t="shared" si="22"/>
        <v>1</v>
      </c>
      <c r="H46" s="52"/>
      <c r="I46" s="52"/>
      <c r="M46" s="445"/>
      <c r="N46" s="57" t="s">
        <v>31</v>
      </c>
      <c r="O46" s="72">
        <f t="shared" si="21"/>
        <v>-1.6336202531645572E-2</v>
      </c>
      <c r="P46" s="72">
        <f t="shared" si="21"/>
        <v>-0.15519392405063293</v>
      </c>
      <c r="Q46" s="72">
        <f t="shared" si="21"/>
        <v>-0.57176708860759495</v>
      </c>
      <c r="R46" s="72">
        <f t="shared" si="21"/>
        <v>4.0572354615757908E-2</v>
      </c>
      <c r="S46" s="72">
        <f t="shared" si="21"/>
        <v>0.1937165548408892</v>
      </c>
      <c r="T46" s="72">
        <f t="shared" si="21"/>
        <v>0.3195528745659737</v>
      </c>
      <c r="U46" s="72">
        <f t="shared" si="21"/>
        <v>0.32831881705006838</v>
      </c>
      <c r="V46" s="72">
        <f t="shared" si="21"/>
        <v>0.33729797584641485</v>
      </c>
      <c r="W46" s="72">
        <f t="shared" si="21"/>
        <v>0.34649553707115466</v>
      </c>
      <c r="X46" s="72">
        <f t="shared" si="21"/>
        <v>0.35591681298368849</v>
      </c>
      <c r="Y46" s="72">
        <f t="shared" si="21"/>
        <v>0.36556724505489258</v>
      </c>
      <c r="Z46" s="72">
        <f t="shared" si="21"/>
        <v>0.37545240710996219</v>
      </c>
      <c r="AA46" s="72">
        <f t="shared" si="21"/>
        <v>0.38557800854770174</v>
      </c>
      <c r="AB46" s="72">
        <f t="shared" si="21"/>
        <v>0.39594989763811583</v>
      </c>
      <c r="AC46" s="88">
        <f t="shared" si="21"/>
        <v>0.40657406490021053</v>
      </c>
    </row>
    <row r="47" spans="2:29">
      <c r="B47" s="40" t="s">
        <v>45</v>
      </c>
      <c r="C47" s="134" t="s">
        <v>68</v>
      </c>
      <c r="D47" s="454"/>
      <c r="E47" s="454"/>
      <c r="F47" s="48">
        <v>65000</v>
      </c>
      <c r="G47" s="46"/>
      <c r="H47" s="16"/>
      <c r="I47" s="16"/>
      <c r="M47" s="89"/>
      <c r="N47" s="57" t="s">
        <v>49</v>
      </c>
      <c r="O47" s="72">
        <f>SUM(O41:O46)</f>
        <v>-0.14800000000000002</v>
      </c>
      <c r="P47" s="72">
        <f t="shared" ref="P47:AC47" si="23">SUM(P41:P46)</f>
        <v>-1.4060000000000001</v>
      </c>
      <c r="Q47" s="72">
        <f t="shared" si="23"/>
        <v>-5.18</v>
      </c>
      <c r="R47" s="72">
        <f t="shared" si="23"/>
        <v>1.1332282568874696</v>
      </c>
      <c r="S47" s="72">
        <f t="shared" si="23"/>
        <v>3.3235627050683103</v>
      </c>
      <c r="T47" s="72">
        <f t="shared" si="23"/>
        <v>5.3051032954952841</v>
      </c>
      <c r="U47" s="72">
        <f t="shared" si="23"/>
        <v>5.4431403175850157</v>
      </c>
      <c r="V47" s="72">
        <f t="shared" si="23"/>
        <v>5.5845348502741592</v>
      </c>
      <c r="W47" s="72">
        <f t="shared" si="23"/>
        <v>5.7293685591713679</v>
      </c>
      <c r="X47" s="72">
        <f t="shared" si="23"/>
        <v>5.8777250962592547</v>
      </c>
      <c r="Y47" s="72">
        <f t="shared" si="23"/>
        <v>6.0296901482094922</v>
      </c>
      <c r="Z47" s="72">
        <f t="shared" si="23"/>
        <v>6.1853514858730749</v>
      </c>
      <c r="AA47" s="72">
        <f t="shared" si="23"/>
        <v>6.3447990149743827</v>
      </c>
      <c r="AB47" s="72">
        <f t="shared" si="23"/>
        <v>6.5081248280382322</v>
      </c>
      <c r="AC47" s="88">
        <f t="shared" si="23"/>
        <v>6.6754232575800287</v>
      </c>
    </row>
    <row r="48" spans="2:29">
      <c r="B48" s="40"/>
      <c r="C48" s="45"/>
      <c r="D48" s="42"/>
      <c r="E48" s="42"/>
      <c r="F48" s="81"/>
      <c r="G48" s="82"/>
      <c r="H48" s="83"/>
      <c r="I48" s="83"/>
      <c r="M48" s="89"/>
      <c r="N48" s="40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91"/>
    </row>
    <row r="49" spans="2:29">
      <c r="B49" s="40"/>
      <c r="C49" s="45"/>
      <c r="D49" s="4"/>
      <c r="E49" s="4"/>
      <c r="G49" s="44"/>
      <c r="M49" s="89"/>
      <c r="N49" s="83"/>
      <c r="O49" s="41" t="s">
        <v>233</v>
      </c>
      <c r="P49" s="73" t="s">
        <v>234</v>
      </c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90"/>
    </row>
    <row r="50" spans="2:29">
      <c r="B50" t="s">
        <v>61</v>
      </c>
      <c r="M50" s="445" t="s">
        <v>99</v>
      </c>
      <c r="N50" s="57" t="s">
        <v>42</v>
      </c>
      <c r="O50" s="75">
        <f>IRR(O41:AC41)</f>
        <v>0.14293357158750175</v>
      </c>
      <c r="P50" s="76">
        <f>NPV(0.06,O41:AC41)</f>
        <v>1.6704976816324528</v>
      </c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90"/>
    </row>
    <row r="51" spans="2:29">
      <c r="M51" s="445"/>
      <c r="N51" s="57" t="s">
        <v>23</v>
      </c>
      <c r="O51" s="75">
        <f t="shared" ref="O51:O56" si="24">IRR(O42:AC42)</f>
        <v>0.86804729017552185</v>
      </c>
      <c r="P51" s="76">
        <f t="shared" ref="P51:P55" si="25">NPV(0.06,O42:AC42)</f>
        <v>8.3738980805368683</v>
      </c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90"/>
    </row>
    <row r="52" spans="2:29">
      <c r="M52" s="445"/>
      <c r="N52" s="57" t="s">
        <v>27</v>
      </c>
      <c r="O52" s="75">
        <f t="shared" si="24"/>
        <v>1.1413932620639984</v>
      </c>
      <c r="P52" s="76">
        <f t="shared" si="25"/>
        <v>13.025396571300687</v>
      </c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90"/>
    </row>
    <row r="53" spans="2:29">
      <c r="M53" s="445"/>
      <c r="N53" s="57" t="s">
        <v>29</v>
      </c>
      <c r="O53" s="75">
        <f t="shared" si="24"/>
        <v>0.70351814694412229</v>
      </c>
      <c r="P53" s="76">
        <f t="shared" si="25"/>
        <v>2.9236744626260207</v>
      </c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90"/>
    </row>
    <row r="54" spans="2:29">
      <c r="M54" s="445"/>
      <c r="N54" s="57" t="s">
        <v>35</v>
      </c>
      <c r="O54" s="75">
        <f t="shared" si="24"/>
        <v>0.28203568497669229</v>
      </c>
      <c r="P54" s="76">
        <f t="shared" si="25"/>
        <v>2.5663851777990971</v>
      </c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90"/>
    </row>
    <row r="55" spans="2:29">
      <c r="M55" s="445"/>
      <c r="N55" s="57" t="s">
        <v>31</v>
      </c>
      <c r="O55" s="75">
        <f t="shared" si="24"/>
        <v>0.29139801841986634</v>
      </c>
      <c r="P55" s="76">
        <f t="shared" si="25"/>
        <v>1.5070900775051421</v>
      </c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90"/>
    </row>
    <row r="56" spans="2:29" ht="15.75" thickBot="1">
      <c r="M56" s="92"/>
      <c r="N56" s="93" t="s">
        <v>49</v>
      </c>
      <c r="O56" s="94">
        <f t="shared" si="24"/>
        <v>0.47528336899717161</v>
      </c>
      <c r="P56" s="95">
        <f>NPV(0.06,O47:AC47)</f>
        <v>30.066942051400265</v>
      </c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7"/>
    </row>
    <row r="58" spans="2:29" ht="15.75" thickBot="1">
      <c r="J58" s="4" t="s">
        <v>102</v>
      </c>
      <c r="K58" s="39" t="s">
        <v>101</v>
      </c>
      <c r="R58" s="34">
        <v>0.33</v>
      </c>
      <c r="S58" s="34">
        <v>0.67</v>
      </c>
      <c r="T58" s="34">
        <v>1</v>
      </c>
    </row>
    <row r="59" spans="2:29" ht="15" customHeight="1">
      <c r="J59" s="57" t="s">
        <v>42</v>
      </c>
      <c r="K59" s="103">
        <v>0.12938037051345677</v>
      </c>
      <c r="M59" s="446" t="s">
        <v>98</v>
      </c>
      <c r="N59" s="85" t="s">
        <v>42</v>
      </c>
      <c r="O59" s="86">
        <f>$K34/1000000*0</f>
        <v>0</v>
      </c>
      <c r="P59" s="86">
        <f>$K34/1000000*0</f>
        <v>0</v>
      </c>
      <c r="Q59" s="86">
        <f>$K34/1000000*0</f>
        <v>0</v>
      </c>
      <c r="R59" s="86">
        <f>$K34/1000000*0.33*$K59</f>
        <v>0.19285905933654321</v>
      </c>
      <c r="S59" s="86">
        <f>$K34/1000000*0.67*$K59</f>
        <v>0.39156233259237555</v>
      </c>
      <c r="T59" s="86">
        <f>$K34/1000000*1*$K59</f>
        <v>0.58442139192891873</v>
      </c>
      <c r="U59" s="86">
        <f>T59</f>
        <v>0.58442139192891873</v>
      </c>
      <c r="V59" s="86">
        <f t="shared" ref="V59:AC59" si="26">U59</f>
        <v>0.58442139192891873</v>
      </c>
      <c r="W59" s="86">
        <f t="shared" si="26"/>
        <v>0.58442139192891873</v>
      </c>
      <c r="X59" s="86">
        <f t="shared" si="26"/>
        <v>0.58442139192891873</v>
      </c>
      <c r="Y59" s="86">
        <f t="shared" si="26"/>
        <v>0.58442139192891873</v>
      </c>
      <c r="Z59" s="86">
        <f t="shared" si="26"/>
        <v>0.58442139192891873</v>
      </c>
      <c r="AA59" s="86">
        <f t="shared" si="26"/>
        <v>0.58442139192891873</v>
      </c>
      <c r="AB59" s="86">
        <f t="shared" si="26"/>
        <v>0.58442139192891873</v>
      </c>
      <c r="AC59" s="87">
        <f t="shared" si="26"/>
        <v>0.58442139192891873</v>
      </c>
    </row>
    <row r="60" spans="2:29">
      <c r="J60" s="57" t="s">
        <v>23</v>
      </c>
      <c r="K60" s="103">
        <v>1.8534212675761774E-2</v>
      </c>
      <c r="M60" s="445"/>
      <c r="N60" s="57" t="s">
        <v>23</v>
      </c>
      <c r="O60" s="72">
        <f t="shared" ref="O60:Q64" si="27">$K35/1000000*0</f>
        <v>0</v>
      </c>
      <c r="P60" s="72">
        <f t="shared" si="27"/>
        <v>0</v>
      </c>
      <c r="Q60" s="72">
        <f t="shared" si="27"/>
        <v>0</v>
      </c>
      <c r="R60" s="72">
        <f t="shared" ref="R60:R64" si="28">$K35/1000000*0.33*$K60</f>
        <v>4.813962494088779E-2</v>
      </c>
      <c r="S60" s="72">
        <f t="shared" ref="S60:S64" si="29">$K35/1000000*0.67*$K60</f>
        <v>9.7738026395135819E-2</v>
      </c>
      <c r="T60" s="72">
        <f t="shared" ref="T60:T64" si="30">$K35/1000000*1*$K60</f>
        <v>0.14587765133602359</v>
      </c>
      <c r="U60" s="72">
        <f t="shared" ref="U60:AC64" si="31">T60</f>
        <v>0.14587765133602359</v>
      </c>
      <c r="V60" s="72">
        <f t="shared" si="31"/>
        <v>0.14587765133602359</v>
      </c>
      <c r="W60" s="72">
        <f t="shared" si="31"/>
        <v>0.14587765133602359</v>
      </c>
      <c r="X60" s="72">
        <f t="shared" si="31"/>
        <v>0.14587765133602359</v>
      </c>
      <c r="Y60" s="72">
        <f t="shared" si="31"/>
        <v>0.14587765133602359</v>
      </c>
      <c r="Z60" s="72">
        <f t="shared" si="31"/>
        <v>0.14587765133602359</v>
      </c>
      <c r="AA60" s="72">
        <f t="shared" si="31"/>
        <v>0.14587765133602359</v>
      </c>
      <c r="AB60" s="72">
        <f t="shared" si="31"/>
        <v>0.14587765133602359</v>
      </c>
      <c r="AC60" s="88">
        <f t="shared" si="31"/>
        <v>0.14587765133602359</v>
      </c>
    </row>
    <row r="61" spans="2:29">
      <c r="J61" s="57" t="s">
        <v>27</v>
      </c>
      <c r="K61" s="103">
        <v>1.2349217736741563E-2</v>
      </c>
      <c r="M61" s="445"/>
      <c r="N61" s="57" t="s">
        <v>27</v>
      </c>
      <c r="O61" s="72">
        <f t="shared" si="27"/>
        <v>0</v>
      </c>
      <c r="P61" s="72">
        <f t="shared" si="27"/>
        <v>0</v>
      </c>
      <c r="Q61" s="72">
        <f t="shared" si="27"/>
        <v>0</v>
      </c>
      <c r="R61" s="72">
        <f t="shared" si="28"/>
        <v>4.813962494088779E-2</v>
      </c>
      <c r="S61" s="72">
        <f t="shared" si="29"/>
        <v>9.7738026395135832E-2</v>
      </c>
      <c r="T61" s="72">
        <f t="shared" si="30"/>
        <v>0.14587765133602362</v>
      </c>
      <c r="U61" s="72">
        <f t="shared" si="31"/>
        <v>0.14587765133602362</v>
      </c>
      <c r="V61" s="72">
        <f t="shared" si="31"/>
        <v>0.14587765133602362</v>
      </c>
      <c r="W61" s="72">
        <f t="shared" si="31"/>
        <v>0.14587765133602362</v>
      </c>
      <c r="X61" s="72">
        <f t="shared" si="31"/>
        <v>0.14587765133602362</v>
      </c>
      <c r="Y61" s="72">
        <f t="shared" si="31"/>
        <v>0.14587765133602362</v>
      </c>
      <c r="Z61" s="72">
        <f t="shared" si="31"/>
        <v>0.14587765133602362</v>
      </c>
      <c r="AA61" s="72">
        <f t="shared" si="31"/>
        <v>0.14587765133602362</v>
      </c>
      <c r="AB61" s="72">
        <f t="shared" si="31"/>
        <v>0.14587765133602362</v>
      </c>
      <c r="AC61" s="88">
        <f t="shared" si="31"/>
        <v>0.14587765133602362</v>
      </c>
    </row>
    <row r="62" spans="2:29">
      <c r="J62" s="57" t="s">
        <v>29</v>
      </c>
      <c r="K62" s="103">
        <v>2.4958145035316986E-2</v>
      </c>
      <c r="M62" s="445"/>
      <c r="N62" s="57" t="s">
        <v>29</v>
      </c>
      <c r="O62" s="72">
        <f t="shared" si="27"/>
        <v>0</v>
      </c>
      <c r="P62" s="72">
        <f t="shared" si="27"/>
        <v>0</v>
      </c>
      <c r="Q62" s="72">
        <f t="shared" si="27"/>
        <v>0</v>
      </c>
      <c r="R62" s="72">
        <f t="shared" si="28"/>
        <v>2.3522364676779876E-2</v>
      </c>
      <c r="S62" s="72">
        <f t="shared" si="29"/>
        <v>4.7757528283159149E-2</v>
      </c>
      <c r="T62" s="72">
        <f t="shared" si="30"/>
        <v>7.1279892959939015E-2</v>
      </c>
      <c r="U62" s="72">
        <f t="shared" si="31"/>
        <v>7.1279892959939015E-2</v>
      </c>
      <c r="V62" s="72">
        <f t="shared" si="31"/>
        <v>7.1279892959939015E-2</v>
      </c>
      <c r="W62" s="72">
        <f t="shared" si="31"/>
        <v>7.1279892959939015E-2</v>
      </c>
      <c r="X62" s="72">
        <f t="shared" si="31"/>
        <v>7.1279892959939015E-2</v>
      </c>
      <c r="Y62" s="72">
        <f t="shared" si="31"/>
        <v>7.1279892959939015E-2</v>
      </c>
      <c r="Z62" s="72">
        <f t="shared" si="31"/>
        <v>7.1279892959939015E-2</v>
      </c>
      <c r="AA62" s="72">
        <f t="shared" si="31"/>
        <v>7.1279892959939015E-2</v>
      </c>
      <c r="AB62" s="72">
        <f t="shared" si="31"/>
        <v>7.1279892959939015E-2</v>
      </c>
      <c r="AC62" s="88">
        <f t="shared" si="31"/>
        <v>7.1279892959939015E-2</v>
      </c>
    </row>
    <row r="63" spans="2:29">
      <c r="J63" s="57" t="s">
        <v>35</v>
      </c>
      <c r="K63" s="103">
        <v>7.5136063177763848E-2</v>
      </c>
      <c r="M63" s="445"/>
      <c r="N63" s="57" t="s">
        <v>35</v>
      </c>
      <c r="O63" s="72">
        <f t="shared" si="27"/>
        <v>0</v>
      </c>
      <c r="P63" s="72">
        <f t="shared" si="27"/>
        <v>0</v>
      </c>
      <c r="Q63" s="72">
        <f t="shared" si="27"/>
        <v>0</v>
      </c>
      <c r="R63" s="72">
        <f t="shared" si="28"/>
        <v>8.9688407816879187E-2</v>
      </c>
      <c r="S63" s="72">
        <f t="shared" si="29"/>
        <v>0.18209464617366378</v>
      </c>
      <c r="T63" s="72">
        <f t="shared" si="30"/>
        <v>0.27178305399054298</v>
      </c>
      <c r="U63" s="72">
        <f t="shared" si="31"/>
        <v>0.27178305399054298</v>
      </c>
      <c r="V63" s="72">
        <f t="shared" si="31"/>
        <v>0.27178305399054298</v>
      </c>
      <c r="W63" s="72">
        <f t="shared" si="31"/>
        <v>0.27178305399054298</v>
      </c>
      <c r="X63" s="72">
        <f t="shared" si="31"/>
        <v>0.27178305399054298</v>
      </c>
      <c r="Y63" s="72">
        <f t="shared" si="31"/>
        <v>0.27178305399054298</v>
      </c>
      <c r="Z63" s="72">
        <f t="shared" si="31"/>
        <v>0.27178305399054298</v>
      </c>
      <c r="AA63" s="72">
        <f t="shared" si="31"/>
        <v>0.27178305399054298</v>
      </c>
      <c r="AB63" s="72">
        <f t="shared" si="31"/>
        <v>0.27178305399054298</v>
      </c>
      <c r="AC63" s="88">
        <f t="shared" si="31"/>
        <v>0.27178305399054298</v>
      </c>
    </row>
    <row r="64" spans="2:29">
      <c r="J64" s="57" t="s">
        <v>31</v>
      </c>
      <c r="K64" s="103">
        <v>7.2729478202086029E-2</v>
      </c>
      <c r="M64" s="445"/>
      <c r="N64" s="57" t="s">
        <v>31</v>
      </c>
      <c r="O64" s="72">
        <f t="shared" si="27"/>
        <v>0</v>
      </c>
      <c r="P64" s="72">
        <f t="shared" si="27"/>
        <v>0</v>
      </c>
      <c r="Q64" s="72">
        <f t="shared" si="27"/>
        <v>0</v>
      </c>
      <c r="R64" s="72">
        <f t="shared" si="28"/>
        <v>4.9921513837911852E-2</v>
      </c>
      <c r="S64" s="72">
        <f t="shared" si="29"/>
        <v>0.10135580082242711</v>
      </c>
      <c r="T64" s="72">
        <f t="shared" si="30"/>
        <v>0.15127731466033895</v>
      </c>
      <c r="U64" s="72">
        <f t="shared" si="31"/>
        <v>0.15127731466033895</v>
      </c>
      <c r="V64" s="72">
        <f t="shared" si="31"/>
        <v>0.15127731466033895</v>
      </c>
      <c r="W64" s="72">
        <f t="shared" si="31"/>
        <v>0.15127731466033895</v>
      </c>
      <c r="X64" s="72">
        <f t="shared" si="31"/>
        <v>0.15127731466033895</v>
      </c>
      <c r="Y64" s="72">
        <f t="shared" si="31"/>
        <v>0.15127731466033895</v>
      </c>
      <c r="Z64" s="72">
        <f t="shared" si="31"/>
        <v>0.15127731466033895</v>
      </c>
      <c r="AA64" s="72">
        <f t="shared" si="31"/>
        <v>0.15127731466033895</v>
      </c>
      <c r="AB64" s="72">
        <f t="shared" si="31"/>
        <v>0.15127731466033895</v>
      </c>
      <c r="AC64" s="88">
        <f t="shared" si="31"/>
        <v>0.15127731466033895</v>
      </c>
    </row>
    <row r="65" spans="13:29">
      <c r="M65" s="89"/>
      <c r="N65" s="40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90"/>
    </row>
    <row r="66" spans="13:29">
      <c r="M66" s="89"/>
      <c r="N66" s="98" t="str">
        <f t="shared" ref="N66:AC66" si="32">N32</f>
        <v>(phasing)</v>
      </c>
      <c r="O66" s="99">
        <f t="shared" si="32"/>
        <v>0.02</v>
      </c>
      <c r="P66" s="99">
        <f t="shared" si="32"/>
        <v>0.19</v>
      </c>
      <c r="Q66" s="99">
        <f t="shared" si="32"/>
        <v>0.7</v>
      </c>
      <c r="R66" s="100">
        <f t="shared" si="32"/>
        <v>9.0499999999999997E-2</v>
      </c>
      <c r="S66" s="99">
        <f t="shared" si="32"/>
        <v>0.05</v>
      </c>
      <c r="T66" s="99">
        <f t="shared" si="32"/>
        <v>0.05</v>
      </c>
      <c r="U66" s="99">
        <f t="shared" si="32"/>
        <v>0.05</v>
      </c>
      <c r="V66" s="99">
        <f t="shared" si="32"/>
        <v>0.05</v>
      </c>
      <c r="W66" s="99">
        <f t="shared" si="32"/>
        <v>0.05</v>
      </c>
      <c r="X66" s="99">
        <f t="shared" si="32"/>
        <v>0.05</v>
      </c>
      <c r="Y66" s="99">
        <f t="shared" si="32"/>
        <v>0.05</v>
      </c>
      <c r="Z66" s="99">
        <f t="shared" si="32"/>
        <v>0.05</v>
      </c>
      <c r="AA66" s="99">
        <f t="shared" si="32"/>
        <v>0.05</v>
      </c>
      <c r="AB66" s="99">
        <f t="shared" si="32"/>
        <v>0.05</v>
      </c>
      <c r="AC66" s="101">
        <f t="shared" si="32"/>
        <v>0.05</v>
      </c>
    </row>
    <row r="67" spans="13:29">
      <c r="M67" s="445" t="str">
        <f t="shared" ref="M67:AC72" si="33">M33</f>
        <v>Costs</v>
      </c>
      <c r="N67" s="57" t="str">
        <f t="shared" si="33"/>
        <v>Banjul</v>
      </c>
      <c r="O67" s="72">
        <f t="shared" si="33"/>
        <v>6.3110759493670884E-2</v>
      </c>
      <c r="P67" s="72">
        <f t="shared" si="33"/>
        <v>0.59955221518987334</v>
      </c>
      <c r="Q67" s="72">
        <f t="shared" si="33"/>
        <v>2.2088765822784806</v>
      </c>
      <c r="R67" s="72">
        <f t="shared" si="33"/>
        <v>0.28557618670886076</v>
      </c>
      <c r="S67" s="72">
        <f t="shared" si="33"/>
        <v>0.15777689873417722</v>
      </c>
      <c r="T67" s="72">
        <f t="shared" si="33"/>
        <v>0.15777689873417722</v>
      </c>
      <c r="U67" s="72">
        <f t="shared" si="33"/>
        <v>0.15777689873417722</v>
      </c>
      <c r="V67" s="72">
        <f t="shared" si="33"/>
        <v>0.15777689873417722</v>
      </c>
      <c r="W67" s="72">
        <f t="shared" si="33"/>
        <v>0.15777689873417722</v>
      </c>
      <c r="X67" s="72">
        <f t="shared" si="33"/>
        <v>0.15777689873417722</v>
      </c>
      <c r="Y67" s="72">
        <f t="shared" si="33"/>
        <v>0.15777689873417722</v>
      </c>
      <c r="Z67" s="72">
        <f t="shared" si="33"/>
        <v>0.15777689873417722</v>
      </c>
      <c r="AA67" s="72">
        <f t="shared" si="33"/>
        <v>0.15777689873417722</v>
      </c>
      <c r="AB67" s="72">
        <f t="shared" si="33"/>
        <v>0.15777689873417722</v>
      </c>
      <c r="AC67" s="88">
        <f t="shared" si="33"/>
        <v>0.15777689873417722</v>
      </c>
    </row>
    <row r="68" spans="13:29">
      <c r="M68" s="445">
        <f t="shared" si="33"/>
        <v>0</v>
      </c>
      <c r="N68" s="57" t="str">
        <f t="shared" si="33"/>
        <v>Brufut</v>
      </c>
      <c r="O68" s="72">
        <f t="shared" si="33"/>
        <v>1.5753101265822786E-2</v>
      </c>
      <c r="P68" s="72">
        <f t="shared" si="33"/>
        <v>0.14965446202531646</v>
      </c>
      <c r="Q68" s="72">
        <f t="shared" si="33"/>
        <v>0.55135854430379738</v>
      </c>
      <c r="R68" s="72">
        <f t="shared" si="33"/>
        <v>7.128278322784809E-2</v>
      </c>
      <c r="S68" s="72">
        <f t="shared" si="33"/>
        <v>3.9382753164556965E-2</v>
      </c>
      <c r="T68" s="72">
        <f t="shared" si="33"/>
        <v>3.9382753164556965E-2</v>
      </c>
      <c r="U68" s="72">
        <f t="shared" si="33"/>
        <v>3.9382753164556965E-2</v>
      </c>
      <c r="V68" s="72">
        <f t="shared" si="33"/>
        <v>3.9382753164556965E-2</v>
      </c>
      <c r="W68" s="72">
        <f t="shared" si="33"/>
        <v>3.9382753164556965E-2</v>
      </c>
      <c r="X68" s="72">
        <f t="shared" si="33"/>
        <v>3.9382753164556965E-2</v>
      </c>
      <c r="Y68" s="72">
        <f t="shared" si="33"/>
        <v>3.9382753164556965E-2</v>
      </c>
      <c r="Z68" s="72">
        <f t="shared" si="33"/>
        <v>3.9382753164556965E-2</v>
      </c>
      <c r="AA68" s="72">
        <f t="shared" si="33"/>
        <v>3.9382753164556965E-2</v>
      </c>
      <c r="AB68" s="72">
        <f t="shared" si="33"/>
        <v>3.9382753164556965E-2</v>
      </c>
      <c r="AC68" s="88">
        <f t="shared" si="33"/>
        <v>3.9382753164556965E-2</v>
      </c>
    </row>
    <row r="69" spans="13:29">
      <c r="M69" s="445">
        <f t="shared" si="33"/>
        <v>0</v>
      </c>
      <c r="N69" s="57" t="str">
        <f t="shared" si="33"/>
        <v>Tanji</v>
      </c>
      <c r="O69" s="72">
        <f t="shared" si="33"/>
        <v>1.5753101265822786E-2</v>
      </c>
      <c r="P69" s="72">
        <f t="shared" si="33"/>
        <v>0.14965446202531646</v>
      </c>
      <c r="Q69" s="72">
        <f t="shared" si="33"/>
        <v>0.55135854430379738</v>
      </c>
      <c r="R69" s="72">
        <f t="shared" si="33"/>
        <v>7.128278322784809E-2</v>
      </c>
      <c r="S69" s="72">
        <f t="shared" si="33"/>
        <v>3.9382753164556965E-2</v>
      </c>
      <c r="T69" s="72">
        <f t="shared" si="33"/>
        <v>3.9382753164556965E-2</v>
      </c>
      <c r="U69" s="72">
        <f t="shared" si="33"/>
        <v>3.9382753164556965E-2</v>
      </c>
      <c r="V69" s="72">
        <f t="shared" si="33"/>
        <v>3.9382753164556965E-2</v>
      </c>
      <c r="W69" s="72">
        <f t="shared" si="33"/>
        <v>3.9382753164556965E-2</v>
      </c>
      <c r="X69" s="72">
        <f t="shared" si="33"/>
        <v>3.9382753164556965E-2</v>
      </c>
      <c r="Y69" s="72">
        <f t="shared" si="33"/>
        <v>3.9382753164556965E-2</v>
      </c>
      <c r="Z69" s="72">
        <f t="shared" si="33"/>
        <v>3.9382753164556965E-2</v>
      </c>
      <c r="AA69" s="72">
        <f t="shared" si="33"/>
        <v>3.9382753164556965E-2</v>
      </c>
      <c r="AB69" s="72">
        <f t="shared" si="33"/>
        <v>3.9382753164556965E-2</v>
      </c>
      <c r="AC69" s="88">
        <f t="shared" si="33"/>
        <v>3.9382753164556965E-2</v>
      </c>
    </row>
    <row r="70" spans="13:29">
      <c r="M70" s="445">
        <f t="shared" si="33"/>
        <v>0</v>
      </c>
      <c r="N70" s="57" t="str">
        <f t="shared" si="33"/>
        <v>Sanyang</v>
      </c>
      <c r="O70" s="72">
        <f t="shared" si="33"/>
        <v>7.6974050632911397E-3</v>
      </c>
      <c r="P70" s="72">
        <f t="shared" si="33"/>
        <v>7.3125348101265836E-2</v>
      </c>
      <c r="Q70" s="72">
        <f t="shared" si="33"/>
        <v>0.26940917721518987</v>
      </c>
      <c r="R70" s="72">
        <f t="shared" si="33"/>
        <v>3.483075791139241E-2</v>
      </c>
      <c r="S70" s="72">
        <f t="shared" si="33"/>
        <v>1.9243512658227852E-2</v>
      </c>
      <c r="T70" s="72">
        <f t="shared" si="33"/>
        <v>1.9243512658227852E-2</v>
      </c>
      <c r="U70" s="72">
        <f t="shared" si="33"/>
        <v>1.9243512658227852E-2</v>
      </c>
      <c r="V70" s="72">
        <f t="shared" si="33"/>
        <v>1.9243512658227852E-2</v>
      </c>
      <c r="W70" s="72">
        <f t="shared" si="33"/>
        <v>1.9243512658227852E-2</v>
      </c>
      <c r="X70" s="72">
        <f t="shared" si="33"/>
        <v>1.9243512658227852E-2</v>
      </c>
      <c r="Y70" s="72">
        <f t="shared" si="33"/>
        <v>1.9243512658227852E-2</v>
      </c>
      <c r="Z70" s="72">
        <f t="shared" si="33"/>
        <v>1.9243512658227852E-2</v>
      </c>
      <c r="AA70" s="72">
        <f t="shared" si="33"/>
        <v>1.9243512658227852E-2</v>
      </c>
      <c r="AB70" s="72">
        <f t="shared" si="33"/>
        <v>1.9243512658227852E-2</v>
      </c>
      <c r="AC70" s="88">
        <f t="shared" si="33"/>
        <v>1.9243512658227852E-2</v>
      </c>
    </row>
    <row r="71" spans="13:29">
      <c r="M71" s="445">
        <f t="shared" si="33"/>
        <v>0</v>
      </c>
      <c r="N71" s="57" t="str">
        <f t="shared" si="33"/>
        <v>Kartong</v>
      </c>
      <c r="O71" s="72">
        <f t="shared" si="33"/>
        <v>2.9349430379746841E-2</v>
      </c>
      <c r="P71" s="72">
        <f t="shared" si="33"/>
        <v>0.27881958860759504</v>
      </c>
      <c r="Q71" s="72">
        <f t="shared" si="33"/>
        <v>1.0272300632911393</v>
      </c>
      <c r="R71" s="72">
        <f t="shared" si="33"/>
        <v>0.13280617246835447</v>
      </c>
      <c r="S71" s="72">
        <f t="shared" si="33"/>
        <v>7.3373575949367109E-2</v>
      </c>
      <c r="T71" s="72">
        <f t="shared" si="33"/>
        <v>7.3373575949367109E-2</v>
      </c>
      <c r="U71" s="72">
        <f t="shared" si="33"/>
        <v>7.3373575949367109E-2</v>
      </c>
      <c r="V71" s="72">
        <f t="shared" si="33"/>
        <v>7.3373575949367109E-2</v>
      </c>
      <c r="W71" s="72">
        <f t="shared" si="33"/>
        <v>7.3373575949367109E-2</v>
      </c>
      <c r="X71" s="72">
        <f t="shared" si="33"/>
        <v>7.3373575949367109E-2</v>
      </c>
      <c r="Y71" s="72">
        <f t="shared" si="33"/>
        <v>7.3373575949367109E-2</v>
      </c>
      <c r="Z71" s="72">
        <f t="shared" si="33"/>
        <v>7.3373575949367109E-2</v>
      </c>
      <c r="AA71" s="72">
        <f t="shared" si="33"/>
        <v>7.3373575949367109E-2</v>
      </c>
      <c r="AB71" s="72">
        <f t="shared" si="33"/>
        <v>7.3373575949367109E-2</v>
      </c>
      <c r="AC71" s="88">
        <f t="shared" si="33"/>
        <v>7.3373575949367109E-2</v>
      </c>
    </row>
    <row r="72" spans="13:29">
      <c r="M72" s="445">
        <f t="shared" si="33"/>
        <v>0</v>
      </c>
      <c r="N72" s="57" t="str">
        <f t="shared" si="33"/>
        <v>Bintang</v>
      </c>
      <c r="O72" s="72">
        <f t="shared" si="33"/>
        <v>1.6336202531645572E-2</v>
      </c>
      <c r="P72" s="72">
        <f t="shared" si="33"/>
        <v>0.15519392405063293</v>
      </c>
      <c r="Q72" s="72">
        <f t="shared" si="33"/>
        <v>0.57176708860759495</v>
      </c>
      <c r="R72" s="72">
        <f t="shared" si="33"/>
        <v>7.3921316455696204E-2</v>
      </c>
      <c r="S72" s="72">
        <f t="shared" si="33"/>
        <v>4.0840506329113929E-2</v>
      </c>
      <c r="T72" s="72">
        <f t="shared" si="33"/>
        <v>4.0840506329113929E-2</v>
      </c>
      <c r="U72" s="72">
        <f t="shared" si="33"/>
        <v>4.0840506329113929E-2</v>
      </c>
      <c r="V72" s="72">
        <f t="shared" si="33"/>
        <v>4.0840506329113929E-2</v>
      </c>
      <c r="W72" s="72">
        <f t="shared" si="33"/>
        <v>4.0840506329113929E-2</v>
      </c>
      <c r="X72" s="72">
        <f t="shared" si="33"/>
        <v>4.0840506329113929E-2</v>
      </c>
      <c r="Y72" s="72">
        <f t="shared" si="33"/>
        <v>4.0840506329113929E-2</v>
      </c>
      <c r="Z72" s="72">
        <f t="shared" si="33"/>
        <v>4.0840506329113929E-2</v>
      </c>
      <c r="AA72" s="72">
        <f t="shared" si="33"/>
        <v>4.0840506329113929E-2</v>
      </c>
      <c r="AB72" s="72">
        <f t="shared" si="33"/>
        <v>4.0840506329113929E-2</v>
      </c>
      <c r="AC72" s="88">
        <f t="shared" si="33"/>
        <v>4.0840506329113929E-2</v>
      </c>
    </row>
    <row r="73" spans="13:29">
      <c r="M73" s="89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90"/>
    </row>
    <row r="74" spans="13:29">
      <c r="M74" s="89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90"/>
    </row>
    <row r="75" spans="13:29">
      <c r="M75" s="445" t="s">
        <v>97</v>
      </c>
      <c r="N75" s="57" t="s">
        <v>42</v>
      </c>
      <c r="O75" s="72">
        <f>O59-O67</f>
        <v>-6.3110759493670884E-2</v>
      </c>
      <c r="P75" s="72">
        <f t="shared" ref="P75:AC75" si="34">P59-P67</f>
        <v>-0.59955221518987334</v>
      </c>
      <c r="Q75" s="72">
        <f t="shared" si="34"/>
        <v>-2.2088765822784806</v>
      </c>
      <c r="R75" s="72">
        <f t="shared" si="34"/>
        <v>-9.2717127372317548E-2</v>
      </c>
      <c r="S75" s="72">
        <f t="shared" si="34"/>
        <v>0.23378543385819833</v>
      </c>
      <c r="T75" s="72">
        <f t="shared" si="34"/>
        <v>0.42664449319474151</v>
      </c>
      <c r="U75" s="72">
        <f t="shared" si="34"/>
        <v>0.42664449319474151</v>
      </c>
      <c r="V75" s="72">
        <f t="shared" si="34"/>
        <v>0.42664449319474151</v>
      </c>
      <c r="W75" s="72">
        <f t="shared" si="34"/>
        <v>0.42664449319474151</v>
      </c>
      <c r="X75" s="72">
        <f t="shared" si="34"/>
        <v>0.42664449319474151</v>
      </c>
      <c r="Y75" s="72">
        <f t="shared" si="34"/>
        <v>0.42664449319474151</v>
      </c>
      <c r="Z75" s="72">
        <f t="shared" si="34"/>
        <v>0.42664449319474151</v>
      </c>
      <c r="AA75" s="72">
        <f t="shared" si="34"/>
        <v>0.42664449319474151</v>
      </c>
      <c r="AB75" s="72">
        <f t="shared" si="34"/>
        <v>0.42664449319474151</v>
      </c>
      <c r="AC75" s="88">
        <f t="shared" si="34"/>
        <v>0.42664449319474151</v>
      </c>
    </row>
    <row r="76" spans="13:29">
      <c r="M76" s="445"/>
      <c r="N76" s="57" t="s">
        <v>23</v>
      </c>
      <c r="O76" s="72">
        <f t="shared" ref="O76:AC80" si="35">O60-O68</f>
        <v>-1.5753101265822786E-2</v>
      </c>
      <c r="P76" s="72">
        <f t="shared" si="35"/>
        <v>-0.14965446202531646</v>
      </c>
      <c r="Q76" s="72">
        <f t="shared" si="35"/>
        <v>-0.55135854430379738</v>
      </c>
      <c r="R76" s="72">
        <f t="shared" si="35"/>
        <v>-2.31431582869603E-2</v>
      </c>
      <c r="S76" s="72">
        <f t="shared" si="35"/>
        <v>5.8355273230578854E-2</v>
      </c>
      <c r="T76" s="72">
        <f t="shared" si="35"/>
        <v>0.10649489817146662</v>
      </c>
      <c r="U76" s="72">
        <f t="shared" si="35"/>
        <v>0.10649489817146662</v>
      </c>
      <c r="V76" s="72">
        <f t="shared" si="35"/>
        <v>0.10649489817146662</v>
      </c>
      <c r="W76" s="72">
        <f t="shared" si="35"/>
        <v>0.10649489817146662</v>
      </c>
      <c r="X76" s="72">
        <f t="shared" si="35"/>
        <v>0.10649489817146662</v>
      </c>
      <c r="Y76" s="72">
        <f t="shared" si="35"/>
        <v>0.10649489817146662</v>
      </c>
      <c r="Z76" s="72">
        <f t="shared" si="35"/>
        <v>0.10649489817146662</v>
      </c>
      <c r="AA76" s="72">
        <f t="shared" si="35"/>
        <v>0.10649489817146662</v>
      </c>
      <c r="AB76" s="72">
        <f t="shared" si="35"/>
        <v>0.10649489817146662</v>
      </c>
      <c r="AC76" s="88">
        <f t="shared" si="35"/>
        <v>0.10649489817146662</v>
      </c>
    </row>
    <row r="77" spans="13:29">
      <c r="M77" s="445"/>
      <c r="N77" s="57" t="s">
        <v>27</v>
      </c>
      <c r="O77" s="72">
        <f t="shared" si="35"/>
        <v>-1.5753101265822786E-2</v>
      </c>
      <c r="P77" s="72">
        <f t="shared" si="35"/>
        <v>-0.14965446202531646</v>
      </c>
      <c r="Q77" s="72">
        <f t="shared" si="35"/>
        <v>-0.55135854430379738</v>
      </c>
      <c r="R77" s="72">
        <f t="shared" si="35"/>
        <v>-2.31431582869603E-2</v>
      </c>
      <c r="S77" s="72">
        <f t="shared" si="35"/>
        <v>5.8355273230578868E-2</v>
      </c>
      <c r="T77" s="72">
        <f t="shared" si="35"/>
        <v>0.10649489817146665</v>
      </c>
      <c r="U77" s="72">
        <f t="shared" si="35"/>
        <v>0.10649489817146665</v>
      </c>
      <c r="V77" s="72">
        <f t="shared" si="35"/>
        <v>0.10649489817146665</v>
      </c>
      <c r="W77" s="72">
        <f t="shared" si="35"/>
        <v>0.10649489817146665</v>
      </c>
      <c r="X77" s="72">
        <f t="shared" si="35"/>
        <v>0.10649489817146665</v>
      </c>
      <c r="Y77" s="72">
        <f t="shared" si="35"/>
        <v>0.10649489817146665</v>
      </c>
      <c r="Z77" s="72">
        <f t="shared" si="35"/>
        <v>0.10649489817146665</v>
      </c>
      <c r="AA77" s="72">
        <f t="shared" si="35"/>
        <v>0.10649489817146665</v>
      </c>
      <c r="AB77" s="72">
        <f t="shared" si="35"/>
        <v>0.10649489817146665</v>
      </c>
      <c r="AC77" s="88">
        <f t="shared" si="35"/>
        <v>0.10649489817146665</v>
      </c>
    </row>
    <row r="78" spans="13:29">
      <c r="M78" s="445"/>
      <c r="N78" s="57" t="s">
        <v>29</v>
      </c>
      <c r="O78" s="72">
        <f t="shared" si="35"/>
        <v>-7.6974050632911397E-3</v>
      </c>
      <c r="P78" s="72">
        <f t="shared" si="35"/>
        <v>-7.3125348101265836E-2</v>
      </c>
      <c r="Q78" s="72">
        <f t="shared" si="35"/>
        <v>-0.26940917721518987</v>
      </c>
      <c r="R78" s="72">
        <f t="shared" si="35"/>
        <v>-1.1308393234612534E-2</v>
      </c>
      <c r="S78" s="72">
        <f t="shared" si="35"/>
        <v>2.8514015624931298E-2</v>
      </c>
      <c r="T78" s="72">
        <f t="shared" si="35"/>
        <v>5.2036380301711163E-2</v>
      </c>
      <c r="U78" s="72">
        <f t="shared" si="35"/>
        <v>5.2036380301711163E-2</v>
      </c>
      <c r="V78" s="72">
        <f t="shared" si="35"/>
        <v>5.2036380301711163E-2</v>
      </c>
      <c r="W78" s="72">
        <f t="shared" si="35"/>
        <v>5.2036380301711163E-2</v>
      </c>
      <c r="X78" s="72">
        <f t="shared" si="35"/>
        <v>5.2036380301711163E-2</v>
      </c>
      <c r="Y78" s="72">
        <f t="shared" si="35"/>
        <v>5.2036380301711163E-2</v>
      </c>
      <c r="Z78" s="72">
        <f t="shared" si="35"/>
        <v>5.2036380301711163E-2</v>
      </c>
      <c r="AA78" s="72">
        <f t="shared" si="35"/>
        <v>5.2036380301711163E-2</v>
      </c>
      <c r="AB78" s="72">
        <f t="shared" si="35"/>
        <v>5.2036380301711163E-2</v>
      </c>
      <c r="AC78" s="88">
        <f t="shared" si="35"/>
        <v>5.2036380301711163E-2</v>
      </c>
    </row>
    <row r="79" spans="13:29">
      <c r="M79" s="445"/>
      <c r="N79" s="57" t="s">
        <v>35</v>
      </c>
      <c r="O79" s="72">
        <f t="shared" si="35"/>
        <v>-2.9349430379746841E-2</v>
      </c>
      <c r="P79" s="72">
        <f t="shared" si="35"/>
        <v>-0.27881958860759504</v>
      </c>
      <c r="Q79" s="72">
        <f t="shared" si="35"/>
        <v>-1.0272300632911393</v>
      </c>
      <c r="R79" s="72">
        <f t="shared" si="35"/>
        <v>-4.3117764651475279E-2</v>
      </c>
      <c r="S79" s="72">
        <f t="shared" si="35"/>
        <v>0.10872107022429667</v>
      </c>
      <c r="T79" s="72">
        <f t="shared" si="35"/>
        <v>0.19840947804117587</v>
      </c>
      <c r="U79" s="72">
        <f t="shared" si="35"/>
        <v>0.19840947804117587</v>
      </c>
      <c r="V79" s="72">
        <f t="shared" si="35"/>
        <v>0.19840947804117587</v>
      </c>
      <c r="W79" s="72">
        <f t="shared" si="35"/>
        <v>0.19840947804117587</v>
      </c>
      <c r="X79" s="72">
        <f t="shared" si="35"/>
        <v>0.19840947804117587</v>
      </c>
      <c r="Y79" s="72">
        <f t="shared" si="35"/>
        <v>0.19840947804117587</v>
      </c>
      <c r="Z79" s="72">
        <f t="shared" si="35"/>
        <v>0.19840947804117587</v>
      </c>
      <c r="AA79" s="72">
        <f t="shared" si="35"/>
        <v>0.19840947804117587</v>
      </c>
      <c r="AB79" s="72">
        <f t="shared" si="35"/>
        <v>0.19840947804117587</v>
      </c>
      <c r="AC79" s="88">
        <f t="shared" si="35"/>
        <v>0.19840947804117587</v>
      </c>
    </row>
    <row r="80" spans="13:29">
      <c r="M80" s="445"/>
      <c r="N80" s="57" t="s">
        <v>31</v>
      </c>
      <c r="O80" s="72">
        <f t="shared" si="35"/>
        <v>-1.6336202531645572E-2</v>
      </c>
      <c r="P80" s="72">
        <f t="shared" si="35"/>
        <v>-0.15519392405063293</v>
      </c>
      <c r="Q80" s="72">
        <f t="shared" si="35"/>
        <v>-0.57176708860759495</v>
      </c>
      <c r="R80" s="72">
        <f t="shared" si="35"/>
        <v>-2.3999802617784352E-2</v>
      </c>
      <c r="S80" s="72">
        <f t="shared" si="35"/>
        <v>6.0515294493313179E-2</v>
      </c>
      <c r="T80" s="72">
        <f t="shared" si="35"/>
        <v>0.11043680833122502</v>
      </c>
      <c r="U80" s="72">
        <f t="shared" si="35"/>
        <v>0.11043680833122502</v>
      </c>
      <c r="V80" s="72">
        <f t="shared" si="35"/>
        <v>0.11043680833122502</v>
      </c>
      <c r="W80" s="72">
        <f t="shared" si="35"/>
        <v>0.11043680833122502</v>
      </c>
      <c r="X80" s="72">
        <f t="shared" si="35"/>
        <v>0.11043680833122502</v>
      </c>
      <c r="Y80" s="72">
        <f t="shared" si="35"/>
        <v>0.11043680833122502</v>
      </c>
      <c r="Z80" s="72">
        <f t="shared" si="35"/>
        <v>0.11043680833122502</v>
      </c>
      <c r="AA80" s="72">
        <f t="shared" si="35"/>
        <v>0.11043680833122502</v>
      </c>
      <c r="AB80" s="72">
        <f t="shared" si="35"/>
        <v>0.11043680833122502</v>
      </c>
      <c r="AC80" s="88">
        <f t="shared" si="35"/>
        <v>0.11043680833122502</v>
      </c>
    </row>
    <row r="81" spans="13:29">
      <c r="M81" s="89"/>
      <c r="N81" s="57" t="s">
        <v>49</v>
      </c>
      <c r="O81" s="72">
        <f>SUM(O75:O80)</f>
        <v>-0.14800000000000002</v>
      </c>
      <c r="P81" s="72">
        <f t="shared" ref="P81:AC81" si="36">SUM(P75:P80)</f>
        <v>-1.4060000000000001</v>
      </c>
      <c r="Q81" s="72">
        <f t="shared" si="36"/>
        <v>-5.18</v>
      </c>
      <c r="R81" s="72">
        <f t="shared" si="36"/>
        <v>-0.21742940445011028</v>
      </c>
      <c r="S81" s="72">
        <f t="shared" si="36"/>
        <v>0.54824636066189725</v>
      </c>
      <c r="T81" s="72">
        <f t="shared" si="36"/>
        <v>1.0005169562117868</v>
      </c>
      <c r="U81" s="72">
        <f t="shared" si="36"/>
        <v>1.0005169562117868</v>
      </c>
      <c r="V81" s="72">
        <f t="shared" si="36"/>
        <v>1.0005169562117868</v>
      </c>
      <c r="W81" s="72">
        <f t="shared" si="36"/>
        <v>1.0005169562117868</v>
      </c>
      <c r="X81" s="72">
        <f t="shared" si="36"/>
        <v>1.0005169562117868</v>
      </c>
      <c r="Y81" s="72">
        <f t="shared" si="36"/>
        <v>1.0005169562117868</v>
      </c>
      <c r="Z81" s="72">
        <f t="shared" si="36"/>
        <v>1.0005169562117868</v>
      </c>
      <c r="AA81" s="72">
        <f t="shared" si="36"/>
        <v>1.0005169562117868</v>
      </c>
      <c r="AB81" s="72">
        <f t="shared" si="36"/>
        <v>1.0005169562117868</v>
      </c>
      <c r="AC81" s="88">
        <f t="shared" si="36"/>
        <v>1.0005169562117868</v>
      </c>
    </row>
    <row r="82" spans="13:29">
      <c r="M82" s="89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90"/>
    </row>
    <row r="83" spans="13:29">
      <c r="M83" s="89"/>
      <c r="N83" s="83"/>
      <c r="O83" s="41" t="s">
        <v>95</v>
      </c>
      <c r="P83" s="41" t="s">
        <v>96</v>
      </c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90"/>
    </row>
    <row r="84" spans="13:29">
      <c r="M84" s="89"/>
      <c r="N84" s="57" t="s">
        <v>42</v>
      </c>
      <c r="O84" s="104">
        <f>IRR(O75:AC75)</f>
        <v>6.0000000000002274E-2</v>
      </c>
      <c r="P84" s="105">
        <f>NPV(0.06,O75:AC75)</f>
        <v>-1.8329153708434188E-16</v>
      </c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90"/>
    </row>
    <row r="85" spans="13:29">
      <c r="M85" s="89"/>
      <c r="N85" s="57" t="s">
        <v>23</v>
      </c>
      <c r="O85" s="104">
        <f t="shared" ref="O85:O90" si="37">IRR(O76:AC76)</f>
        <v>6.0000000000002274E-2</v>
      </c>
      <c r="P85" s="105">
        <f t="shared" ref="P85:P90" si="38">NPV(0.06,O76:AC76)</f>
        <v>-2.3566054767986814E-16</v>
      </c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90"/>
    </row>
    <row r="86" spans="13:29">
      <c r="M86" s="89"/>
      <c r="N86" s="57" t="s">
        <v>27</v>
      </c>
      <c r="O86" s="104">
        <f t="shared" si="37"/>
        <v>6.0000000000002274E-2</v>
      </c>
      <c r="P86" s="105">
        <f t="shared" si="38"/>
        <v>-8.5099642217730156E-17</v>
      </c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90"/>
    </row>
    <row r="87" spans="13:29">
      <c r="M87" s="89"/>
      <c r="N87" s="57" t="s">
        <v>29</v>
      </c>
      <c r="O87" s="104">
        <f t="shared" si="37"/>
        <v>6.0000000000002274E-2</v>
      </c>
      <c r="P87" s="105">
        <f t="shared" si="38"/>
        <v>-3.2730631622203904E-18</v>
      </c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90"/>
    </row>
    <row r="88" spans="13:29">
      <c r="M88" s="89"/>
      <c r="N88" s="57" t="s">
        <v>35</v>
      </c>
      <c r="O88" s="104">
        <f t="shared" si="37"/>
        <v>6.0000000000002052E-2</v>
      </c>
      <c r="P88" s="105">
        <f t="shared" si="38"/>
        <v>-2.1471294344165762E-15</v>
      </c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90"/>
    </row>
    <row r="89" spans="13:29">
      <c r="M89" s="89"/>
      <c r="N89" s="57" t="s">
        <v>31</v>
      </c>
      <c r="O89" s="104">
        <f t="shared" si="37"/>
        <v>6.0000000000002274E-2</v>
      </c>
      <c r="P89" s="105">
        <f t="shared" si="38"/>
        <v>-8.7718092747506472E-16</v>
      </c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90"/>
    </row>
    <row r="90" spans="13:29" ht="15.75" thickBot="1">
      <c r="M90" s="92"/>
      <c r="N90" s="93" t="s">
        <v>49</v>
      </c>
      <c r="O90" s="106">
        <f t="shared" si="37"/>
        <v>6.0000000000002274E-2</v>
      </c>
      <c r="P90" s="107">
        <f t="shared" si="38"/>
        <v>-3.1945096463271011E-15</v>
      </c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7"/>
    </row>
  </sheetData>
  <mergeCells count="14">
    <mergeCell ref="M75:M80"/>
    <mergeCell ref="M33:M38"/>
    <mergeCell ref="M41:M46"/>
    <mergeCell ref="D43:E47"/>
    <mergeCell ref="M50:M55"/>
    <mergeCell ref="M59:M64"/>
    <mergeCell ref="M67:M72"/>
    <mergeCell ref="B19:G19"/>
    <mergeCell ref="L23:M23"/>
    <mergeCell ref="M25:M30"/>
    <mergeCell ref="B31:I31"/>
    <mergeCell ref="B32:C32"/>
    <mergeCell ref="D32:G32"/>
    <mergeCell ref="H32:J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1136"/>
  <sheetViews>
    <sheetView topLeftCell="A7" zoomScaleNormal="100" zoomScalePageLayoutView="70" workbookViewId="0">
      <pane xSplit="2" topLeftCell="C1" activePane="topRight" state="frozen"/>
      <selection activeCell="Q15" sqref="Q15"/>
      <selection pane="topRight" activeCell="AE23" sqref="AE23:AE37"/>
    </sheetView>
  </sheetViews>
  <sheetFormatPr defaultColWidth="8.140625" defaultRowHeight="11.25"/>
  <cols>
    <col min="1" max="1" width="20.7109375" style="216" customWidth="1"/>
    <col min="2" max="2" width="5.7109375" style="216" customWidth="1"/>
    <col min="3" max="22" width="7.28515625" style="217" customWidth="1"/>
    <col min="23" max="23" width="7" style="217" bestFit="1" customWidth="1"/>
    <col min="24" max="24" width="13.28515625" style="217" bestFit="1" customWidth="1"/>
    <col min="25" max="25" width="7" style="216" customWidth="1"/>
    <col min="26" max="26" width="8.42578125" style="216" bestFit="1" customWidth="1"/>
    <col min="27" max="27" width="8.140625" style="216"/>
    <col min="28" max="28" width="21.28515625" style="216" bestFit="1" customWidth="1"/>
    <col min="29" max="29" width="5.28515625" style="216" bestFit="1" customWidth="1"/>
    <col min="30" max="30" width="8" style="218" bestFit="1" customWidth="1"/>
    <col min="31" max="31" width="12.42578125" style="216" customWidth="1"/>
    <col min="32" max="245" width="8.140625" style="216"/>
    <col min="246" max="246" width="20" style="216" customWidth="1"/>
    <col min="247" max="247" width="9" style="216" customWidth="1"/>
    <col min="248" max="249" width="9.140625" style="216" customWidth="1"/>
    <col min="250" max="250" width="8.140625" style="216" bestFit="1" customWidth="1"/>
    <col min="251" max="251" width="7.42578125" style="216" bestFit="1" customWidth="1"/>
    <col min="252" max="272" width="7" style="216" bestFit="1" customWidth="1"/>
    <col min="273" max="277" width="6.7109375" style="216" customWidth="1"/>
    <col min="278" max="279" width="11.42578125" style="216" bestFit="1" customWidth="1"/>
    <col min="280" max="280" width="7" style="216" customWidth="1"/>
    <col min="281" max="501" width="8.140625" style="216"/>
    <col min="502" max="502" width="20" style="216" customWidth="1"/>
    <col min="503" max="503" width="9" style="216" customWidth="1"/>
    <col min="504" max="505" width="9.140625" style="216" customWidth="1"/>
    <col min="506" max="506" width="8.140625" style="216" bestFit="1" customWidth="1"/>
    <col min="507" max="507" width="7.42578125" style="216" bestFit="1" customWidth="1"/>
    <col min="508" max="528" width="7" style="216" bestFit="1" customWidth="1"/>
    <col min="529" max="533" width="6.7109375" style="216" customWidth="1"/>
    <col min="534" max="535" width="11.42578125" style="216" bestFit="1" customWidth="1"/>
    <col min="536" max="536" width="7" style="216" customWidth="1"/>
    <col min="537" max="757" width="8.140625" style="216"/>
    <col min="758" max="758" width="20" style="216" customWidth="1"/>
    <col min="759" max="759" width="9" style="216" customWidth="1"/>
    <col min="760" max="761" width="9.140625" style="216" customWidth="1"/>
    <col min="762" max="762" width="8.140625" style="216" bestFit="1" customWidth="1"/>
    <col min="763" max="763" width="7.42578125" style="216" bestFit="1" customWidth="1"/>
    <col min="764" max="784" width="7" style="216" bestFit="1" customWidth="1"/>
    <col min="785" max="789" width="6.7109375" style="216" customWidth="1"/>
    <col min="790" max="791" width="11.42578125" style="216" bestFit="1" customWidth="1"/>
    <col min="792" max="792" width="7" style="216" customWidth="1"/>
    <col min="793" max="1013" width="8.140625" style="216"/>
    <col min="1014" max="1014" width="20" style="216" customWidth="1"/>
    <col min="1015" max="1015" width="9" style="216" customWidth="1"/>
    <col min="1016" max="1017" width="9.140625" style="216" customWidth="1"/>
    <col min="1018" max="1018" width="8.140625" style="216" bestFit="1" customWidth="1"/>
    <col min="1019" max="1019" width="7.42578125" style="216" bestFit="1" customWidth="1"/>
    <col min="1020" max="1040" width="7" style="216" bestFit="1" customWidth="1"/>
    <col min="1041" max="1045" width="6.7109375" style="216" customWidth="1"/>
    <col min="1046" max="1047" width="11.42578125" style="216" bestFit="1" customWidth="1"/>
    <col min="1048" max="1048" width="7" style="216" customWidth="1"/>
    <col min="1049" max="1269" width="8.140625" style="216"/>
    <col min="1270" max="1270" width="20" style="216" customWidth="1"/>
    <col min="1271" max="1271" width="9" style="216" customWidth="1"/>
    <col min="1272" max="1273" width="9.140625" style="216" customWidth="1"/>
    <col min="1274" max="1274" width="8.140625" style="216" bestFit="1" customWidth="1"/>
    <col min="1275" max="1275" width="7.42578125" style="216" bestFit="1" customWidth="1"/>
    <col min="1276" max="1296" width="7" style="216" bestFit="1" customWidth="1"/>
    <col min="1297" max="1301" width="6.7109375" style="216" customWidth="1"/>
    <col min="1302" max="1303" width="11.42578125" style="216" bestFit="1" customWidth="1"/>
    <col min="1304" max="1304" width="7" style="216" customWidth="1"/>
    <col min="1305" max="1525" width="8.140625" style="216"/>
    <col min="1526" max="1526" width="20" style="216" customWidth="1"/>
    <col min="1527" max="1527" width="9" style="216" customWidth="1"/>
    <col min="1528" max="1529" width="9.140625" style="216" customWidth="1"/>
    <col min="1530" max="1530" width="8.140625" style="216" bestFit="1" customWidth="1"/>
    <col min="1531" max="1531" width="7.42578125" style="216" bestFit="1" customWidth="1"/>
    <col min="1532" max="1552" width="7" style="216" bestFit="1" customWidth="1"/>
    <col min="1553" max="1557" width="6.7109375" style="216" customWidth="1"/>
    <col min="1558" max="1559" width="11.42578125" style="216" bestFit="1" customWidth="1"/>
    <col min="1560" max="1560" width="7" style="216" customWidth="1"/>
    <col min="1561" max="1781" width="8.140625" style="216"/>
    <col min="1782" max="1782" width="20" style="216" customWidth="1"/>
    <col min="1783" max="1783" width="9" style="216" customWidth="1"/>
    <col min="1784" max="1785" width="9.140625" style="216" customWidth="1"/>
    <col min="1786" max="1786" width="8.140625" style="216" bestFit="1" customWidth="1"/>
    <col min="1787" max="1787" width="7.42578125" style="216" bestFit="1" customWidth="1"/>
    <col min="1788" max="1808" width="7" style="216" bestFit="1" customWidth="1"/>
    <col min="1809" max="1813" width="6.7109375" style="216" customWidth="1"/>
    <col min="1814" max="1815" width="11.42578125" style="216" bestFit="1" customWidth="1"/>
    <col min="1816" max="1816" width="7" style="216" customWidth="1"/>
    <col min="1817" max="2037" width="8.140625" style="216"/>
    <col min="2038" max="2038" width="20" style="216" customWidth="1"/>
    <col min="2039" max="2039" width="9" style="216" customWidth="1"/>
    <col min="2040" max="2041" width="9.140625" style="216" customWidth="1"/>
    <col min="2042" max="2042" width="8.140625" style="216" bestFit="1" customWidth="1"/>
    <col min="2043" max="2043" width="7.42578125" style="216" bestFit="1" customWidth="1"/>
    <col min="2044" max="2064" width="7" style="216" bestFit="1" customWidth="1"/>
    <col min="2065" max="2069" width="6.7109375" style="216" customWidth="1"/>
    <col min="2070" max="2071" width="11.42578125" style="216" bestFit="1" customWidth="1"/>
    <col min="2072" max="2072" width="7" style="216" customWidth="1"/>
    <col min="2073" max="2293" width="8.140625" style="216"/>
    <col min="2294" max="2294" width="20" style="216" customWidth="1"/>
    <col min="2295" max="2295" width="9" style="216" customWidth="1"/>
    <col min="2296" max="2297" width="9.140625" style="216" customWidth="1"/>
    <col min="2298" max="2298" width="8.140625" style="216" bestFit="1" customWidth="1"/>
    <col min="2299" max="2299" width="7.42578125" style="216" bestFit="1" customWidth="1"/>
    <col min="2300" max="2320" width="7" style="216" bestFit="1" customWidth="1"/>
    <col min="2321" max="2325" width="6.7109375" style="216" customWidth="1"/>
    <col min="2326" max="2327" width="11.42578125" style="216" bestFit="1" customWidth="1"/>
    <col min="2328" max="2328" width="7" style="216" customWidth="1"/>
    <col min="2329" max="2549" width="8.140625" style="216"/>
    <col min="2550" max="2550" width="20" style="216" customWidth="1"/>
    <col min="2551" max="2551" width="9" style="216" customWidth="1"/>
    <col min="2552" max="2553" width="9.140625" style="216" customWidth="1"/>
    <col min="2554" max="2554" width="8.140625" style="216" bestFit="1" customWidth="1"/>
    <col min="2555" max="2555" width="7.42578125" style="216" bestFit="1" customWidth="1"/>
    <col min="2556" max="2576" width="7" style="216" bestFit="1" customWidth="1"/>
    <col min="2577" max="2581" width="6.7109375" style="216" customWidth="1"/>
    <col min="2582" max="2583" width="11.42578125" style="216" bestFit="1" customWidth="1"/>
    <col min="2584" max="2584" width="7" style="216" customWidth="1"/>
    <col min="2585" max="2805" width="8.140625" style="216"/>
    <col min="2806" max="2806" width="20" style="216" customWidth="1"/>
    <col min="2807" max="2807" width="9" style="216" customWidth="1"/>
    <col min="2808" max="2809" width="9.140625" style="216" customWidth="1"/>
    <col min="2810" max="2810" width="8.140625" style="216" bestFit="1" customWidth="1"/>
    <col min="2811" max="2811" width="7.42578125" style="216" bestFit="1" customWidth="1"/>
    <col min="2812" max="2832" width="7" style="216" bestFit="1" customWidth="1"/>
    <col min="2833" max="2837" width="6.7109375" style="216" customWidth="1"/>
    <col min="2838" max="2839" width="11.42578125" style="216" bestFit="1" customWidth="1"/>
    <col min="2840" max="2840" width="7" style="216" customWidth="1"/>
    <col min="2841" max="3061" width="8.140625" style="216"/>
    <col min="3062" max="3062" width="20" style="216" customWidth="1"/>
    <col min="3063" max="3063" width="9" style="216" customWidth="1"/>
    <col min="3064" max="3065" width="9.140625" style="216" customWidth="1"/>
    <col min="3066" max="3066" width="8.140625" style="216" bestFit="1" customWidth="1"/>
    <col min="3067" max="3067" width="7.42578125" style="216" bestFit="1" customWidth="1"/>
    <col min="3068" max="3088" width="7" style="216" bestFit="1" customWidth="1"/>
    <col min="3089" max="3093" width="6.7109375" style="216" customWidth="1"/>
    <col min="3094" max="3095" width="11.42578125" style="216" bestFit="1" customWidth="1"/>
    <col min="3096" max="3096" width="7" style="216" customWidth="1"/>
    <col min="3097" max="3317" width="8.140625" style="216"/>
    <col min="3318" max="3318" width="20" style="216" customWidth="1"/>
    <col min="3319" max="3319" width="9" style="216" customWidth="1"/>
    <col min="3320" max="3321" width="9.140625" style="216" customWidth="1"/>
    <col min="3322" max="3322" width="8.140625" style="216" bestFit="1" customWidth="1"/>
    <col min="3323" max="3323" width="7.42578125" style="216" bestFit="1" customWidth="1"/>
    <col min="3324" max="3344" width="7" style="216" bestFit="1" customWidth="1"/>
    <col min="3345" max="3349" width="6.7109375" style="216" customWidth="1"/>
    <col min="3350" max="3351" width="11.42578125" style="216" bestFit="1" customWidth="1"/>
    <col min="3352" max="3352" width="7" style="216" customWidth="1"/>
    <col min="3353" max="3573" width="8.140625" style="216"/>
    <col min="3574" max="3574" width="20" style="216" customWidth="1"/>
    <col min="3575" max="3575" width="9" style="216" customWidth="1"/>
    <col min="3576" max="3577" width="9.140625" style="216" customWidth="1"/>
    <col min="3578" max="3578" width="8.140625" style="216" bestFit="1" customWidth="1"/>
    <col min="3579" max="3579" width="7.42578125" style="216" bestFit="1" customWidth="1"/>
    <col min="3580" max="3600" width="7" style="216" bestFit="1" customWidth="1"/>
    <col min="3601" max="3605" width="6.7109375" style="216" customWidth="1"/>
    <col min="3606" max="3607" width="11.42578125" style="216" bestFit="1" customWidth="1"/>
    <col min="3608" max="3608" width="7" style="216" customWidth="1"/>
    <col min="3609" max="3829" width="8.140625" style="216"/>
    <col min="3830" max="3830" width="20" style="216" customWidth="1"/>
    <col min="3831" max="3831" width="9" style="216" customWidth="1"/>
    <col min="3832" max="3833" width="9.140625" style="216" customWidth="1"/>
    <col min="3834" max="3834" width="8.140625" style="216" bestFit="1" customWidth="1"/>
    <col min="3835" max="3835" width="7.42578125" style="216" bestFit="1" customWidth="1"/>
    <col min="3836" max="3856" width="7" style="216" bestFit="1" customWidth="1"/>
    <col min="3857" max="3861" width="6.7109375" style="216" customWidth="1"/>
    <col min="3862" max="3863" width="11.42578125" style="216" bestFit="1" customWidth="1"/>
    <col min="3864" max="3864" width="7" style="216" customWidth="1"/>
    <col min="3865" max="4085" width="8.140625" style="216"/>
    <col min="4086" max="4086" width="20" style="216" customWidth="1"/>
    <col min="4087" max="4087" width="9" style="216" customWidth="1"/>
    <col min="4088" max="4089" width="9.140625" style="216" customWidth="1"/>
    <col min="4090" max="4090" width="8.140625" style="216" bestFit="1" customWidth="1"/>
    <col min="4091" max="4091" width="7.42578125" style="216" bestFit="1" customWidth="1"/>
    <col min="4092" max="4112" width="7" style="216" bestFit="1" customWidth="1"/>
    <col min="4113" max="4117" width="6.7109375" style="216" customWidth="1"/>
    <col min="4118" max="4119" width="11.42578125" style="216" bestFit="1" customWidth="1"/>
    <col min="4120" max="4120" width="7" style="216" customWidth="1"/>
    <col min="4121" max="4341" width="8.140625" style="216"/>
    <col min="4342" max="4342" width="20" style="216" customWidth="1"/>
    <col min="4343" max="4343" width="9" style="216" customWidth="1"/>
    <col min="4344" max="4345" width="9.140625" style="216" customWidth="1"/>
    <col min="4346" max="4346" width="8.140625" style="216" bestFit="1" customWidth="1"/>
    <col min="4347" max="4347" width="7.42578125" style="216" bestFit="1" customWidth="1"/>
    <col min="4348" max="4368" width="7" style="216" bestFit="1" customWidth="1"/>
    <col min="4369" max="4373" width="6.7109375" style="216" customWidth="1"/>
    <col min="4374" max="4375" width="11.42578125" style="216" bestFit="1" customWidth="1"/>
    <col min="4376" max="4376" width="7" style="216" customWidth="1"/>
    <col min="4377" max="4597" width="8.140625" style="216"/>
    <col min="4598" max="4598" width="20" style="216" customWidth="1"/>
    <col min="4599" max="4599" width="9" style="216" customWidth="1"/>
    <col min="4600" max="4601" width="9.140625" style="216" customWidth="1"/>
    <col min="4602" max="4602" width="8.140625" style="216" bestFit="1" customWidth="1"/>
    <col min="4603" max="4603" width="7.42578125" style="216" bestFit="1" customWidth="1"/>
    <col min="4604" max="4624" width="7" style="216" bestFit="1" customWidth="1"/>
    <col min="4625" max="4629" width="6.7109375" style="216" customWidth="1"/>
    <col min="4630" max="4631" width="11.42578125" style="216" bestFit="1" customWidth="1"/>
    <col min="4632" max="4632" width="7" style="216" customWidth="1"/>
    <col min="4633" max="4853" width="8.140625" style="216"/>
    <col min="4854" max="4854" width="20" style="216" customWidth="1"/>
    <col min="4855" max="4855" width="9" style="216" customWidth="1"/>
    <col min="4856" max="4857" width="9.140625" style="216" customWidth="1"/>
    <col min="4858" max="4858" width="8.140625" style="216" bestFit="1" customWidth="1"/>
    <col min="4859" max="4859" width="7.42578125" style="216" bestFit="1" customWidth="1"/>
    <col min="4860" max="4880" width="7" style="216" bestFit="1" customWidth="1"/>
    <col min="4881" max="4885" width="6.7109375" style="216" customWidth="1"/>
    <col min="4886" max="4887" width="11.42578125" style="216" bestFit="1" customWidth="1"/>
    <col min="4888" max="4888" width="7" style="216" customWidth="1"/>
    <col min="4889" max="5109" width="8.140625" style="216"/>
    <col min="5110" max="5110" width="20" style="216" customWidth="1"/>
    <col min="5111" max="5111" width="9" style="216" customWidth="1"/>
    <col min="5112" max="5113" width="9.140625" style="216" customWidth="1"/>
    <col min="5114" max="5114" width="8.140625" style="216" bestFit="1" customWidth="1"/>
    <col min="5115" max="5115" width="7.42578125" style="216" bestFit="1" customWidth="1"/>
    <col min="5116" max="5136" width="7" style="216" bestFit="1" customWidth="1"/>
    <col min="5137" max="5141" width="6.7109375" style="216" customWidth="1"/>
    <col min="5142" max="5143" width="11.42578125" style="216" bestFit="1" customWidth="1"/>
    <col min="5144" max="5144" width="7" style="216" customWidth="1"/>
    <col min="5145" max="5365" width="8.140625" style="216"/>
    <col min="5366" max="5366" width="20" style="216" customWidth="1"/>
    <col min="5367" max="5367" width="9" style="216" customWidth="1"/>
    <col min="5368" max="5369" width="9.140625" style="216" customWidth="1"/>
    <col min="5370" max="5370" width="8.140625" style="216" bestFit="1" customWidth="1"/>
    <col min="5371" max="5371" width="7.42578125" style="216" bestFit="1" customWidth="1"/>
    <col min="5372" max="5392" width="7" style="216" bestFit="1" customWidth="1"/>
    <col min="5393" max="5397" width="6.7109375" style="216" customWidth="1"/>
    <col min="5398" max="5399" width="11.42578125" style="216" bestFit="1" customWidth="1"/>
    <col min="5400" max="5400" width="7" style="216" customWidth="1"/>
    <col min="5401" max="5621" width="8.140625" style="216"/>
    <col min="5622" max="5622" width="20" style="216" customWidth="1"/>
    <col min="5623" max="5623" width="9" style="216" customWidth="1"/>
    <col min="5624" max="5625" width="9.140625" style="216" customWidth="1"/>
    <col min="5626" max="5626" width="8.140625" style="216" bestFit="1" customWidth="1"/>
    <col min="5627" max="5627" width="7.42578125" style="216" bestFit="1" customWidth="1"/>
    <col min="5628" max="5648" width="7" style="216" bestFit="1" customWidth="1"/>
    <col min="5649" max="5653" width="6.7109375" style="216" customWidth="1"/>
    <col min="5654" max="5655" width="11.42578125" style="216" bestFit="1" customWidth="1"/>
    <col min="5656" max="5656" width="7" style="216" customWidth="1"/>
    <col min="5657" max="5877" width="8.140625" style="216"/>
    <col min="5878" max="5878" width="20" style="216" customWidth="1"/>
    <col min="5879" max="5879" width="9" style="216" customWidth="1"/>
    <col min="5880" max="5881" width="9.140625" style="216" customWidth="1"/>
    <col min="5882" max="5882" width="8.140625" style="216" bestFit="1" customWidth="1"/>
    <col min="5883" max="5883" width="7.42578125" style="216" bestFit="1" customWidth="1"/>
    <col min="5884" max="5904" width="7" style="216" bestFit="1" customWidth="1"/>
    <col min="5905" max="5909" width="6.7109375" style="216" customWidth="1"/>
    <col min="5910" max="5911" width="11.42578125" style="216" bestFit="1" customWidth="1"/>
    <col min="5912" max="5912" width="7" style="216" customWidth="1"/>
    <col min="5913" max="6133" width="8.140625" style="216"/>
    <col min="6134" max="6134" width="20" style="216" customWidth="1"/>
    <col min="6135" max="6135" width="9" style="216" customWidth="1"/>
    <col min="6136" max="6137" width="9.140625" style="216" customWidth="1"/>
    <col min="6138" max="6138" width="8.140625" style="216" bestFit="1" customWidth="1"/>
    <col min="6139" max="6139" width="7.42578125" style="216" bestFit="1" customWidth="1"/>
    <col min="6140" max="6160" width="7" style="216" bestFit="1" customWidth="1"/>
    <col min="6161" max="6165" width="6.7109375" style="216" customWidth="1"/>
    <col min="6166" max="6167" width="11.42578125" style="216" bestFit="1" customWidth="1"/>
    <col min="6168" max="6168" width="7" style="216" customWidth="1"/>
    <col min="6169" max="6389" width="8.140625" style="216"/>
    <col min="6390" max="6390" width="20" style="216" customWidth="1"/>
    <col min="6391" max="6391" width="9" style="216" customWidth="1"/>
    <col min="6392" max="6393" width="9.140625" style="216" customWidth="1"/>
    <col min="6394" max="6394" width="8.140625" style="216" bestFit="1" customWidth="1"/>
    <col min="6395" max="6395" width="7.42578125" style="216" bestFit="1" customWidth="1"/>
    <col min="6396" max="6416" width="7" style="216" bestFit="1" customWidth="1"/>
    <col min="6417" max="6421" width="6.7109375" style="216" customWidth="1"/>
    <col min="6422" max="6423" width="11.42578125" style="216" bestFit="1" customWidth="1"/>
    <col min="6424" max="6424" width="7" style="216" customWidth="1"/>
    <col min="6425" max="6645" width="8.140625" style="216"/>
    <col min="6646" max="6646" width="20" style="216" customWidth="1"/>
    <col min="6647" max="6647" width="9" style="216" customWidth="1"/>
    <col min="6648" max="6649" width="9.140625" style="216" customWidth="1"/>
    <col min="6650" max="6650" width="8.140625" style="216" bestFit="1" customWidth="1"/>
    <col min="6651" max="6651" width="7.42578125" style="216" bestFit="1" customWidth="1"/>
    <col min="6652" max="6672" width="7" style="216" bestFit="1" customWidth="1"/>
    <col min="6673" max="6677" width="6.7109375" style="216" customWidth="1"/>
    <col min="6678" max="6679" width="11.42578125" style="216" bestFit="1" customWidth="1"/>
    <col min="6680" max="6680" width="7" style="216" customWidth="1"/>
    <col min="6681" max="6901" width="8.140625" style="216"/>
    <col min="6902" max="6902" width="20" style="216" customWidth="1"/>
    <col min="6903" max="6903" width="9" style="216" customWidth="1"/>
    <col min="6904" max="6905" width="9.140625" style="216" customWidth="1"/>
    <col min="6906" max="6906" width="8.140625" style="216" bestFit="1" customWidth="1"/>
    <col min="6907" max="6907" width="7.42578125" style="216" bestFit="1" customWidth="1"/>
    <col min="6908" max="6928" width="7" style="216" bestFit="1" customWidth="1"/>
    <col min="6929" max="6933" width="6.7109375" style="216" customWidth="1"/>
    <col min="6934" max="6935" width="11.42578125" style="216" bestFit="1" customWidth="1"/>
    <col min="6936" max="6936" width="7" style="216" customWidth="1"/>
    <col min="6937" max="7157" width="8.140625" style="216"/>
    <col min="7158" max="7158" width="20" style="216" customWidth="1"/>
    <col min="7159" max="7159" width="9" style="216" customWidth="1"/>
    <col min="7160" max="7161" width="9.140625" style="216" customWidth="1"/>
    <col min="7162" max="7162" width="8.140625" style="216" bestFit="1" customWidth="1"/>
    <col min="7163" max="7163" width="7.42578125" style="216" bestFit="1" customWidth="1"/>
    <col min="7164" max="7184" width="7" style="216" bestFit="1" customWidth="1"/>
    <col min="7185" max="7189" width="6.7109375" style="216" customWidth="1"/>
    <col min="7190" max="7191" width="11.42578125" style="216" bestFit="1" customWidth="1"/>
    <col min="7192" max="7192" width="7" style="216" customWidth="1"/>
    <col min="7193" max="7413" width="8.140625" style="216"/>
    <col min="7414" max="7414" width="20" style="216" customWidth="1"/>
    <col min="7415" max="7415" width="9" style="216" customWidth="1"/>
    <col min="7416" max="7417" width="9.140625" style="216" customWidth="1"/>
    <col min="7418" max="7418" width="8.140625" style="216" bestFit="1" customWidth="1"/>
    <col min="7419" max="7419" width="7.42578125" style="216" bestFit="1" customWidth="1"/>
    <col min="7420" max="7440" width="7" style="216" bestFit="1" customWidth="1"/>
    <col min="7441" max="7445" width="6.7109375" style="216" customWidth="1"/>
    <col min="7446" max="7447" width="11.42578125" style="216" bestFit="1" customWidth="1"/>
    <col min="7448" max="7448" width="7" style="216" customWidth="1"/>
    <col min="7449" max="7669" width="8.140625" style="216"/>
    <col min="7670" max="7670" width="20" style="216" customWidth="1"/>
    <col min="7671" max="7671" width="9" style="216" customWidth="1"/>
    <col min="7672" max="7673" width="9.140625" style="216" customWidth="1"/>
    <col min="7674" max="7674" width="8.140625" style="216" bestFit="1" customWidth="1"/>
    <col min="7675" max="7675" width="7.42578125" style="216" bestFit="1" customWidth="1"/>
    <col min="7676" max="7696" width="7" style="216" bestFit="1" customWidth="1"/>
    <col min="7697" max="7701" width="6.7109375" style="216" customWidth="1"/>
    <col min="7702" max="7703" width="11.42578125" style="216" bestFit="1" customWidth="1"/>
    <col min="7704" max="7704" width="7" style="216" customWidth="1"/>
    <col min="7705" max="7925" width="8.140625" style="216"/>
    <col min="7926" max="7926" width="20" style="216" customWidth="1"/>
    <col min="7927" max="7927" width="9" style="216" customWidth="1"/>
    <col min="7928" max="7929" width="9.140625" style="216" customWidth="1"/>
    <col min="7930" max="7930" width="8.140625" style="216" bestFit="1" customWidth="1"/>
    <col min="7931" max="7931" width="7.42578125" style="216" bestFit="1" customWidth="1"/>
    <col min="7932" max="7952" width="7" style="216" bestFit="1" customWidth="1"/>
    <col min="7953" max="7957" width="6.7109375" style="216" customWidth="1"/>
    <col min="7958" max="7959" width="11.42578125" style="216" bestFit="1" customWidth="1"/>
    <col min="7960" max="7960" width="7" style="216" customWidth="1"/>
    <col min="7961" max="8181" width="8.140625" style="216"/>
    <col min="8182" max="8182" width="20" style="216" customWidth="1"/>
    <col min="8183" max="8183" width="9" style="216" customWidth="1"/>
    <col min="8184" max="8185" width="9.140625" style="216" customWidth="1"/>
    <col min="8186" max="8186" width="8.140625" style="216" bestFit="1" customWidth="1"/>
    <col min="8187" max="8187" width="7.42578125" style="216" bestFit="1" customWidth="1"/>
    <col min="8188" max="8208" width="7" style="216" bestFit="1" customWidth="1"/>
    <col min="8209" max="8213" width="6.7109375" style="216" customWidth="1"/>
    <col min="8214" max="8215" width="11.42578125" style="216" bestFit="1" customWidth="1"/>
    <col min="8216" max="8216" width="7" style="216" customWidth="1"/>
    <col min="8217" max="8437" width="8.140625" style="216"/>
    <col min="8438" max="8438" width="20" style="216" customWidth="1"/>
    <col min="8439" max="8439" width="9" style="216" customWidth="1"/>
    <col min="8440" max="8441" width="9.140625" style="216" customWidth="1"/>
    <col min="8442" max="8442" width="8.140625" style="216" bestFit="1" customWidth="1"/>
    <col min="8443" max="8443" width="7.42578125" style="216" bestFit="1" customWidth="1"/>
    <col min="8444" max="8464" width="7" style="216" bestFit="1" customWidth="1"/>
    <col min="8465" max="8469" width="6.7109375" style="216" customWidth="1"/>
    <col min="8470" max="8471" width="11.42578125" style="216" bestFit="1" customWidth="1"/>
    <col min="8472" max="8472" width="7" style="216" customWidth="1"/>
    <col min="8473" max="8693" width="8.140625" style="216"/>
    <col min="8694" max="8694" width="20" style="216" customWidth="1"/>
    <col min="8695" max="8695" width="9" style="216" customWidth="1"/>
    <col min="8696" max="8697" width="9.140625" style="216" customWidth="1"/>
    <col min="8698" max="8698" width="8.140625" style="216" bestFit="1" customWidth="1"/>
    <col min="8699" max="8699" width="7.42578125" style="216" bestFit="1" customWidth="1"/>
    <col min="8700" max="8720" width="7" style="216" bestFit="1" customWidth="1"/>
    <col min="8721" max="8725" width="6.7109375" style="216" customWidth="1"/>
    <col min="8726" max="8727" width="11.42578125" style="216" bestFit="1" customWidth="1"/>
    <col min="8728" max="8728" width="7" style="216" customWidth="1"/>
    <col min="8729" max="8949" width="8.140625" style="216"/>
    <col min="8950" max="8950" width="20" style="216" customWidth="1"/>
    <col min="8951" max="8951" width="9" style="216" customWidth="1"/>
    <col min="8952" max="8953" width="9.140625" style="216" customWidth="1"/>
    <col min="8954" max="8954" width="8.140625" style="216" bestFit="1" customWidth="1"/>
    <col min="8955" max="8955" width="7.42578125" style="216" bestFit="1" customWidth="1"/>
    <col min="8956" max="8976" width="7" style="216" bestFit="1" customWidth="1"/>
    <col min="8977" max="8981" width="6.7109375" style="216" customWidth="1"/>
    <col min="8982" max="8983" width="11.42578125" style="216" bestFit="1" customWidth="1"/>
    <col min="8984" max="8984" width="7" style="216" customWidth="1"/>
    <col min="8985" max="9205" width="8.140625" style="216"/>
    <col min="9206" max="9206" width="20" style="216" customWidth="1"/>
    <col min="9207" max="9207" width="9" style="216" customWidth="1"/>
    <col min="9208" max="9209" width="9.140625" style="216" customWidth="1"/>
    <col min="9210" max="9210" width="8.140625" style="216" bestFit="1" customWidth="1"/>
    <col min="9211" max="9211" width="7.42578125" style="216" bestFit="1" customWidth="1"/>
    <col min="9212" max="9232" width="7" style="216" bestFit="1" customWidth="1"/>
    <col min="9233" max="9237" width="6.7109375" style="216" customWidth="1"/>
    <col min="9238" max="9239" width="11.42578125" style="216" bestFit="1" customWidth="1"/>
    <col min="9240" max="9240" width="7" style="216" customWidth="1"/>
    <col min="9241" max="9461" width="8.140625" style="216"/>
    <col min="9462" max="9462" width="20" style="216" customWidth="1"/>
    <col min="9463" max="9463" width="9" style="216" customWidth="1"/>
    <col min="9464" max="9465" width="9.140625" style="216" customWidth="1"/>
    <col min="9466" max="9466" width="8.140625" style="216" bestFit="1" customWidth="1"/>
    <col min="9467" max="9467" width="7.42578125" style="216" bestFit="1" customWidth="1"/>
    <col min="9468" max="9488" width="7" style="216" bestFit="1" customWidth="1"/>
    <col min="9489" max="9493" width="6.7109375" style="216" customWidth="1"/>
    <col min="9494" max="9495" width="11.42578125" style="216" bestFit="1" customWidth="1"/>
    <col min="9496" max="9496" width="7" style="216" customWidth="1"/>
    <col min="9497" max="9717" width="8.140625" style="216"/>
    <col min="9718" max="9718" width="20" style="216" customWidth="1"/>
    <col min="9719" max="9719" width="9" style="216" customWidth="1"/>
    <col min="9720" max="9721" width="9.140625" style="216" customWidth="1"/>
    <col min="9722" max="9722" width="8.140625" style="216" bestFit="1" customWidth="1"/>
    <col min="9723" max="9723" width="7.42578125" style="216" bestFit="1" customWidth="1"/>
    <col min="9724" max="9744" width="7" style="216" bestFit="1" customWidth="1"/>
    <col min="9745" max="9749" width="6.7109375" style="216" customWidth="1"/>
    <col min="9750" max="9751" width="11.42578125" style="216" bestFit="1" customWidth="1"/>
    <col min="9752" max="9752" width="7" style="216" customWidth="1"/>
    <col min="9753" max="9973" width="8.140625" style="216"/>
    <col min="9974" max="9974" width="20" style="216" customWidth="1"/>
    <col min="9975" max="9975" width="9" style="216" customWidth="1"/>
    <col min="9976" max="9977" width="9.140625" style="216" customWidth="1"/>
    <col min="9978" max="9978" width="8.140625" style="216" bestFit="1" customWidth="1"/>
    <col min="9979" max="9979" width="7.42578125" style="216" bestFit="1" customWidth="1"/>
    <col min="9980" max="10000" width="7" style="216" bestFit="1" customWidth="1"/>
    <col min="10001" max="10005" width="6.7109375" style="216" customWidth="1"/>
    <col min="10006" max="10007" width="11.42578125" style="216" bestFit="1" customWidth="1"/>
    <col min="10008" max="10008" width="7" style="216" customWidth="1"/>
    <col min="10009" max="10229" width="8.140625" style="216"/>
    <col min="10230" max="10230" width="20" style="216" customWidth="1"/>
    <col min="10231" max="10231" width="9" style="216" customWidth="1"/>
    <col min="10232" max="10233" width="9.140625" style="216" customWidth="1"/>
    <col min="10234" max="10234" width="8.140625" style="216" bestFit="1" customWidth="1"/>
    <col min="10235" max="10235" width="7.42578125" style="216" bestFit="1" customWidth="1"/>
    <col min="10236" max="10256" width="7" style="216" bestFit="1" customWidth="1"/>
    <col min="10257" max="10261" width="6.7109375" style="216" customWidth="1"/>
    <col min="10262" max="10263" width="11.42578125" style="216" bestFit="1" customWidth="1"/>
    <col min="10264" max="10264" width="7" style="216" customWidth="1"/>
    <col min="10265" max="10485" width="8.140625" style="216"/>
    <col min="10486" max="10486" width="20" style="216" customWidth="1"/>
    <col min="10487" max="10487" width="9" style="216" customWidth="1"/>
    <col min="10488" max="10489" width="9.140625" style="216" customWidth="1"/>
    <col min="10490" max="10490" width="8.140625" style="216" bestFit="1" customWidth="1"/>
    <col min="10491" max="10491" width="7.42578125" style="216" bestFit="1" customWidth="1"/>
    <col min="10492" max="10512" width="7" style="216" bestFit="1" customWidth="1"/>
    <col min="10513" max="10517" width="6.7109375" style="216" customWidth="1"/>
    <col min="10518" max="10519" width="11.42578125" style="216" bestFit="1" customWidth="1"/>
    <col min="10520" max="10520" width="7" style="216" customWidth="1"/>
    <col min="10521" max="10741" width="8.140625" style="216"/>
    <col min="10742" max="10742" width="20" style="216" customWidth="1"/>
    <col min="10743" max="10743" width="9" style="216" customWidth="1"/>
    <col min="10744" max="10745" width="9.140625" style="216" customWidth="1"/>
    <col min="10746" max="10746" width="8.140625" style="216" bestFit="1" customWidth="1"/>
    <col min="10747" max="10747" width="7.42578125" style="216" bestFit="1" customWidth="1"/>
    <col min="10748" max="10768" width="7" style="216" bestFit="1" customWidth="1"/>
    <col min="10769" max="10773" width="6.7109375" style="216" customWidth="1"/>
    <col min="10774" max="10775" width="11.42578125" style="216" bestFit="1" customWidth="1"/>
    <col min="10776" max="10776" width="7" style="216" customWidth="1"/>
    <col min="10777" max="10997" width="8.140625" style="216"/>
    <col min="10998" max="10998" width="20" style="216" customWidth="1"/>
    <col min="10999" max="10999" width="9" style="216" customWidth="1"/>
    <col min="11000" max="11001" width="9.140625" style="216" customWidth="1"/>
    <col min="11002" max="11002" width="8.140625" style="216" bestFit="1" customWidth="1"/>
    <col min="11003" max="11003" width="7.42578125" style="216" bestFit="1" customWidth="1"/>
    <col min="11004" max="11024" width="7" style="216" bestFit="1" customWidth="1"/>
    <col min="11025" max="11029" width="6.7109375" style="216" customWidth="1"/>
    <col min="11030" max="11031" width="11.42578125" style="216" bestFit="1" customWidth="1"/>
    <col min="11032" max="11032" width="7" style="216" customWidth="1"/>
    <col min="11033" max="11253" width="8.140625" style="216"/>
    <col min="11254" max="11254" width="20" style="216" customWidth="1"/>
    <col min="11255" max="11255" width="9" style="216" customWidth="1"/>
    <col min="11256" max="11257" width="9.140625" style="216" customWidth="1"/>
    <col min="11258" max="11258" width="8.140625" style="216" bestFit="1" customWidth="1"/>
    <col min="11259" max="11259" width="7.42578125" style="216" bestFit="1" customWidth="1"/>
    <col min="11260" max="11280" width="7" style="216" bestFit="1" customWidth="1"/>
    <col min="11281" max="11285" width="6.7109375" style="216" customWidth="1"/>
    <col min="11286" max="11287" width="11.42578125" style="216" bestFit="1" customWidth="1"/>
    <col min="11288" max="11288" width="7" style="216" customWidth="1"/>
    <col min="11289" max="11509" width="8.140625" style="216"/>
    <col min="11510" max="11510" width="20" style="216" customWidth="1"/>
    <col min="11511" max="11511" width="9" style="216" customWidth="1"/>
    <col min="11512" max="11513" width="9.140625" style="216" customWidth="1"/>
    <col min="11514" max="11514" width="8.140625" style="216" bestFit="1" customWidth="1"/>
    <col min="11515" max="11515" width="7.42578125" style="216" bestFit="1" customWidth="1"/>
    <col min="11516" max="11536" width="7" style="216" bestFit="1" customWidth="1"/>
    <col min="11537" max="11541" width="6.7109375" style="216" customWidth="1"/>
    <col min="11542" max="11543" width="11.42578125" style="216" bestFit="1" customWidth="1"/>
    <col min="11544" max="11544" width="7" style="216" customWidth="1"/>
    <col min="11545" max="11765" width="8.140625" style="216"/>
    <col min="11766" max="11766" width="20" style="216" customWidth="1"/>
    <col min="11767" max="11767" width="9" style="216" customWidth="1"/>
    <col min="11768" max="11769" width="9.140625" style="216" customWidth="1"/>
    <col min="11770" max="11770" width="8.140625" style="216" bestFit="1" customWidth="1"/>
    <col min="11771" max="11771" width="7.42578125" style="216" bestFit="1" customWidth="1"/>
    <col min="11772" max="11792" width="7" style="216" bestFit="1" customWidth="1"/>
    <col min="11793" max="11797" width="6.7109375" style="216" customWidth="1"/>
    <col min="11798" max="11799" width="11.42578125" style="216" bestFit="1" customWidth="1"/>
    <col min="11800" max="11800" width="7" style="216" customWidth="1"/>
    <col min="11801" max="12021" width="8.140625" style="216"/>
    <col min="12022" max="12022" width="20" style="216" customWidth="1"/>
    <col min="12023" max="12023" width="9" style="216" customWidth="1"/>
    <col min="12024" max="12025" width="9.140625" style="216" customWidth="1"/>
    <col min="12026" max="12026" width="8.140625" style="216" bestFit="1" customWidth="1"/>
    <col min="12027" max="12027" width="7.42578125" style="216" bestFit="1" customWidth="1"/>
    <col min="12028" max="12048" width="7" style="216" bestFit="1" customWidth="1"/>
    <col min="12049" max="12053" width="6.7109375" style="216" customWidth="1"/>
    <col min="12054" max="12055" width="11.42578125" style="216" bestFit="1" customWidth="1"/>
    <col min="12056" max="12056" width="7" style="216" customWidth="1"/>
    <col min="12057" max="12277" width="8.140625" style="216"/>
    <col min="12278" max="12278" width="20" style="216" customWidth="1"/>
    <col min="12279" max="12279" width="9" style="216" customWidth="1"/>
    <col min="12280" max="12281" width="9.140625" style="216" customWidth="1"/>
    <col min="12282" max="12282" width="8.140625" style="216" bestFit="1" customWidth="1"/>
    <col min="12283" max="12283" width="7.42578125" style="216" bestFit="1" customWidth="1"/>
    <col min="12284" max="12304" width="7" style="216" bestFit="1" customWidth="1"/>
    <col min="12305" max="12309" width="6.7109375" style="216" customWidth="1"/>
    <col min="12310" max="12311" width="11.42578125" style="216" bestFit="1" customWidth="1"/>
    <col min="12312" max="12312" width="7" style="216" customWidth="1"/>
    <col min="12313" max="12533" width="8.140625" style="216"/>
    <col min="12534" max="12534" width="20" style="216" customWidth="1"/>
    <col min="12535" max="12535" width="9" style="216" customWidth="1"/>
    <col min="12536" max="12537" width="9.140625" style="216" customWidth="1"/>
    <col min="12538" max="12538" width="8.140625" style="216" bestFit="1" customWidth="1"/>
    <col min="12539" max="12539" width="7.42578125" style="216" bestFit="1" customWidth="1"/>
    <col min="12540" max="12560" width="7" style="216" bestFit="1" customWidth="1"/>
    <col min="12561" max="12565" width="6.7109375" style="216" customWidth="1"/>
    <col min="12566" max="12567" width="11.42578125" style="216" bestFit="1" customWidth="1"/>
    <col min="12568" max="12568" width="7" style="216" customWidth="1"/>
    <col min="12569" max="12789" width="8.140625" style="216"/>
    <col min="12790" max="12790" width="20" style="216" customWidth="1"/>
    <col min="12791" max="12791" width="9" style="216" customWidth="1"/>
    <col min="12792" max="12793" width="9.140625" style="216" customWidth="1"/>
    <col min="12794" max="12794" width="8.140625" style="216" bestFit="1" customWidth="1"/>
    <col min="12795" max="12795" width="7.42578125" style="216" bestFit="1" customWidth="1"/>
    <col min="12796" max="12816" width="7" style="216" bestFit="1" customWidth="1"/>
    <col min="12817" max="12821" width="6.7109375" style="216" customWidth="1"/>
    <col min="12822" max="12823" width="11.42578125" style="216" bestFit="1" customWidth="1"/>
    <col min="12824" max="12824" width="7" style="216" customWidth="1"/>
    <col min="12825" max="13045" width="8.140625" style="216"/>
    <col min="13046" max="13046" width="20" style="216" customWidth="1"/>
    <col min="13047" max="13047" width="9" style="216" customWidth="1"/>
    <col min="13048" max="13049" width="9.140625" style="216" customWidth="1"/>
    <col min="13050" max="13050" width="8.140625" style="216" bestFit="1" customWidth="1"/>
    <col min="13051" max="13051" width="7.42578125" style="216" bestFit="1" customWidth="1"/>
    <col min="13052" max="13072" width="7" style="216" bestFit="1" customWidth="1"/>
    <col min="13073" max="13077" width="6.7109375" style="216" customWidth="1"/>
    <col min="13078" max="13079" width="11.42578125" style="216" bestFit="1" customWidth="1"/>
    <col min="13080" max="13080" width="7" style="216" customWidth="1"/>
    <col min="13081" max="13301" width="8.140625" style="216"/>
    <col min="13302" max="13302" width="20" style="216" customWidth="1"/>
    <col min="13303" max="13303" width="9" style="216" customWidth="1"/>
    <col min="13304" max="13305" width="9.140625" style="216" customWidth="1"/>
    <col min="13306" max="13306" width="8.140625" style="216" bestFit="1" customWidth="1"/>
    <col min="13307" max="13307" width="7.42578125" style="216" bestFit="1" customWidth="1"/>
    <col min="13308" max="13328" width="7" style="216" bestFit="1" customWidth="1"/>
    <col min="13329" max="13333" width="6.7109375" style="216" customWidth="1"/>
    <col min="13334" max="13335" width="11.42578125" style="216" bestFit="1" customWidth="1"/>
    <col min="13336" max="13336" width="7" style="216" customWidth="1"/>
    <col min="13337" max="13557" width="8.140625" style="216"/>
    <col min="13558" max="13558" width="20" style="216" customWidth="1"/>
    <col min="13559" max="13559" width="9" style="216" customWidth="1"/>
    <col min="13560" max="13561" width="9.140625" style="216" customWidth="1"/>
    <col min="13562" max="13562" width="8.140625" style="216" bestFit="1" customWidth="1"/>
    <col min="13563" max="13563" width="7.42578125" style="216" bestFit="1" customWidth="1"/>
    <col min="13564" max="13584" width="7" style="216" bestFit="1" customWidth="1"/>
    <col min="13585" max="13589" width="6.7109375" style="216" customWidth="1"/>
    <col min="13590" max="13591" width="11.42578125" style="216" bestFit="1" customWidth="1"/>
    <col min="13592" max="13592" width="7" style="216" customWidth="1"/>
    <col min="13593" max="13813" width="8.140625" style="216"/>
    <col min="13814" max="13814" width="20" style="216" customWidth="1"/>
    <col min="13815" max="13815" width="9" style="216" customWidth="1"/>
    <col min="13816" max="13817" width="9.140625" style="216" customWidth="1"/>
    <col min="13818" max="13818" width="8.140625" style="216" bestFit="1" customWidth="1"/>
    <col min="13819" max="13819" width="7.42578125" style="216" bestFit="1" customWidth="1"/>
    <col min="13820" max="13840" width="7" style="216" bestFit="1" customWidth="1"/>
    <col min="13841" max="13845" width="6.7109375" style="216" customWidth="1"/>
    <col min="13846" max="13847" width="11.42578125" style="216" bestFit="1" customWidth="1"/>
    <col min="13848" max="13848" width="7" style="216" customWidth="1"/>
    <col min="13849" max="14069" width="8.140625" style="216"/>
    <col min="14070" max="14070" width="20" style="216" customWidth="1"/>
    <col min="14071" max="14071" width="9" style="216" customWidth="1"/>
    <col min="14072" max="14073" width="9.140625" style="216" customWidth="1"/>
    <col min="14074" max="14074" width="8.140625" style="216" bestFit="1" customWidth="1"/>
    <col min="14075" max="14075" width="7.42578125" style="216" bestFit="1" customWidth="1"/>
    <col min="14076" max="14096" width="7" style="216" bestFit="1" customWidth="1"/>
    <col min="14097" max="14101" width="6.7109375" style="216" customWidth="1"/>
    <col min="14102" max="14103" width="11.42578125" style="216" bestFit="1" customWidth="1"/>
    <col min="14104" max="14104" width="7" style="216" customWidth="1"/>
    <col min="14105" max="14325" width="8.140625" style="216"/>
    <col min="14326" max="14326" width="20" style="216" customWidth="1"/>
    <col min="14327" max="14327" width="9" style="216" customWidth="1"/>
    <col min="14328" max="14329" width="9.140625" style="216" customWidth="1"/>
    <col min="14330" max="14330" width="8.140625" style="216" bestFit="1" customWidth="1"/>
    <col min="14331" max="14331" width="7.42578125" style="216" bestFit="1" customWidth="1"/>
    <col min="14332" max="14352" width="7" style="216" bestFit="1" customWidth="1"/>
    <col min="14353" max="14357" width="6.7109375" style="216" customWidth="1"/>
    <col min="14358" max="14359" width="11.42578125" style="216" bestFit="1" customWidth="1"/>
    <col min="14360" max="14360" width="7" style="216" customWidth="1"/>
    <col min="14361" max="14581" width="8.140625" style="216"/>
    <col min="14582" max="14582" width="20" style="216" customWidth="1"/>
    <col min="14583" max="14583" width="9" style="216" customWidth="1"/>
    <col min="14584" max="14585" width="9.140625" style="216" customWidth="1"/>
    <col min="14586" max="14586" width="8.140625" style="216" bestFit="1" customWidth="1"/>
    <col min="14587" max="14587" width="7.42578125" style="216" bestFit="1" customWidth="1"/>
    <col min="14588" max="14608" width="7" style="216" bestFit="1" customWidth="1"/>
    <col min="14609" max="14613" width="6.7109375" style="216" customWidth="1"/>
    <col min="14614" max="14615" width="11.42578125" style="216" bestFit="1" customWidth="1"/>
    <col min="14616" max="14616" width="7" style="216" customWidth="1"/>
    <col min="14617" max="14837" width="8.140625" style="216"/>
    <col min="14838" max="14838" width="20" style="216" customWidth="1"/>
    <col min="14839" max="14839" width="9" style="216" customWidth="1"/>
    <col min="14840" max="14841" width="9.140625" style="216" customWidth="1"/>
    <col min="14842" max="14842" width="8.140625" style="216" bestFit="1" customWidth="1"/>
    <col min="14843" max="14843" width="7.42578125" style="216" bestFit="1" customWidth="1"/>
    <col min="14844" max="14864" width="7" style="216" bestFit="1" customWidth="1"/>
    <col min="14865" max="14869" width="6.7109375" style="216" customWidth="1"/>
    <col min="14870" max="14871" width="11.42578125" style="216" bestFit="1" customWidth="1"/>
    <col min="14872" max="14872" width="7" style="216" customWidth="1"/>
    <col min="14873" max="15093" width="8.140625" style="216"/>
    <col min="15094" max="15094" width="20" style="216" customWidth="1"/>
    <col min="15095" max="15095" width="9" style="216" customWidth="1"/>
    <col min="15096" max="15097" width="9.140625" style="216" customWidth="1"/>
    <col min="15098" max="15098" width="8.140625" style="216" bestFit="1" customWidth="1"/>
    <col min="15099" max="15099" width="7.42578125" style="216" bestFit="1" customWidth="1"/>
    <col min="15100" max="15120" width="7" style="216" bestFit="1" customWidth="1"/>
    <col min="15121" max="15125" width="6.7109375" style="216" customWidth="1"/>
    <col min="15126" max="15127" width="11.42578125" style="216" bestFit="1" customWidth="1"/>
    <col min="15128" max="15128" width="7" style="216" customWidth="1"/>
    <col min="15129" max="15349" width="8.140625" style="216"/>
    <col min="15350" max="15350" width="20" style="216" customWidth="1"/>
    <col min="15351" max="15351" width="9" style="216" customWidth="1"/>
    <col min="15352" max="15353" width="9.140625" style="216" customWidth="1"/>
    <col min="15354" max="15354" width="8.140625" style="216" bestFit="1" customWidth="1"/>
    <col min="15355" max="15355" width="7.42578125" style="216" bestFit="1" customWidth="1"/>
    <col min="15356" max="15376" width="7" style="216" bestFit="1" customWidth="1"/>
    <col min="15377" max="15381" width="6.7109375" style="216" customWidth="1"/>
    <col min="15382" max="15383" width="11.42578125" style="216" bestFit="1" customWidth="1"/>
    <col min="15384" max="15384" width="7" style="216" customWidth="1"/>
    <col min="15385" max="15605" width="8.140625" style="216"/>
    <col min="15606" max="15606" width="20" style="216" customWidth="1"/>
    <col min="15607" max="15607" width="9" style="216" customWidth="1"/>
    <col min="15608" max="15609" width="9.140625" style="216" customWidth="1"/>
    <col min="15610" max="15610" width="8.140625" style="216" bestFit="1" customWidth="1"/>
    <col min="15611" max="15611" width="7.42578125" style="216" bestFit="1" customWidth="1"/>
    <col min="15612" max="15632" width="7" style="216" bestFit="1" customWidth="1"/>
    <col min="15633" max="15637" width="6.7109375" style="216" customWidth="1"/>
    <col min="15638" max="15639" width="11.42578125" style="216" bestFit="1" customWidth="1"/>
    <col min="15640" max="15640" width="7" style="216" customWidth="1"/>
    <col min="15641" max="15861" width="8.140625" style="216"/>
    <col min="15862" max="15862" width="20" style="216" customWidth="1"/>
    <col min="15863" max="15863" width="9" style="216" customWidth="1"/>
    <col min="15864" max="15865" width="9.140625" style="216" customWidth="1"/>
    <col min="15866" max="15866" width="8.140625" style="216" bestFit="1" customWidth="1"/>
    <col min="15867" max="15867" width="7.42578125" style="216" bestFit="1" customWidth="1"/>
    <col min="15868" max="15888" width="7" style="216" bestFit="1" customWidth="1"/>
    <col min="15889" max="15893" width="6.7109375" style="216" customWidth="1"/>
    <col min="15894" max="15895" width="11.42578125" style="216" bestFit="1" customWidth="1"/>
    <col min="15896" max="15896" width="7" style="216" customWidth="1"/>
    <col min="15897" max="16117" width="8.140625" style="216"/>
    <col min="16118" max="16118" width="20" style="216" customWidth="1"/>
    <col min="16119" max="16119" width="9" style="216" customWidth="1"/>
    <col min="16120" max="16121" width="9.140625" style="216" customWidth="1"/>
    <col min="16122" max="16122" width="8.140625" style="216" bestFit="1" customWidth="1"/>
    <col min="16123" max="16123" width="7.42578125" style="216" bestFit="1" customWidth="1"/>
    <col min="16124" max="16144" width="7" style="216" bestFit="1" customWidth="1"/>
    <col min="16145" max="16149" width="6.7109375" style="216" customWidth="1"/>
    <col min="16150" max="16151" width="11.42578125" style="216" bestFit="1" customWidth="1"/>
    <col min="16152" max="16152" width="7" style="216" customWidth="1"/>
    <col min="16153" max="16384" width="8.140625" style="216"/>
  </cols>
  <sheetData>
    <row r="1" spans="1:30" s="182" customFormat="1" ht="15.75">
      <c r="A1" s="179"/>
      <c r="B1" s="180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429"/>
      <c r="X1" s="430"/>
      <c r="AD1" s="183"/>
    </row>
    <row r="2" spans="1:30" s="185" customFormat="1" ht="14.25">
      <c r="A2" s="431" t="s">
        <v>250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1"/>
      <c r="S2" s="431"/>
      <c r="T2" s="431"/>
      <c r="U2" s="431"/>
      <c r="V2" s="431"/>
      <c r="W2" s="431"/>
      <c r="X2" s="431"/>
      <c r="Y2" s="184"/>
      <c r="AD2" s="186"/>
    </row>
    <row r="3" spans="1:30" s="185" customFormat="1" ht="12.75">
      <c r="A3" s="187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8"/>
      <c r="S3" s="188"/>
      <c r="T3" s="188"/>
      <c r="U3" s="188"/>
      <c r="V3" s="188"/>
      <c r="W3" s="188"/>
      <c r="X3" s="189"/>
      <c r="AD3" s="186"/>
    </row>
    <row r="4" spans="1:30" s="195" customFormat="1" ht="15">
      <c r="A4" s="190" t="s">
        <v>251</v>
      </c>
      <c r="B4" s="191"/>
      <c r="C4" s="192">
        <v>1</v>
      </c>
      <c r="D4" s="192">
        <v>2</v>
      </c>
      <c r="E4" s="192">
        <v>3</v>
      </c>
      <c r="F4" s="192">
        <v>4</v>
      </c>
      <c r="G4" s="192">
        <v>5</v>
      </c>
      <c r="H4" s="192">
        <v>6</v>
      </c>
      <c r="I4" s="192">
        <v>7</v>
      </c>
      <c r="J4" s="192">
        <v>8</v>
      </c>
      <c r="K4" s="192">
        <v>9</v>
      </c>
      <c r="L4" s="192">
        <v>10</v>
      </c>
      <c r="M4" s="192">
        <v>11</v>
      </c>
      <c r="N4" s="192">
        <v>12</v>
      </c>
      <c r="O4" s="192">
        <v>13</v>
      </c>
      <c r="P4" s="192">
        <v>14</v>
      </c>
      <c r="Q4" s="192">
        <v>15</v>
      </c>
      <c r="R4" s="192">
        <v>16</v>
      </c>
      <c r="S4" s="192">
        <v>17</v>
      </c>
      <c r="T4" s="192">
        <v>18</v>
      </c>
      <c r="U4" s="192">
        <v>19</v>
      </c>
      <c r="V4" s="192">
        <v>20</v>
      </c>
      <c r="W4" s="193" t="s">
        <v>252</v>
      </c>
      <c r="X4" s="194" t="s">
        <v>96</v>
      </c>
      <c r="AD4" s="196"/>
    </row>
    <row r="5" spans="1:30" s="195" customFormat="1" ht="15">
      <c r="A5" s="197" t="s">
        <v>1</v>
      </c>
      <c r="B5" s="198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200"/>
      <c r="X5" s="201"/>
      <c r="AD5" s="196"/>
    </row>
    <row r="6" spans="1:30" s="195" customFormat="1" ht="15">
      <c r="A6" s="202" t="s">
        <v>253</v>
      </c>
      <c r="B6" s="203"/>
      <c r="C6" s="220">
        <f>Aggregation!E49+'Output2.2 Costs'!M95+'Output 2.1 Costs'!F49</f>
        <v>1.7286266666666665</v>
      </c>
      <c r="D6" s="220">
        <f>Aggregation!F49+'Output2.2 Costs'!N95+'Output 2.1 Costs'!G49</f>
        <v>3.6912266666666662</v>
      </c>
      <c r="E6" s="220">
        <f>Aggregation!G49+'Output2.2 Costs'!O95+'Output 2.1 Costs'!H49</f>
        <v>7.6519466666666673</v>
      </c>
      <c r="F6" s="220">
        <f>Aggregation!H49+'Output2.2 Costs'!P95+'Output 2.1 Costs'!I49</f>
        <v>2.6988166666666666</v>
      </c>
      <c r="G6" s="220">
        <f>Aggregation!I49+'Output2.2 Costs'!Q95+'Output 2.1 Costs'!J49</f>
        <v>1.4946166666666667</v>
      </c>
      <c r="H6" s="220">
        <f>Aggregation!J49+'Output2.2 Costs'!R95+'Output 2.1 Costs'!K49</f>
        <v>1.2666666666666666</v>
      </c>
      <c r="I6" s="220">
        <f>Aggregation!K49</f>
        <v>0</v>
      </c>
      <c r="J6" s="220">
        <f>Aggregation!L49</f>
        <v>0</v>
      </c>
      <c r="K6" s="220">
        <f>Aggregation!M49</f>
        <v>0</v>
      </c>
      <c r="L6" s="220">
        <f>Aggregation!N49</f>
        <v>0</v>
      </c>
      <c r="M6" s="220">
        <f>Aggregation!O49</f>
        <v>0</v>
      </c>
      <c r="N6" s="220">
        <f>Aggregation!P49</f>
        <v>0</v>
      </c>
      <c r="O6" s="220">
        <f>Aggregation!Q49</f>
        <v>0</v>
      </c>
      <c r="P6" s="220">
        <f>Aggregation!R49</f>
        <v>0</v>
      </c>
      <c r="Q6" s="220">
        <f>Aggregation!S49</f>
        <v>0</v>
      </c>
      <c r="R6" s="220">
        <f>Aggregation!T49</f>
        <v>0</v>
      </c>
      <c r="S6" s="220">
        <f>Aggregation!U49</f>
        <v>0</v>
      </c>
      <c r="T6" s="220">
        <f>Aggregation!V49</f>
        <v>0</v>
      </c>
      <c r="U6" s="220">
        <f>Aggregation!W49</f>
        <v>0</v>
      </c>
      <c r="V6" s="220">
        <f>Aggregation!X49</f>
        <v>0</v>
      </c>
      <c r="W6" s="205"/>
      <c r="X6" s="206"/>
      <c r="AD6" s="196"/>
    </row>
    <row r="7" spans="1:30" s="195" customFormat="1" ht="15">
      <c r="A7" s="202" t="s">
        <v>254</v>
      </c>
      <c r="B7" s="207">
        <v>0.1</v>
      </c>
      <c r="C7" s="220">
        <f t="shared" ref="C7:Q7" si="0">C6*(1+$B$7)</f>
        <v>1.9014893333333334</v>
      </c>
      <c r="D7" s="220">
        <f t="shared" si="0"/>
        <v>4.0603493333333329</v>
      </c>
      <c r="E7" s="220">
        <f t="shared" si="0"/>
        <v>8.4171413333333351</v>
      </c>
      <c r="F7" s="220">
        <f t="shared" si="0"/>
        <v>2.9686983333333337</v>
      </c>
      <c r="G7" s="220">
        <f t="shared" si="0"/>
        <v>1.6440783333333335</v>
      </c>
      <c r="H7" s="220">
        <f t="shared" si="0"/>
        <v>1.3933333333333333</v>
      </c>
      <c r="I7" s="220">
        <f>I6*(1+$B$7)</f>
        <v>0</v>
      </c>
      <c r="J7" s="220">
        <f t="shared" si="0"/>
        <v>0</v>
      </c>
      <c r="K7" s="220">
        <f t="shared" si="0"/>
        <v>0</v>
      </c>
      <c r="L7" s="220">
        <f t="shared" si="0"/>
        <v>0</v>
      </c>
      <c r="M7" s="220">
        <f t="shared" si="0"/>
        <v>0</v>
      </c>
      <c r="N7" s="220">
        <f t="shared" si="0"/>
        <v>0</v>
      </c>
      <c r="O7" s="220">
        <f t="shared" si="0"/>
        <v>0</v>
      </c>
      <c r="P7" s="220">
        <f t="shared" si="0"/>
        <v>0</v>
      </c>
      <c r="Q7" s="220">
        <f t="shared" si="0"/>
        <v>0</v>
      </c>
      <c r="R7" s="220">
        <f t="shared" ref="R7:V7" si="1">R6*(1+$B$7)</f>
        <v>0</v>
      </c>
      <c r="S7" s="220">
        <f t="shared" si="1"/>
        <v>0</v>
      </c>
      <c r="T7" s="220">
        <f t="shared" si="1"/>
        <v>0</v>
      </c>
      <c r="U7" s="220">
        <f t="shared" si="1"/>
        <v>0</v>
      </c>
      <c r="V7" s="220">
        <f t="shared" si="1"/>
        <v>0</v>
      </c>
      <c r="W7" s="205"/>
      <c r="X7" s="206"/>
      <c r="AD7" s="196"/>
    </row>
    <row r="8" spans="1:30" s="195" customFormat="1" ht="15">
      <c r="A8" s="202" t="s">
        <v>255</v>
      </c>
      <c r="B8" s="207">
        <v>0.2</v>
      </c>
      <c r="C8" s="220">
        <f t="shared" ref="C8:Q8" si="2">C6*(1+$B$8)</f>
        <v>2.0743519999999998</v>
      </c>
      <c r="D8" s="220">
        <f t="shared" si="2"/>
        <v>4.4294719999999996</v>
      </c>
      <c r="E8" s="220">
        <f t="shared" si="2"/>
        <v>9.1823360000000012</v>
      </c>
      <c r="F8" s="220">
        <f t="shared" si="2"/>
        <v>3.2385799999999998</v>
      </c>
      <c r="G8" s="220">
        <f t="shared" si="2"/>
        <v>1.7935399999999999</v>
      </c>
      <c r="H8" s="220">
        <f t="shared" si="2"/>
        <v>1.5199999999999998</v>
      </c>
      <c r="I8" s="220">
        <f t="shared" si="2"/>
        <v>0</v>
      </c>
      <c r="J8" s="220">
        <f t="shared" si="2"/>
        <v>0</v>
      </c>
      <c r="K8" s="220">
        <f t="shared" si="2"/>
        <v>0</v>
      </c>
      <c r="L8" s="220">
        <f t="shared" si="2"/>
        <v>0</v>
      </c>
      <c r="M8" s="220">
        <f t="shared" si="2"/>
        <v>0</v>
      </c>
      <c r="N8" s="220">
        <f t="shared" si="2"/>
        <v>0</v>
      </c>
      <c r="O8" s="220">
        <f t="shared" si="2"/>
        <v>0</v>
      </c>
      <c r="P8" s="220">
        <f t="shared" si="2"/>
        <v>0</v>
      </c>
      <c r="Q8" s="220">
        <f t="shared" si="2"/>
        <v>0</v>
      </c>
      <c r="R8" s="220">
        <f t="shared" ref="R8:V8" si="3">R6*(1+$B$8)</f>
        <v>0</v>
      </c>
      <c r="S8" s="220">
        <f t="shared" si="3"/>
        <v>0</v>
      </c>
      <c r="T8" s="220">
        <f t="shared" si="3"/>
        <v>0</v>
      </c>
      <c r="U8" s="220">
        <f t="shared" si="3"/>
        <v>0</v>
      </c>
      <c r="V8" s="220">
        <f t="shared" si="3"/>
        <v>0</v>
      </c>
      <c r="W8" s="205"/>
      <c r="X8" s="206"/>
      <c r="AD8" s="196"/>
    </row>
    <row r="9" spans="1:30" s="195" customFormat="1" ht="15">
      <c r="A9" s="202" t="s">
        <v>256</v>
      </c>
      <c r="B9" s="207">
        <v>0.5</v>
      </c>
      <c r="C9" s="220">
        <f t="shared" ref="C9:Q9" si="4">C6*(1+$B$9)</f>
        <v>2.5929399999999996</v>
      </c>
      <c r="D9" s="220">
        <f t="shared" si="4"/>
        <v>5.5368399999999998</v>
      </c>
      <c r="E9" s="220">
        <f t="shared" si="4"/>
        <v>11.477920000000001</v>
      </c>
      <c r="F9" s="220">
        <f t="shared" si="4"/>
        <v>4.0482250000000004</v>
      </c>
      <c r="G9" s="220">
        <f t="shared" si="4"/>
        <v>2.2419250000000002</v>
      </c>
      <c r="H9" s="220">
        <f t="shared" si="4"/>
        <v>1.9</v>
      </c>
      <c r="I9" s="220">
        <f t="shared" si="4"/>
        <v>0</v>
      </c>
      <c r="J9" s="220">
        <f t="shared" si="4"/>
        <v>0</v>
      </c>
      <c r="K9" s="220">
        <f t="shared" si="4"/>
        <v>0</v>
      </c>
      <c r="L9" s="220">
        <f t="shared" si="4"/>
        <v>0</v>
      </c>
      <c r="M9" s="220">
        <f t="shared" si="4"/>
        <v>0</v>
      </c>
      <c r="N9" s="220">
        <f t="shared" si="4"/>
        <v>0</v>
      </c>
      <c r="O9" s="220">
        <f t="shared" si="4"/>
        <v>0</v>
      </c>
      <c r="P9" s="220">
        <f t="shared" si="4"/>
        <v>0</v>
      </c>
      <c r="Q9" s="220">
        <f t="shared" si="4"/>
        <v>0</v>
      </c>
      <c r="R9" s="220">
        <f t="shared" ref="R9:V9" si="5">R6*(1+$B$9)</f>
        <v>0</v>
      </c>
      <c r="S9" s="220">
        <f t="shared" si="5"/>
        <v>0</v>
      </c>
      <c r="T9" s="220">
        <f t="shared" si="5"/>
        <v>0</v>
      </c>
      <c r="U9" s="220">
        <f t="shared" si="5"/>
        <v>0</v>
      </c>
      <c r="V9" s="220">
        <f t="shared" si="5"/>
        <v>0</v>
      </c>
      <c r="W9" s="205"/>
      <c r="X9" s="206"/>
      <c r="AD9" s="196"/>
    </row>
    <row r="10" spans="1:30" s="195" customFormat="1" ht="15">
      <c r="A10" s="208" t="s">
        <v>257</v>
      </c>
      <c r="B10" s="209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5"/>
      <c r="X10" s="206"/>
      <c r="AD10" s="196"/>
    </row>
    <row r="11" spans="1:30" s="195" customFormat="1" ht="15">
      <c r="A11" s="202" t="s">
        <v>253</v>
      </c>
      <c r="B11" s="210"/>
      <c r="C11" s="221">
        <f>Aggregation!E42+'Output 2.1 Costs'!F49+'Output2.2 Costs'!M95</f>
        <v>3.2023959999999962E-3</v>
      </c>
      <c r="D11" s="221">
        <f>Aggregation!F42+'Output 2.1 Costs'!G49+'Output2.2 Costs'!N95</f>
        <v>0.38545595999999993</v>
      </c>
      <c r="E11" s="221">
        <f>Aggregation!G42+'Output 2.1 Costs'!H49+'Output2.2 Costs'!O95</f>
        <v>0.53207956800000089</v>
      </c>
      <c r="F11" s="221">
        <f>Aggregation!H42+'Output 2.1 Costs'!I49+'Output2.2 Costs'!P95</f>
        <v>2.176612042777641</v>
      </c>
      <c r="G11" s="221">
        <f>Aggregation!I42+'Output 2.1 Costs'!J49+'Output2.2 Costs'!Q95</f>
        <v>3.4315813135552822</v>
      </c>
      <c r="H11" s="221">
        <f>Aggregation!J42+'Output 2.1 Costs'!K49+'Output2.2 Costs'!R95</f>
        <v>4.8804205403329242</v>
      </c>
      <c r="I11" s="221">
        <f>Aggregation!K42</f>
        <v>4.8874080403329243</v>
      </c>
      <c r="J11" s="221">
        <f>Aggregation!L42</f>
        <v>4.8874080403329243</v>
      </c>
      <c r="K11" s="221">
        <f>Aggregation!M42</f>
        <v>4.8874080403329243</v>
      </c>
      <c r="L11" s="221">
        <f>Aggregation!N42</f>
        <v>4.8874080403329243</v>
      </c>
      <c r="M11" s="221">
        <f>Aggregation!O42</f>
        <v>4.8308681003329239</v>
      </c>
      <c r="N11" s="221">
        <f>Aggregation!P42</f>
        <v>4.6971982203329237</v>
      </c>
      <c r="O11" s="221">
        <f>Aggregation!Q42</f>
        <v>4.5798683403329239</v>
      </c>
      <c r="P11" s="221">
        <f>Aggregation!R42</f>
        <v>4.5430542403329239</v>
      </c>
      <c r="Q11" s="221">
        <f>Aggregation!S42</f>
        <v>4.5430542403329239</v>
      </c>
      <c r="R11" s="221">
        <f>Aggregation!T42</f>
        <v>4.5430542403329239</v>
      </c>
      <c r="S11" s="221">
        <f>Aggregation!U42</f>
        <v>4.5430542403329239</v>
      </c>
      <c r="T11" s="221">
        <f>Aggregation!V42</f>
        <v>4.5430542403329239</v>
      </c>
      <c r="U11" s="221">
        <f>Aggregation!W42</f>
        <v>0</v>
      </c>
      <c r="V11" s="221">
        <f>Aggregation!X42</f>
        <v>0</v>
      </c>
      <c r="W11" s="205"/>
      <c r="X11" s="206"/>
      <c r="AD11" s="196"/>
    </row>
    <row r="12" spans="1:30" s="195" customFormat="1" ht="15">
      <c r="A12" s="202" t="s">
        <v>258</v>
      </c>
      <c r="B12" s="207">
        <v>0.1</v>
      </c>
      <c r="C12" s="222">
        <f t="shared" ref="C12:Q12" si="6">C11*(1+$B$12)</f>
        <v>3.522635599999996E-3</v>
      </c>
      <c r="D12" s="222">
        <f t="shared" si="6"/>
        <v>0.42400155599999995</v>
      </c>
      <c r="E12" s="222">
        <f t="shared" si="6"/>
        <v>0.58528752480000101</v>
      </c>
      <c r="F12" s="222">
        <f t="shared" si="6"/>
        <v>2.3942732470554051</v>
      </c>
      <c r="G12" s="222">
        <f t="shared" si="6"/>
        <v>3.7747394449108107</v>
      </c>
      <c r="H12" s="222">
        <f t="shared" si="6"/>
        <v>5.3684625943662168</v>
      </c>
      <c r="I12" s="222">
        <f t="shared" si="6"/>
        <v>5.3761488443662175</v>
      </c>
      <c r="J12" s="222">
        <f t="shared" si="6"/>
        <v>5.3761488443662175</v>
      </c>
      <c r="K12" s="222">
        <f t="shared" si="6"/>
        <v>5.3761488443662175</v>
      </c>
      <c r="L12" s="222">
        <f t="shared" si="6"/>
        <v>5.3761488443662175</v>
      </c>
      <c r="M12" s="222">
        <f t="shared" si="6"/>
        <v>5.3139549103662169</v>
      </c>
      <c r="N12" s="222">
        <f t="shared" si="6"/>
        <v>5.1669180423662162</v>
      </c>
      <c r="O12" s="222">
        <f t="shared" si="6"/>
        <v>5.037855174366217</v>
      </c>
      <c r="P12" s="222">
        <f t="shared" si="6"/>
        <v>4.9973596643662166</v>
      </c>
      <c r="Q12" s="222">
        <f t="shared" si="6"/>
        <v>4.9973596643662166</v>
      </c>
      <c r="R12" s="222">
        <f t="shared" ref="R12:V12" si="7">R11*(1+$B$12)</f>
        <v>4.9973596643662166</v>
      </c>
      <c r="S12" s="222">
        <f t="shared" si="7"/>
        <v>4.9973596643662166</v>
      </c>
      <c r="T12" s="222">
        <f t="shared" si="7"/>
        <v>4.9973596643662166</v>
      </c>
      <c r="U12" s="222">
        <f t="shared" si="7"/>
        <v>0</v>
      </c>
      <c r="V12" s="222">
        <f t="shared" si="7"/>
        <v>0</v>
      </c>
      <c r="W12" s="205"/>
      <c r="X12" s="206"/>
      <c r="AD12" s="196"/>
    </row>
    <row r="13" spans="1:30" s="195" customFormat="1" ht="15">
      <c r="A13" s="202" t="s">
        <v>258</v>
      </c>
      <c r="B13" s="207">
        <v>0.2</v>
      </c>
      <c r="C13" s="222">
        <f t="shared" ref="C13:V13" si="8">C$11*(1+$B$13)</f>
        <v>3.8428751999999952E-3</v>
      </c>
      <c r="D13" s="222">
        <f t="shared" si="8"/>
        <v>0.46254715199999991</v>
      </c>
      <c r="E13" s="222">
        <f t="shared" si="8"/>
        <v>0.63849548160000102</v>
      </c>
      <c r="F13" s="222">
        <f t="shared" si="8"/>
        <v>2.6119344513331693</v>
      </c>
      <c r="G13" s="222">
        <f t="shared" si="8"/>
        <v>4.1178975762663388</v>
      </c>
      <c r="H13" s="222">
        <f t="shared" si="8"/>
        <v>5.8565046483995085</v>
      </c>
      <c r="I13" s="222">
        <f t="shared" si="8"/>
        <v>5.864889648399509</v>
      </c>
      <c r="J13" s="222">
        <f t="shared" si="8"/>
        <v>5.864889648399509</v>
      </c>
      <c r="K13" s="222">
        <f t="shared" si="8"/>
        <v>5.864889648399509</v>
      </c>
      <c r="L13" s="222">
        <f t="shared" si="8"/>
        <v>5.864889648399509</v>
      </c>
      <c r="M13" s="222">
        <f t="shared" si="8"/>
        <v>5.7970417203995082</v>
      </c>
      <c r="N13" s="222">
        <f t="shared" si="8"/>
        <v>5.6366378643995079</v>
      </c>
      <c r="O13" s="222">
        <f t="shared" si="8"/>
        <v>5.4958420083995083</v>
      </c>
      <c r="P13" s="222">
        <f t="shared" si="8"/>
        <v>5.4516650883995084</v>
      </c>
      <c r="Q13" s="222">
        <f t="shared" si="8"/>
        <v>5.4516650883995084</v>
      </c>
      <c r="R13" s="222">
        <f t="shared" si="8"/>
        <v>5.4516650883995084</v>
      </c>
      <c r="S13" s="222">
        <f t="shared" si="8"/>
        <v>5.4516650883995084</v>
      </c>
      <c r="T13" s="222">
        <f t="shared" si="8"/>
        <v>5.4516650883995084</v>
      </c>
      <c r="U13" s="222">
        <f t="shared" si="8"/>
        <v>0</v>
      </c>
      <c r="V13" s="222">
        <f t="shared" si="8"/>
        <v>0</v>
      </c>
      <c r="W13" s="205"/>
      <c r="X13" s="206"/>
      <c r="AD13" s="196"/>
    </row>
    <row r="14" spans="1:30" s="195" customFormat="1" ht="15">
      <c r="A14" s="202" t="s">
        <v>258</v>
      </c>
      <c r="B14" s="207">
        <v>0.3</v>
      </c>
      <c r="C14" s="222">
        <f t="shared" ref="C14:V14" si="9">C$11*(1+$B$14)</f>
        <v>4.1631147999999949E-3</v>
      </c>
      <c r="D14" s="222">
        <f t="shared" si="9"/>
        <v>0.50109274799999992</v>
      </c>
      <c r="E14" s="222">
        <f t="shared" si="9"/>
        <v>0.69170343840000115</v>
      </c>
      <c r="F14" s="222">
        <f t="shared" si="9"/>
        <v>2.8295956556109334</v>
      </c>
      <c r="G14" s="222">
        <f t="shared" si="9"/>
        <v>4.4610557076218669</v>
      </c>
      <c r="H14" s="222">
        <f t="shared" si="9"/>
        <v>6.3445467024328019</v>
      </c>
      <c r="I14" s="222">
        <f t="shared" si="9"/>
        <v>6.3536304524328022</v>
      </c>
      <c r="J14" s="222">
        <f t="shared" si="9"/>
        <v>6.3536304524328022</v>
      </c>
      <c r="K14" s="222">
        <f t="shared" si="9"/>
        <v>6.3536304524328022</v>
      </c>
      <c r="L14" s="222">
        <f t="shared" si="9"/>
        <v>6.3536304524328022</v>
      </c>
      <c r="M14" s="222">
        <f t="shared" si="9"/>
        <v>6.2801285304328012</v>
      </c>
      <c r="N14" s="222">
        <f t="shared" si="9"/>
        <v>6.1063576864328013</v>
      </c>
      <c r="O14" s="222">
        <f t="shared" si="9"/>
        <v>5.9538288424328014</v>
      </c>
      <c r="P14" s="222">
        <f t="shared" si="9"/>
        <v>5.905970512432801</v>
      </c>
      <c r="Q14" s="222">
        <f t="shared" si="9"/>
        <v>5.905970512432801</v>
      </c>
      <c r="R14" s="222">
        <f t="shared" si="9"/>
        <v>5.905970512432801</v>
      </c>
      <c r="S14" s="222">
        <f t="shared" si="9"/>
        <v>5.905970512432801</v>
      </c>
      <c r="T14" s="222">
        <f t="shared" si="9"/>
        <v>5.905970512432801</v>
      </c>
      <c r="U14" s="222">
        <f t="shared" si="9"/>
        <v>0</v>
      </c>
      <c r="V14" s="222">
        <f t="shared" si="9"/>
        <v>0</v>
      </c>
      <c r="W14" s="205"/>
      <c r="X14" s="206"/>
      <c r="AD14" s="196"/>
    </row>
    <row r="15" spans="1:30" s="195" customFormat="1" ht="15">
      <c r="A15" s="202" t="s">
        <v>259</v>
      </c>
      <c r="B15" s="207">
        <v>0.1</v>
      </c>
      <c r="C15" s="222">
        <f t="shared" ref="C15:V15" si="10">C$11*(1-$B$15)</f>
        <v>2.8821563999999965E-3</v>
      </c>
      <c r="D15" s="222">
        <f t="shared" si="10"/>
        <v>0.34691036399999997</v>
      </c>
      <c r="E15" s="222">
        <f t="shared" si="10"/>
        <v>0.47887161120000082</v>
      </c>
      <c r="F15" s="222">
        <f t="shared" si="10"/>
        <v>1.9589508384998768</v>
      </c>
      <c r="G15" s="222">
        <f t="shared" si="10"/>
        <v>3.0884231821997541</v>
      </c>
      <c r="H15" s="222">
        <f t="shared" si="10"/>
        <v>4.3923784862996316</v>
      </c>
      <c r="I15" s="222">
        <f t="shared" si="10"/>
        <v>4.398667236299632</v>
      </c>
      <c r="J15" s="222">
        <f t="shared" si="10"/>
        <v>4.398667236299632</v>
      </c>
      <c r="K15" s="222">
        <f t="shared" si="10"/>
        <v>4.398667236299632</v>
      </c>
      <c r="L15" s="222">
        <f t="shared" si="10"/>
        <v>4.398667236299632</v>
      </c>
      <c r="M15" s="222">
        <f t="shared" si="10"/>
        <v>4.3477812902996318</v>
      </c>
      <c r="N15" s="222">
        <f t="shared" si="10"/>
        <v>4.2274783982996311</v>
      </c>
      <c r="O15" s="222">
        <f t="shared" si="10"/>
        <v>4.1218815062996317</v>
      </c>
      <c r="P15" s="222">
        <f t="shared" si="10"/>
        <v>4.0887488162996313</v>
      </c>
      <c r="Q15" s="222">
        <f t="shared" si="10"/>
        <v>4.0887488162996313</v>
      </c>
      <c r="R15" s="222">
        <f t="shared" si="10"/>
        <v>4.0887488162996313</v>
      </c>
      <c r="S15" s="222">
        <f t="shared" si="10"/>
        <v>4.0887488162996313</v>
      </c>
      <c r="T15" s="222">
        <f t="shared" si="10"/>
        <v>4.0887488162996313</v>
      </c>
      <c r="U15" s="222">
        <f t="shared" si="10"/>
        <v>0</v>
      </c>
      <c r="V15" s="222">
        <f t="shared" si="10"/>
        <v>0</v>
      </c>
      <c r="W15" s="205"/>
      <c r="X15" s="206"/>
      <c r="AD15" s="196"/>
    </row>
    <row r="16" spans="1:30" s="195" customFormat="1" ht="15">
      <c r="A16" s="202" t="s">
        <v>259</v>
      </c>
      <c r="B16" s="207">
        <v>0.2</v>
      </c>
      <c r="C16" s="222">
        <f t="shared" ref="C16:V16" si="11">C$11*(1-$B$16)</f>
        <v>2.5619167999999973E-3</v>
      </c>
      <c r="D16" s="222">
        <f t="shared" si="11"/>
        <v>0.30836476799999996</v>
      </c>
      <c r="E16" s="222">
        <f t="shared" si="11"/>
        <v>0.42566365440000076</v>
      </c>
      <c r="F16" s="222">
        <f t="shared" si="11"/>
        <v>1.7412896342221129</v>
      </c>
      <c r="G16" s="222">
        <f t="shared" si="11"/>
        <v>2.745265050844226</v>
      </c>
      <c r="H16" s="222">
        <f t="shared" si="11"/>
        <v>3.9043364322663394</v>
      </c>
      <c r="I16" s="222">
        <f t="shared" si="11"/>
        <v>3.9099264322663396</v>
      </c>
      <c r="J16" s="222">
        <f t="shared" si="11"/>
        <v>3.9099264322663396</v>
      </c>
      <c r="K16" s="222">
        <f t="shared" si="11"/>
        <v>3.9099264322663396</v>
      </c>
      <c r="L16" s="222">
        <f t="shared" si="11"/>
        <v>3.9099264322663396</v>
      </c>
      <c r="M16" s="222">
        <f t="shared" si="11"/>
        <v>3.8646944802663392</v>
      </c>
      <c r="N16" s="222">
        <f t="shared" si="11"/>
        <v>3.757758576266339</v>
      </c>
      <c r="O16" s="222">
        <f t="shared" si="11"/>
        <v>3.6638946722663395</v>
      </c>
      <c r="P16" s="222">
        <f t="shared" si="11"/>
        <v>3.6344433922663395</v>
      </c>
      <c r="Q16" s="222">
        <f t="shared" si="11"/>
        <v>3.6344433922663395</v>
      </c>
      <c r="R16" s="222">
        <f t="shared" si="11"/>
        <v>3.6344433922663395</v>
      </c>
      <c r="S16" s="222">
        <f t="shared" si="11"/>
        <v>3.6344433922663395</v>
      </c>
      <c r="T16" s="222">
        <f t="shared" si="11"/>
        <v>3.6344433922663395</v>
      </c>
      <c r="U16" s="222">
        <f t="shared" si="11"/>
        <v>0</v>
      </c>
      <c r="V16" s="222">
        <f t="shared" si="11"/>
        <v>0</v>
      </c>
      <c r="W16" s="205"/>
      <c r="X16" s="206"/>
      <c r="AD16" s="196"/>
    </row>
    <row r="17" spans="1:31" s="195" customFormat="1" ht="15">
      <c r="A17" s="202" t="s">
        <v>259</v>
      </c>
      <c r="B17" s="207">
        <v>0.3</v>
      </c>
      <c r="C17" s="222">
        <f t="shared" ref="C17:V17" si="12">C$11*(1-$B$17)</f>
        <v>2.2416771999999971E-3</v>
      </c>
      <c r="D17" s="222">
        <f t="shared" si="12"/>
        <v>0.26981917199999994</v>
      </c>
      <c r="E17" s="222">
        <f t="shared" si="12"/>
        <v>0.37245569760000058</v>
      </c>
      <c r="F17" s="222">
        <f t="shared" si="12"/>
        <v>1.5236284299443486</v>
      </c>
      <c r="G17" s="222">
        <f t="shared" si="12"/>
        <v>2.4021069194886975</v>
      </c>
      <c r="H17" s="222">
        <f t="shared" si="12"/>
        <v>3.4162943782330468</v>
      </c>
      <c r="I17" s="222">
        <f t="shared" si="12"/>
        <v>3.4211856282330468</v>
      </c>
      <c r="J17" s="222">
        <f t="shared" si="12"/>
        <v>3.4211856282330468</v>
      </c>
      <c r="K17" s="222">
        <f t="shared" si="12"/>
        <v>3.4211856282330468</v>
      </c>
      <c r="L17" s="222">
        <f t="shared" si="12"/>
        <v>3.4211856282330468</v>
      </c>
      <c r="M17" s="222">
        <f t="shared" si="12"/>
        <v>3.3816076702330466</v>
      </c>
      <c r="N17" s="222">
        <f t="shared" si="12"/>
        <v>3.2880387542330465</v>
      </c>
      <c r="O17" s="222">
        <f t="shared" si="12"/>
        <v>3.2059078382330464</v>
      </c>
      <c r="P17" s="222">
        <f t="shared" si="12"/>
        <v>3.1801379682330464</v>
      </c>
      <c r="Q17" s="222">
        <f t="shared" si="12"/>
        <v>3.1801379682330464</v>
      </c>
      <c r="R17" s="222">
        <f t="shared" si="12"/>
        <v>3.1801379682330464</v>
      </c>
      <c r="S17" s="222">
        <f t="shared" si="12"/>
        <v>3.1801379682330464</v>
      </c>
      <c r="T17" s="222">
        <f t="shared" si="12"/>
        <v>3.1801379682330464</v>
      </c>
      <c r="U17" s="222">
        <f t="shared" si="12"/>
        <v>0</v>
      </c>
      <c r="V17" s="222">
        <f t="shared" si="12"/>
        <v>0</v>
      </c>
      <c r="W17" s="205"/>
      <c r="X17" s="206"/>
      <c r="AD17" s="196"/>
    </row>
    <row r="18" spans="1:31" s="195" customFormat="1" ht="15">
      <c r="A18" s="202" t="s">
        <v>260</v>
      </c>
      <c r="B18" s="203"/>
      <c r="C18" s="222">
        <v>0</v>
      </c>
      <c r="D18" s="222">
        <f t="shared" ref="D18:Q18" si="13">C11</f>
        <v>3.2023959999999962E-3</v>
      </c>
      <c r="E18" s="222">
        <f t="shared" si="13"/>
        <v>0.38545595999999993</v>
      </c>
      <c r="F18" s="222">
        <f t="shared" si="13"/>
        <v>0.53207956800000089</v>
      </c>
      <c r="G18" s="222">
        <f t="shared" si="13"/>
        <v>2.176612042777641</v>
      </c>
      <c r="H18" s="222">
        <f t="shared" si="13"/>
        <v>3.4315813135552822</v>
      </c>
      <c r="I18" s="222">
        <f t="shared" si="13"/>
        <v>4.8804205403329242</v>
      </c>
      <c r="J18" s="222">
        <f t="shared" si="13"/>
        <v>4.8874080403329243</v>
      </c>
      <c r="K18" s="222">
        <f t="shared" si="13"/>
        <v>4.8874080403329243</v>
      </c>
      <c r="L18" s="222">
        <f t="shared" si="13"/>
        <v>4.8874080403329243</v>
      </c>
      <c r="M18" s="222">
        <f t="shared" si="13"/>
        <v>4.8874080403329243</v>
      </c>
      <c r="N18" s="222">
        <f t="shared" si="13"/>
        <v>4.8308681003329239</v>
      </c>
      <c r="O18" s="222">
        <f t="shared" si="13"/>
        <v>4.6971982203329237</v>
      </c>
      <c r="P18" s="222">
        <f t="shared" si="13"/>
        <v>4.5798683403329239</v>
      </c>
      <c r="Q18" s="222">
        <f t="shared" si="13"/>
        <v>4.5430542403329239</v>
      </c>
      <c r="R18" s="222">
        <f t="shared" ref="R18" si="14">Q11</f>
        <v>4.5430542403329239</v>
      </c>
      <c r="S18" s="222">
        <f t="shared" ref="S18" si="15">R11</f>
        <v>4.5430542403329239</v>
      </c>
      <c r="T18" s="222">
        <f t="shared" ref="T18" si="16">S11</f>
        <v>4.5430542403329239</v>
      </c>
      <c r="U18" s="222">
        <f t="shared" ref="U18" si="17">T11</f>
        <v>4.5430542403329239</v>
      </c>
      <c r="V18" s="222">
        <f t="shared" ref="V18" si="18">U11</f>
        <v>0</v>
      </c>
      <c r="W18" s="205"/>
      <c r="X18" s="206"/>
      <c r="AD18" s="196"/>
    </row>
    <row r="19" spans="1:31" s="195" customFormat="1" ht="15">
      <c r="A19" s="202" t="s">
        <v>261</v>
      </c>
      <c r="B19" s="203"/>
      <c r="C19" s="222">
        <v>0</v>
      </c>
      <c r="D19" s="222">
        <v>0</v>
      </c>
      <c r="E19" s="222">
        <f t="shared" ref="E19:Q19" si="19">C11</f>
        <v>3.2023959999999962E-3</v>
      </c>
      <c r="F19" s="222">
        <f t="shared" si="19"/>
        <v>0.38545595999999993</v>
      </c>
      <c r="G19" s="222">
        <f t="shared" si="19"/>
        <v>0.53207956800000089</v>
      </c>
      <c r="H19" s="222">
        <f t="shared" si="19"/>
        <v>2.176612042777641</v>
      </c>
      <c r="I19" s="222">
        <f t="shared" si="19"/>
        <v>3.4315813135552822</v>
      </c>
      <c r="J19" s="222">
        <f t="shared" si="19"/>
        <v>4.8804205403329242</v>
      </c>
      <c r="K19" s="222">
        <f t="shared" si="19"/>
        <v>4.8874080403329243</v>
      </c>
      <c r="L19" s="222">
        <f t="shared" si="19"/>
        <v>4.8874080403329243</v>
      </c>
      <c r="M19" s="222">
        <f t="shared" si="19"/>
        <v>4.8874080403329243</v>
      </c>
      <c r="N19" s="222">
        <f t="shared" si="19"/>
        <v>4.8874080403329243</v>
      </c>
      <c r="O19" s="222">
        <f t="shared" si="19"/>
        <v>4.8308681003329239</v>
      </c>
      <c r="P19" s="222">
        <f t="shared" si="19"/>
        <v>4.6971982203329237</v>
      </c>
      <c r="Q19" s="222">
        <f t="shared" si="19"/>
        <v>4.5798683403329239</v>
      </c>
      <c r="R19" s="222">
        <f t="shared" ref="R19" si="20">P11</f>
        <v>4.5430542403329239</v>
      </c>
      <c r="S19" s="222">
        <f t="shared" ref="S19" si="21">Q11</f>
        <v>4.5430542403329239</v>
      </c>
      <c r="T19" s="222">
        <f t="shared" ref="T19" si="22">R11</f>
        <v>4.5430542403329239</v>
      </c>
      <c r="U19" s="222">
        <f t="shared" ref="U19" si="23">S11</f>
        <v>4.5430542403329239</v>
      </c>
      <c r="V19" s="222">
        <f t="shared" ref="V19" si="24">T11</f>
        <v>4.5430542403329239</v>
      </c>
      <c r="W19" s="205"/>
      <c r="X19" s="206"/>
      <c r="AD19" s="196"/>
    </row>
    <row r="20" spans="1:31" s="195" customFormat="1" ht="15.75" thickBot="1">
      <c r="A20" s="202" t="s">
        <v>262</v>
      </c>
      <c r="B20" s="203"/>
      <c r="C20" s="222">
        <v>0</v>
      </c>
      <c r="D20" s="222">
        <v>0</v>
      </c>
      <c r="E20" s="222">
        <v>0</v>
      </c>
      <c r="F20" s="222">
        <f t="shared" ref="F20:Q20" si="25">C11</f>
        <v>3.2023959999999962E-3</v>
      </c>
      <c r="G20" s="222">
        <f t="shared" si="25"/>
        <v>0.38545595999999993</v>
      </c>
      <c r="H20" s="222">
        <f t="shared" si="25"/>
        <v>0.53207956800000089</v>
      </c>
      <c r="I20" s="222">
        <f t="shared" si="25"/>
        <v>2.176612042777641</v>
      </c>
      <c r="J20" s="222">
        <f t="shared" si="25"/>
        <v>3.4315813135552822</v>
      </c>
      <c r="K20" s="222">
        <f t="shared" si="25"/>
        <v>4.8804205403329242</v>
      </c>
      <c r="L20" s="222">
        <f t="shared" si="25"/>
        <v>4.8874080403329243</v>
      </c>
      <c r="M20" s="222">
        <f t="shared" si="25"/>
        <v>4.8874080403329243</v>
      </c>
      <c r="N20" s="222">
        <f t="shared" si="25"/>
        <v>4.8874080403329243</v>
      </c>
      <c r="O20" s="222">
        <f t="shared" si="25"/>
        <v>4.8874080403329243</v>
      </c>
      <c r="P20" s="222">
        <f t="shared" si="25"/>
        <v>4.8308681003329239</v>
      </c>
      <c r="Q20" s="222">
        <f t="shared" si="25"/>
        <v>4.6971982203329237</v>
      </c>
      <c r="R20" s="222">
        <f t="shared" ref="R20" si="26">O11</f>
        <v>4.5798683403329239</v>
      </c>
      <c r="S20" s="222">
        <f t="shared" ref="S20" si="27">P11</f>
        <v>4.5430542403329239</v>
      </c>
      <c r="T20" s="222">
        <f t="shared" ref="T20" si="28">Q11</f>
        <v>4.5430542403329239</v>
      </c>
      <c r="U20" s="222">
        <f t="shared" ref="U20" si="29">R11</f>
        <v>4.5430542403329239</v>
      </c>
      <c r="V20" s="222">
        <f t="shared" ref="V20" si="30">S11</f>
        <v>4.5430542403329239</v>
      </c>
      <c r="W20" s="205"/>
      <c r="X20" s="206"/>
      <c r="AD20" s="196"/>
    </row>
    <row r="21" spans="1:31" s="195" customFormat="1" ht="15.75" thickBot="1">
      <c r="A21" s="202" t="s">
        <v>263</v>
      </c>
      <c r="B21" s="203"/>
      <c r="C21" s="222">
        <v>0</v>
      </c>
      <c r="D21" s="222">
        <v>0</v>
      </c>
      <c r="E21" s="222">
        <v>0</v>
      </c>
      <c r="F21" s="222">
        <v>0</v>
      </c>
      <c r="G21" s="222">
        <f t="shared" ref="G21:Q21" si="31">C11</f>
        <v>3.2023959999999962E-3</v>
      </c>
      <c r="H21" s="222">
        <f t="shared" si="31"/>
        <v>0.38545595999999993</v>
      </c>
      <c r="I21" s="222">
        <f t="shared" si="31"/>
        <v>0.53207956800000089</v>
      </c>
      <c r="J21" s="222">
        <f t="shared" si="31"/>
        <v>2.176612042777641</v>
      </c>
      <c r="K21" s="222">
        <f t="shared" si="31"/>
        <v>3.4315813135552822</v>
      </c>
      <c r="L21" s="222">
        <f t="shared" si="31"/>
        <v>4.8804205403329242</v>
      </c>
      <c r="M21" s="222">
        <f t="shared" si="31"/>
        <v>4.8874080403329243</v>
      </c>
      <c r="N21" s="222">
        <f t="shared" si="31"/>
        <v>4.8874080403329243</v>
      </c>
      <c r="O21" s="222">
        <f t="shared" si="31"/>
        <v>4.8874080403329243</v>
      </c>
      <c r="P21" s="222">
        <f t="shared" si="31"/>
        <v>4.8874080403329243</v>
      </c>
      <c r="Q21" s="222">
        <f t="shared" si="31"/>
        <v>4.8308681003329239</v>
      </c>
      <c r="R21" s="222">
        <f t="shared" ref="R21" si="32">N11</f>
        <v>4.6971982203329237</v>
      </c>
      <c r="S21" s="222">
        <f t="shared" ref="S21" si="33">O11</f>
        <v>4.5798683403329239</v>
      </c>
      <c r="T21" s="222">
        <f t="shared" ref="T21" si="34">P11</f>
        <v>4.5430542403329239</v>
      </c>
      <c r="U21" s="222">
        <f t="shared" ref="U21" si="35">Q11</f>
        <v>4.5430542403329239</v>
      </c>
      <c r="V21" s="222">
        <f t="shared" ref="V21" si="36">R11</f>
        <v>4.5430542403329239</v>
      </c>
      <c r="W21" s="205"/>
      <c r="X21" s="206"/>
      <c r="AB21" s="432" t="s">
        <v>264</v>
      </c>
      <c r="AC21" s="433"/>
      <c r="AD21" s="434" t="s">
        <v>95</v>
      </c>
      <c r="AE21" s="236" t="s">
        <v>281</v>
      </c>
    </row>
    <row r="22" spans="1:31" s="195" customFormat="1" ht="15.75" thickBot="1">
      <c r="A22" s="208" t="s">
        <v>265</v>
      </c>
      <c r="B22" s="209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5"/>
      <c r="X22" s="206"/>
      <c r="AB22" s="227"/>
      <c r="AC22" s="228"/>
      <c r="AD22" s="435"/>
      <c r="AE22" s="229" t="s">
        <v>266</v>
      </c>
    </row>
    <row r="23" spans="1:31" s="195" customFormat="1" ht="15.75" thickBot="1">
      <c r="A23" s="202" t="s">
        <v>253</v>
      </c>
      <c r="B23" s="210"/>
      <c r="C23" s="222">
        <f t="shared" ref="C23:Q23" si="37">C11-C6</f>
        <v>-1.7254242706666665</v>
      </c>
      <c r="D23" s="222">
        <f t="shared" si="37"/>
        <v>-3.3057707066666664</v>
      </c>
      <c r="E23" s="222">
        <f t="shared" si="37"/>
        <v>-7.1198670986666661</v>
      </c>
      <c r="F23" s="222">
        <f t="shared" si="37"/>
        <v>-0.52220462388902567</v>
      </c>
      <c r="G23" s="222">
        <f t="shared" si="37"/>
        <v>1.9369646468886155</v>
      </c>
      <c r="H23" s="222">
        <f t="shared" si="37"/>
        <v>3.6137538736662576</v>
      </c>
      <c r="I23" s="222">
        <f t="shared" si="37"/>
        <v>4.8874080403329243</v>
      </c>
      <c r="J23" s="222">
        <f t="shared" si="37"/>
        <v>4.8874080403329243</v>
      </c>
      <c r="K23" s="222">
        <f t="shared" si="37"/>
        <v>4.8874080403329243</v>
      </c>
      <c r="L23" s="222">
        <f t="shared" si="37"/>
        <v>4.8874080403329243</v>
      </c>
      <c r="M23" s="222">
        <f t="shared" si="37"/>
        <v>4.8308681003329239</v>
      </c>
      <c r="N23" s="222">
        <f t="shared" si="37"/>
        <v>4.6971982203329237</v>
      </c>
      <c r="O23" s="222">
        <f t="shared" si="37"/>
        <v>4.5798683403329239</v>
      </c>
      <c r="P23" s="222">
        <f t="shared" si="37"/>
        <v>4.5430542403329239</v>
      </c>
      <c r="Q23" s="222">
        <f t="shared" si="37"/>
        <v>4.5430542403329239</v>
      </c>
      <c r="R23" s="222">
        <f t="shared" ref="R23:V23" si="38">R11-R6</f>
        <v>4.5430542403329239</v>
      </c>
      <c r="S23" s="222">
        <f t="shared" si="38"/>
        <v>4.5430542403329239</v>
      </c>
      <c r="T23" s="222">
        <f t="shared" si="38"/>
        <v>4.5430542403329239</v>
      </c>
      <c r="U23" s="222">
        <f t="shared" si="38"/>
        <v>0</v>
      </c>
      <c r="V23" s="222">
        <f t="shared" si="38"/>
        <v>0</v>
      </c>
      <c r="W23" s="211">
        <f>IRR(C23:V23)</f>
        <v>0.22039333847503295</v>
      </c>
      <c r="X23" s="223">
        <f>NPV(0.06,C23:V23)</f>
        <v>20.970845836054718</v>
      </c>
      <c r="AB23" s="230" t="s">
        <v>253</v>
      </c>
      <c r="AC23" s="231"/>
      <c r="AD23" s="232">
        <f>W23</f>
        <v>0.22039333847503295</v>
      </c>
      <c r="AE23" s="233">
        <f>X23</f>
        <v>20.970845836054718</v>
      </c>
    </row>
    <row r="24" spans="1:31" s="195" customFormat="1" ht="15.75" thickBot="1">
      <c r="A24" s="202" t="s">
        <v>254</v>
      </c>
      <c r="B24" s="207">
        <f>B7</f>
        <v>0.1</v>
      </c>
      <c r="C24" s="222">
        <f t="shared" ref="C24:Q24" si="39">C11-C7</f>
        <v>-1.8982869373333333</v>
      </c>
      <c r="D24" s="222">
        <f t="shared" si="39"/>
        <v>-3.6748933733333331</v>
      </c>
      <c r="E24" s="222">
        <f t="shared" si="39"/>
        <v>-7.8850617653333339</v>
      </c>
      <c r="F24" s="222">
        <f t="shared" si="39"/>
        <v>-0.79208629055569268</v>
      </c>
      <c r="G24" s="222">
        <f t="shared" si="39"/>
        <v>1.7875029802219486</v>
      </c>
      <c r="H24" s="222">
        <f t="shared" si="39"/>
        <v>3.4870872069995906</v>
      </c>
      <c r="I24" s="222">
        <f t="shared" si="39"/>
        <v>4.8874080403329243</v>
      </c>
      <c r="J24" s="222">
        <f t="shared" si="39"/>
        <v>4.8874080403329243</v>
      </c>
      <c r="K24" s="222">
        <f t="shared" si="39"/>
        <v>4.8874080403329243</v>
      </c>
      <c r="L24" s="222">
        <f t="shared" si="39"/>
        <v>4.8874080403329243</v>
      </c>
      <c r="M24" s="222">
        <f t="shared" si="39"/>
        <v>4.8308681003329239</v>
      </c>
      <c r="N24" s="222">
        <f t="shared" si="39"/>
        <v>4.6971982203329237</v>
      </c>
      <c r="O24" s="222">
        <f t="shared" si="39"/>
        <v>4.5798683403329239</v>
      </c>
      <c r="P24" s="222">
        <f t="shared" si="39"/>
        <v>4.5430542403329239</v>
      </c>
      <c r="Q24" s="222">
        <f t="shared" si="39"/>
        <v>4.5430542403329239</v>
      </c>
      <c r="R24" s="222">
        <f t="shared" ref="R24:V24" si="40">R11-R7</f>
        <v>4.5430542403329239</v>
      </c>
      <c r="S24" s="222">
        <f t="shared" si="40"/>
        <v>4.5430542403329239</v>
      </c>
      <c r="T24" s="222">
        <f t="shared" si="40"/>
        <v>4.5430542403329239</v>
      </c>
      <c r="U24" s="222">
        <f t="shared" si="40"/>
        <v>0</v>
      </c>
      <c r="V24" s="222">
        <f t="shared" si="40"/>
        <v>0</v>
      </c>
      <c r="W24" s="211">
        <f t="shared" ref="W24:W40" si="41">IRR(C24:V24)</f>
        <v>0.19846767053908132</v>
      </c>
      <c r="X24" s="223">
        <f t="shared" ref="X24:X40" si="42">NPV(0.06,C24:V24)</f>
        <v>19.422024780237969</v>
      </c>
      <c r="AB24" s="234" t="s">
        <v>267</v>
      </c>
      <c r="AC24" s="235">
        <v>0.1</v>
      </c>
      <c r="AD24" s="232">
        <f>W24</f>
        <v>0.19846767053908132</v>
      </c>
      <c r="AE24" s="233">
        <f>X24</f>
        <v>19.422024780237969</v>
      </c>
    </row>
    <row r="25" spans="1:31" s="195" customFormat="1" ht="15.75" thickBot="1">
      <c r="A25" s="202" t="s">
        <v>255</v>
      </c>
      <c r="B25" s="207">
        <f>B8</f>
        <v>0.2</v>
      </c>
      <c r="C25" s="222">
        <f t="shared" ref="C25:Q25" si="43">C11-C8</f>
        <v>-2.0711496039999999</v>
      </c>
      <c r="D25" s="222">
        <f t="shared" si="43"/>
        <v>-4.0440160399999998</v>
      </c>
      <c r="E25" s="222">
        <f t="shared" si="43"/>
        <v>-8.6502564320000008</v>
      </c>
      <c r="F25" s="222">
        <f t="shared" si="43"/>
        <v>-1.0619679572223588</v>
      </c>
      <c r="G25" s="222">
        <f t="shared" si="43"/>
        <v>1.6380413135552823</v>
      </c>
      <c r="H25" s="222">
        <f t="shared" si="43"/>
        <v>3.3604205403329246</v>
      </c>
      <c r="I25" s="222">
        <f t="shared" si="43"/>
        <v>4.8874080403329243</v>
      </c>
      <c r="J25" s="222">
        <f t="shared" si="43"/>
        <v>4.8874080403329243</v>
      </c>
      <c r="K25" s="222">
        <f t="shared" si="43"/>
        <v>4.8874080403329243</v>
      </c>
      <c r="L25" s="222">
        <f t="shared" si="43"/>
        <v>4.8874080403329243</v>
      </c>
      <c r="M25" s="222">
        <f t="shared" si="43"/>
        <v>4.8308681003329239</v>
      </c>
      <c r="N25" s="222">
        <f t="shared" si="43"/>
        <v>4.6971982203329237</v>
      </c>
      <c r="O25" s="222">
        <f t="shared" si="43"/>
        <v>4.5798683403329239</v>
      </c>
      <c r="P25" s="222">
        <f t="shared" si="43"/>
        <v>4.5430542403329239</v>
      </c>
      <c r="Q25" s="222">
        <f t="shared" si="43"/>
        <v>4.5430542403329239</v>
      </c>
      <c r="R25" s="222">
        <f t="shared" ref="R25:V25" si="44">R11-R8</f>
        <v>4.5430542403329239</v>
      </c>
      <c r="S25" s="222">
        <f t="shared" si="44"/>
        <v>4.5430542403329239</v>
      </c>
      <c r="T25" s="222">
        <f t="shared" si="44"/>
        <v>4.5430542403329239</v>
      </c>
      <c r="U25" s="222">
        <f t="shared" si="44"/>
        <v>0</v>
      </c>
      <c r="V25" s="222">
        <f t="shared" si="44"/>
        <v>0</v>
      </c>
      <c r="W25" s="211">
        <f t="shared" si="41"/>
        <v>0.17953492581570329</v>
      </c>
      <c r="X25" s="223">
        <f t="shared" si="42"/>
        <v>17.873203724421224</v>
      </c>
      <c r="AB25" s="234" t="s">
        <v>267</v>
      </c>
      <c r="AC25" s="235">
        <v>0.2</v>
      </c>
      <c r="AD25" s="232">
        <f t="shared" ref="AD25:AD26" si="45">W25</f>
        <v>0.17953492581570329</v>
      </c>
      <c r="AE25" s="233">
        <f>X25</f>
        <v>17.873203724421224</v>
      </c>
    </row>
    <row r="26" spans="1:31" s="195" customFormat="1" ht="15.75" thickBot="1">
      <c r="A26" s="202" t="s">
        <v>256</v>
      </c>
      <c r="B26" s="207">
        <f>B9</f>
        <v>0.5</v>
      </c>
      <c r="C26" s="222">
        <f t="shared" ref="C26:Q26" si="46">C11-C9</f>
        <v>-2.5897376039999997</v>
      </c>
      <c r="D26" s="222">
        <f t="shared" si="46"/>
        <v>-5.1513840399999999</v>
      </c>
      <c r="E26" s="222">
        <f t="shared" si="46"/>
        <v>-10.945840432000001</v>
      </c>
      <c r="F26" s="222">
        <f t="shared" si="46"/>
        <v>-1.8716129572223594</v>
      </c>
      <c r="G26" s="222">
        <f t="shared" si="46"/>
        <v>1.189656313555282</v>
      </c>
      <c r="H26" s="222">
        <f t="shared" si="46"/>
        <v>2.9804205403329243</v>
      </c>
      <c r="I26" s="222">
        <f t="shared" si="46"/>
        <v>4.8874080403329243</v>
      </c>
      <c r="J26" s="222">
        <f t="shared" si="46"/>
        <v>4.8874080403329243</v>
      </c>
      <c r="K26" s="222">
        <f t="shared" si="46"/>
        <v>4.8874080403329243</v>
      </c>
      <c r="L26" s="222">
        <f t="shared" si="46"/>
        <v>4.8874080403329243</v>
      </c>
      <c r="M26" s="222">
        <f t="shared" si="46"/>
        <v>4.8308681003329239</v>
      </c>
      <c r="N26" s="222">
        <f t="shared" si="46"/>
        <v>4.6971982203329237</v>
      </c>
      <c r="O26" s="222">
        <f t="shared" si="46"/>
        <v>4.5798683403329239</v>
      </c>
      <c r="P26" s="222">
        <f t="shared" si="46"/>
        <v>4.5430542403329239</v>
      </c>
      <c r="Q26" s="222">
        <f t="shared" si="46"/>
        <v>4.5430542403329239</v>
      </c>
      <c r="R26" s="222">
        <f t="shared" ref="R26:V26" si="47">R11-R9</f>
        <v>4.5430542403329239</v>
      </c>
      <c r="S26" s="222">
        <f t="shared" si="47"/>
        <v>4.5430542403329239</v>
      </c>
      <c r="T26" s="222">
        <f t="shared" si="47"/>
        <v>4.5430542403329239</v>
      </c>
      <c r="U26" s="222">
        <f t="shared" si="47"/>
        <v>0</v>
      </c>
      <c r="V26" s="222">
        <f t="shared" si="47"/>
        <v>0</v>
      </c>
      <c r="W26" s="211">
        <f t="shared" si="41"/>
        <v>0.13514490078333452</v>
      </c>
      <c r="X26" s="223">
        <f t="shared" si="42"/>
        <v>13.226740556970995</v>
      </c>
      <c r="AB26" s="234" t="s">
        <v>267</v>
      </c>
      <c r="AC26" s="235">
        <v>0.5</v>
      </c>
      <c r="AD26" s="232">
        <f t="shared" si="45"/>
        <v>0.13514490078333452</v>
      </c>
      <c r="AE26" s="233">
        <f>X26</f>
        <v>13.226740556970995</v>
      </c>
    </row>
    <row r="27" spans="1:31" s="195" customFormat="1" ht="15.75" thickBot="1">
      <c r="A27" s="202" t="s">
        <v>258</v>
      </c>
      <c r="B27" s="207">
        <f t="shared" ref="B27:B32" si="48">B12</f>
        <v>0.1</v>
      </c>
      <c r="C27" s="222">
        <f t="shared" ref="C27:Q27" si="49">C12-C6</f>
        <v>-1.7251040310666665</v>
      </c>
      <c r="D27" s="222">
        <f t="shared" si="49"/>
        <v>-3.2672251106666663</v>
      </c>
      <c r="E27" s="222">
        <f t="shared" si="49"/>
        <v>-7.0666591418666664</v>
      </c>
      <c r="F27" s="222">
        <f t="shared" si="49"/>
        <v>-0.30454341961126152</v>
      </c>
      <c r="G27" s="222">
        <f t="shared" si="49"/>
        <v>2.2801227782441442</v>
      </c>
      <c r="H27" s="222">
        <f t="shared" si="49"/>
        <v>4.1017959276995501</v>
      </c>
      <c r="I27" s="222">
        <f t="shared" si="49"/>
        <v>5.3761488443662175</v>
      </c>
      <c r="J27" s="222">
        <f t="shared" si="49"/>
        <v>5.3761488443662175</v>
      </c>
      <c r="K27" s="222">
        <f t="shared" si="49"/>
        <v>5.3761488443662175</v>
      </c>
      <c r="L27" s="222">
        <f t="shared" si="49"/>
        <v>5.3761488443662175</v>
      </c>
      <c r="M27" s="222">
        <f t="shared" si="49"/>
        <v>5.3139549103662169</v>
      </c>
      <c r="N27" s="222">
        <f t="shared" si="49"/>
        <v>5.1669180423662162</v>
      </c>
      <c r="O27" s="222">
        <f t="shared" si="49"/>
        <v>5.037855174366217</v>
      </c>
      <c r="P27" s="222">
        <f t="shared" si="49"/>
        <v>4.9973596643662166</v>
      </c>
      <c r="Q27" s="222">
        <f t="shared" si="49"/>
        <v>4.9973596643662166</v>
      </c>
      <c r="R27" s="222">
        <f t="shared" ref="R27:V27" si="50">R12-R6</f>
        <v>4.9973596643662166</v>
      </c>
      <c r="S27" s="222">
        <f t="shared" si="50"/>
        <v>4.9973596643662166</v>
      </c>
      <c r="T27" s="222">
        <f t="shared" si="50"/>
        <v>4.9973596643662166</v>
      </c>
      <c r="U27" s="222">
        <f t="shared" si="50"/>
        <v>0</v>
      </c>
      <c r="V27" s="222">
        <f t="shared" si="50"/>
        <v>0</v>
      </c>
      <c r="W27" s="211">
        <f t="shared" si="41"/>
        <v>0.24367495561323782</v>
      </c>
      <c r="X27" s="223">
        <f t="shared" si="42"/>
        <v>24.616751475476931</v>
      </c>
      <c r="AB27" s="234" t="s">
        <v>268</v>
      </c>
      <c r="AC27" s="235">
        <v>0.1</v>
      </c>
      <c r="AD27" s="232">
        <f>W30</f>
        <v>0.19622974479433775</v>
      </c>
      <c r="AE27" s="233">
        <f>X30</f>
        <v>17.3249401966325</v>
      </c>
    </row>
    <row r="28" spans="1:31" s="195" customFormat="1" ht="15.75" thickBot="1">
      <c r="A28" s="202" t="s">
        <v>258</v>
      </c>
      <c r="B28" s="207">
        <f t="shared" si="48"/>
        <v>0.2</v>
      </c>
      <c r="C28" s="222">
        <f t="shared" ref="C28:Q28" si="51">C13-C6</f>
        <v>-1.7247837914666666</v>
      </c>
      <c r="D28" s="222">
        <f t="shared" si="51"/>
        <v>-3.2286795146666663</v>
      </c>
      <c r="E28" s="222">
        <f t="shared" si="51"/>
        <v>-7.0134511850666659</v>
      </c>
      <c r="F28" s="222">
        <f t="shared" si="51"/>
        <v>-8.6882215333497381E-2</v>
      </c>
      <c r="G28" s="222">
        <f t="shared" si="51"/>
        <v>2.6232809095996723</v>
      </c>
      <c r="H28" s="222">
        <f t="shared" si="51"/>
        <v>4.5898379817328419</v>
      </c>
      <c r="I28" s="222">
        <f t="shared" si="51"/>
        <v>5.864889648399509</v>
      </c>
      <c r="J28" s="222">
        <f t="shared" si="51"/>
        <v>5.864889648399509</v>
      </c>
      <c r="K28" s="222">
        <f t="shared" si="51"/>
        <v>5.864889648399509</v>
      </c>
      <c r="L28" s="222">
        <f t="shared" si="51"/>
        <v>5.864889648399509</v>
      </c>
      <c r="M28" s="222">
        <f t="shared" si="51"/>
        <v>5.7970417203995082</v>
      </c>
      <c r="N28" s="222">
        <f t="shared" si="51"/>
        <v>5.6366378643995079</v>
      </c>
      <c r="O28" s="222">
        <f t="shared" si="51"/>
        <v>5.4958420083995083</v>
      </c>
      <c r="P28" s="222">
        <f t="shared" si="51"/>
        <v>5.4516650883995084</v>
      </c>
      <c r="Q28" s="222">
        <f t="shared" si="51"/>
        <v>5.4516650883995084</v>
      </c>
      <c r="R28" s="222">
        <f t="shared" ref="R28:V28" si="52">R13-R6</f>
        <v>5.4516650883995084</v>
      </c>
      <c r="S28" s="222">
        <f t="shared" si="52"/>
        <v>5.4516650883995084</v>
      </c>
      <c r="T28" s="222">
        <f t="shared" si="52"/>
        <v>5.4516650883995084</v>
      </c>
      <c r="U28" s="222">
        <f t="shared" si="52"/>
        <v>0</v>
      </c>
      <c r="V28" s="222">
        <f t="shared" si="52"/>
        <v>0</v>
      </c>
      <c r="W28" s="211">
        <f t="shared" si="41"/>
        <v>0.26622278743139227</v>
      </c>
      <c r="X28" s="223">
        <f t="shared" si="42"/>
        <v>28.262657114899152</v>
      </c>
      <c r="AB28" s="234" t="s">
        <v>268</v>
      </c>
      <c r="AC28" s="235">
        <v>0.2</v>
      </c>
      <c r="AD28" s="232">
        <f t="shared" ref="AD28:AD29" si="53">W31</f>
        <v>0.17098452831590349</v>
      </c>
      <c r="AE28" s="233">
        <f t="shared" ref="AE28:AE33" si="54">X31</f>
        <v>13.679034557210286</v>
      </c>
    </row>
    <row r="29" spans="1:31" s="195" customFormat="1" ht="15.75" thickBot="1">
      <c r="A29" s="202" t="s">
        <v>258</v>
      </c>
      <c r="B29" s="207">
        <f t="shared" si="48"/>
        <v>0.3</v>
      </c>
      <c r="C29" s="222">
        <f t="shared" ref="C29:Q29" si="55">C14-C6</f>
        <v>-1.7244635518666664</v>
      </c>
      <c r="D29" s="222">
        <f t="shared" si="55"/>
        <v>-3.1901339186666662</v>
      </c>
      <c r="E29" s="222">
        <f t="shared" si="55"/>
        <v>-6.9602432282666662</v>
      </c>
      <c r="F29" s="222">
        <f t="shared" si="55"/>
        <v>0.13077898894426676</v>
      </c>
      <c r="G29" s="222">
        <f t="shared" si="55"/>
        <v>2.9664390409552004</v>
      </c>
      <c r="H29" s="222">
        <f t="shared" si="55"/>
        <v>5.0778800357661353</v>
      </c>
      <c r="I29" s="222">
        <f t="shared" si="55"/>
        <v>6.3536304524328022</v>
      </c>
      <c r="J29" s="222">
        <f t="shared" si="55"/>
        <v>6.3536304524328022</v>
      </c>
      <c r="K29" s="222">
        <f t="shared" si="55"/>
        <v>6.3536304524328022</v>
      </c>
      <c r="L29" s="222">
        <f t="shared" si="55"/>
        <v>6.3536304524328022</v>
      </c>
      <c r="M29" s="222">
        <f t="shared" si="55"/>
        <v>6.2801285304328012</v>
      </c>
      <c r="N29" s="222">
        <f t="shared" si="55"/>
        <v>6.1063576864328013</v>
      </c>
      <c r="O29" s="222">
        <f t="shared" si="55"/>
        <v>5.9538288424328014</v>
      </c>
      <c r="P29" s="222">
        <f t="shared" si="55"/>
        <v>5.905970512432801</v>
      </c>
      <c r="Q29" s="222">
        <f t="shared" si="55"/>
        <v>5.905970512432801</v>
      </c>
      <c r="R29" s="222">
        <f t="shared" ref="R29:V29" si="56">R14-R6</f>
        <v>5.905970512432801</v>
      </c>
      <c r="S29" s="222">
        <f t="shared" si="56"/>
        <v>5.905970512432801</v>
      </c>
      <c r="T29" s="222">
        <f t="shared" si="56"/>
        <v>5.905970512432801</v>
      </c>
      <c r="U29" s="222">
        <f t="shared" si="56"/>
        <v>0</v>
      </c>
      <c r="V29" s="222">
        <f t="shared" si="56"/>
        <v>0</v>
      </c>
      <c r="W29" s="211">
        <f t="shared" si="41"/>
        <v>0.28814979094265847</v>
      </c>
      <c r="X29" s="223">
        <f t="shared" si="42"/>
        <v>31.90856275432137</v>
      </c>
      <c r="AB29" s="234" t="s">
        <v>268</v>
      </c>
      <c r="AC29" s="235">
        <v>0.3</v>
      </c>
      <c r="AD29" s="232">
        <f t="shared" si="53"/>
        <v>0.1265649817103629</v>
      </c>
      <c r="AE29" s="233">
        <f t="shared" si="54"/>
        <v>8.4843078619713221</v>
      </c>
    </row>
    <row r="30" spans="1:31" s="195" customFormat="1" ht="15.75" thickBot="1">
      <c r="A30" s="202" t="s">
        <v>259</v>
      </c>
      <c r="B30" s="207">
        <f t="shared" si="48"/>
        <v>0.1</v>
      </c>
      <c r="C30" s="222">
        <f t="shared" ref="C30:Q30" si="57">C15-C6</f>
        <v>-1.7257445102666666</v>
      </c>
      <c r="D30" s="222">
        <f t="shared" si="57"/>
        <v>-3.344316302666666</v>
      </c>
      <c r="E30" s="222">
        <f t="shared" si="57"/>
        <v>-7.1730750554666667</v>
      </c>
      <c r="F30" s="222">
        <f t="shared" si="57"/>
        <v>-0.73986582816678981</v>
      </c>
      <c r="G30" s="222">
        <f t="shared" si="57"/>
        <v>1.5938065155330874</v>
      </c>
      <c r="H30" s="222">
        <f t="shared" si="57"/>
        <v>3.125711819632965</v>
      </c>
      <c r="I30" s="222">
        <f t="shared" si="57"/>
        <v>4.398667236299632</v>
      </c>
      <c r="J30" s="222">
        <f t="shared" si="57"/>
        <v>4.398667236299632</v>
      </c>
      <c r="K30" s="222">
        <f t="shared" si="57"/>
        <v>4.398667236299632</v>
      </c>
      <c r="L30" s="222">
        <f t="shared" si="57"/>
        <v>4.398667236299632</v>
      </c>
      <c r="M30" s="222">
        <f t="shared" si="57"/>
        <v>4.3477812902996318</v>
      </c>
      <c r="N30" s="222">
        <f t="shared" si="57"/>
        <v>4.2274783982996311</v>
      </c>
      <c r="O30" s="222">
        <f t="shared" si="57"/>
        <v>4.1218815062996317</v>
      </c>
      <c r="P30" s="222">
        <f t="shared" si="57"/>
        <v>4.0887488162996313</v>
      </c>
      <c r="Q30" s="222">
        <f t="shared" si="57"/>
        <v>4.0887488162996313</v>
      </c>
      <c r="R30" s="222">
        <f t="shared" ref="R30:V30" si="58">R15-R6</f>
        <v>4.0887488162996313</v>
      </c>
      <c r="S30" s="222">
        <f t="shared" si="58"/>
        <v>4.0887488162996313</v>
      </c>
      <c r="T30" s="222">
        <f t="shared" si="58"/>
        <v>4.0887488162996313</v>
      </c>
      <c r="U30" s="222">
        <f t="shared" si="58"/>
        <v>0</v>
      </c>
      <c r="V30" s="222">
        <f t="shared" si="58"/>
        <v>0</v>
      </c>
      <c r="W30" s="211">
        <f t="shared" si="41"/>
        <v>0.19622974479433775</v>
      </c>
      <c r="X30" s="223">
        <f t="shared" si="42"/>
        <v>17.3249401966325</v>
      </c>
      <c r="AB30" s="427" t="s">
        <v>269</v>
      </c>
      <c r="AC30" s="428"/>
      <c r="AD30" s="232">
        <f>W33</f>
        <v>0.18263776826547762</v>
      </c>
      <c r="AE30" s="233">
        <f t="shared" si="54"/>
        <v>18.907125662796854</v>
      </c>
    </row>
    <row r="31" spans="1:31" s="195" customFormat="1" ht="15.75" thickBot="1">
      <c r="A31" s="202" t="s">
        <v>259</v>
      </c>
      <c r="B31" s="207">
        <f t="shared" si="48"/>
        <v>0.2</v>
      </c>
      <c r="C31" s="222">
        <f t="shared" ref="C31:Q32" si="59">C16-C6</f>
        <v>-1.7260647498666666</v>
      </c>
      <c r="D31" s="222">
        <f t="shared" si="59"/>
        <v>-3.3828618986666661</v>
      </c>
      <c r="E31" s="222">
        <f t="shared" si="59"/>
        <v>-7.2262830122666664</v>
      </c>
      <c r="F31" s="222">
        <f t="shared" si="59"/>
        <v>-0.95752703244455373</v>
      </c>
      <c r="G31" s="222">
        <f t="shared" si="59"/>
        <v>1.2506483841775593</v>
      </c>
      <c r="H31" s="222">
        <f t="shared" si="59"/>
        <v>2.6376697655996728</v>
      </c>
      <c r="I31" s="222">
        <f t="shared" si="59"/>
        <v>3.9099264322663396</v>
      </c>
      <c r="J31" s="222">
        <f t="shared" si="59"/>
        <v>3.9099264322663396</v>
      </c>
      <c r="K31" s="222">
        <f t="shared" si="59"/>
        <v>3.9099264322663396</v>
      </c>
      <c r="L31" s="222">
        <f t="shared" si="59"/>
        <v>3.9099264322663396</v>
      </c>
      <c r="M31" s="222">
        <f t="shared" si="59"/>
        <v>3.8646944802663392</v>
      </c>
      <c r="N31" s="222">
        <f t="shared" si="59"/>
        <v>3.757758576266339</v>
      </c>
      <c r="O31" s="222">
        <f t="shared" si="59"/>
        <v>3.6638946722663395</v>
      </c>
      <c r="P31" s="222">
        <f t="shared" si="59"/>
        <v>3.6344433922663395</v>
      </c>
      <c r="Q31" s="222">
        <f t="shared" si="59"/>
        <v>3.6344433922663395</v>
      </c>
      <c r="R31" s="222">
        <f t="shared" ref="R31:V31" si="60">R16-R6</f>
        <v>3.6344433922663395</v>
      </c>
      <c r="S31" s="222">
        <f t="shared" si="60"/>
        <v>3.6344433922663395</v>
      </c>
      <c r="T31" s="222">
        <f t="shared" si="60"/>
        <v>3.6344433922663395</v>
      </c>
      <c r="U31" s="222">
        <f t="shared" si="60"/>
        <v>0</v>
      </c>
      <c r="V31" s="222">
        <f t="shared" si="60"/>
        <v>0</v>
      </c>
      <c r="W31" s="211">
        <f t="shared" si="41"/>
        <v>0.17098452831590349</v>
      </c>
      <c r="X31" s="223">
        <f t="shared" si="42"/>
        <v>13.679034557210286</v>
      </c>
      <c r="AB31" s="427" t="s">
        <v>270</v>
      </c>
      <c r="AC31" s="428"/>
      <c r="AD31" s="232">
        <f t="shared" ref="AD31:AD33" si="61">W34</f>
        <v>0.15706033960765597</v>
      </c>
      <c r="AE31" s="233">
        <f t="shared" si="54"/>
        <v>16.96021983896869</v>
      </c>
    </row>
    <row r="32" spans="1:31" s="195" customFormat="1" ht="15.75" thickBot="1">
      <c r="A32" s="202" t="s">
        <v>259</v>
      </c>
      <c r="B32" s="207">
        <f t="shared" si="48"/>
        <v>0.3</v>
      </c>
      <c r="C32" s="222">
        <f>C17-C7</f>
        <v>-1.8992476561333334</v>
      </c>
      <c r="D32" s="222">
        <f t="shared" si="59"/>
        <v>-3.7905301613333329</v>
      </c>
      <c r="E32" s="222">
        <f t="shared" si="59"/>
        <v>-8.0446856357333338</v>
      </c>
      <c r="F32" s="222">
        <f t="shared" si="59"/>
        <v>-1.4450699033889851</v>
      </c>
      <c r="G32" s="222">
        <f t="shared" si="59"/>
        <v>0.75802858615536395</v>
      </c>
      <c r="H32" s="222">
        <f t="shared" si="59"/>
        <v>2.0229610448997137</v>
      </c>
      <c r="I32" s="222">
        <f t="shared" si="59"/>
        <v>3.4211856282330468</v>
      </c>
      <c r="J32" s="222">
        <f t="shared" si="59"/>
        <v>3.4211856282330468</v>
      </c>
      <c r="K32" s="222">
        <f t="shared" si="59"/>
        <v>3.4211856282330468</v>
      </c>
      <c r="L32" s="222">
        <f t="shared" si="59"/>
        <v>3.4211856282330468</v>
      </c>
      <c r="M32" s="222">
        <f t="shared" si="59"/>
        <v>3.3816076702330466</v>
      </c>
      <c r="N32" s="222">
        <f t="shared" si="59"/>
        <v>3.2880387542330465</v>
      </c>
      <c r="O32" s="222">
        <f t="shared" si="59"/>
        <v>3.2059078382330464</v>
      </c>
      <c r="P32" s="222">
        <f t="shared" si="59"/>
        <v>3.1801379682330464</v>
      </c>
      <c r="Q32" s="222">
        <f t="shared" si="59"/>
        <v>3.1801379682330464</v>
      </c>
      <c r="R32" s="222">
        <f t="shared" ref="R32:V32" si="62">R17-R7</f>
        <v>3.1801379682330464</v>
      </c>
      <c r="S32" s="222">
        <f t="shared" si="62"/>
        <v>3.1801379682330464</v>
      </c>
      <c r="T32" s="222">
        <f t="shared" si="62"/>
        <v>3.1801379682330464</v>
      </c>
      <c r="U32" s="222">
        <f t="shared" si="62"/>
        <v>0</v>
      </c>
      <c r="V32" s="222">
        <f t="shared" si="62"/>
        <v>0</v>
      </c>
      <c r="W32" s="211">
        <f t="shared" si="41"/>
        <v>0.1265649817103629</v>
      </c>
      <c r="X32" s="223">
        <f t="shared" si="42"/>
        <v>8.4843078619713221</v>
      </c>
      <c r="AB32" s="427" t="s">
        <v>271</v>
      </c>
      <c r="AC32" s="428"/>
      <c r="AD32" s="232">
        <f t="shared" si="61"/>
        <v>0.13519509187716361</v>
      </c>
      <c r="AE32" s="233">
        <f t="shared" si="54"/>
        <v>13.787152281927325</v>
      </c>
    </row>
    <row r="33" spans="1:31" s="195" customFormat="1" ht="15.75" thickBot="1">
      <c r="A33" s="202" t="s">
        <v>260</v>
      </c>
      <c r="B33" s="207"/>
      <c r="C33" s="222">
        <f t="shared" ref="C33:Q33" si="63">C18-C6</f>
        <v>-1.7286266666666665</v>
      </c>
      <c r="D33" s="222">
        <f t="shared" si="63"/>
        <v>-3.6880242706666664</v>
      </c>
      <c r="E33" s="222">
        <f t="shared" si="63"/>
        <v>-7.2664907066666675</v>
      </c>
      <c r="F33" s="222">
        <f t="shared" si="63"/>
        <v>-2.1667370986666659</v>
      </c>
      <c r="G33" s="222">
        <f t="shared" si="63"/>
        <v>0.68199537611097427</v>
      </c>
      <c r="H33" s="222">
        <f t="shared" si="63"/>
        <v>2.1649146468886156</v>
      </c>
      <c r="I33" s="222">
        <f t="shared" si="63"/>
        <v>4.8804205403329242</v>
      </c>
      <c r="J33" s="222">
        <f t="shared" si="63"/>
        <v>4.8874080403329243</v>
      </c>
      <c r="K33" s="222">
        <f t="shared" si="63"/>
        <v>4.8874080403329243</v>
      </c>
      <c r="L33" s="222">
        <f t="shared" si="63"/>
        <v>4.8874080403329243</v>
      </c>
      <c r="M33" s="222">
        <f t="shared" si="63"/>
        <v>4.8874080403329243</v>
      </c>
      <c r="N33" s="222">
        <f t="shared" si="63"/>
        <v>4.8308681003329239</v>
      </c>
      <c r="O33" s="222">
        <f t="shared" si="63"/>
        <v>4.6971982203329237</v>
      </c>
      <c r="P33" s="222">
        <f t="shared" si="63"/>
        <v>4.5798683403329239</v>
      </c>
      <c r="Q33" s="222">
        <f t="shared" si="63"/>
        <v>4.5430542403329239</v>
      </c>
      <c r="R33" s="222">
        <f t="shared" ref="R33:V33" si="64">R18-R6</f>
        <v>4.5430542403329239</v>
      </c>
      <c r="S33" s="222">
        <f t="shared" si="64"/>
        <v>4.5430542403329239</v>
      </c>
      <c r="T33" s="222">
        <f t="shared" si="64"/>
        <v>4.5430542403329239</v>
      </c>
      <c r="U33" s="222">
        <f t="shared" si="64"/>
        <v>4.5430542403329239</v>
      </c>
      <c r="V33" s="222">
        <f t="shared" si="64"/>
        <v>0</v>
      </c>
      <c r="W33" s="211">
        <f t="shared" si="41"/>
        <v>0.18263776826547762</v>
      </c>
      <c r="X33" s="223">
        <f t="shared" si="42"/>
        <v>18.907125662796854</v>
      </c>
      <c r="AB33" s="427" t="s">
        <v>272</v>
      </c>
      <c r="AC33" s="428"/>
      <c r="AD33" s="232">
        <f t="shared" si="61"/>
        <v>0.11711306216682948</v>
      </c>
      <c r="AE33" s="233">
        <f t="shared" si="54"/>
        <v>10.793692322454344</v>
      </c>
    </row>
    <row r="34" spans="1:31" s="195" customFormat="1" ht="15.75" thickBot="1">
      <c r="A34" s="202" t="s">
        <v>261</v>
      </c>
      <c r="B34" s="207"/>
      <c r="C34" s="222">
        <f t="shared" ref="C34:Q34" si="65">C19-C6</f>
        <v>-1.7286266666666665</v>
      </c>
      <c r="D34" s="222">
        <f t="shared" si="65"/>
        <v>-3.6912266666666662</v>
      </c>
      <c r="E34" s="222">
        <f t="shared" si="65"/>
        <v>-7.6487442706666675</v>
      </c>
      <c r="F34" s="222">
        <f t="shared" si="65"/>
        <v>-2.3133607066666668</v>
      </c>
      <c r="G34" s="222">
        <f t="shared" si="65"/>
        <v>-0.96253709866666581</v>
      </c>
      <c r="H34" s="222">
        <f t="shared" si="65"/>
        <v>0.90994537611097437</v>
      </c>
      <c r="I34" s="222">
        <f t="shared" si="65"/>
        <v>3.4315813135552822</v>
      </c>
      <c r="J34" s="222">
        <f t="shared" si="65"/>
        <v>4.8804205403329242</v>
      </c>
      <c r="K34" s="222">
        <f t="shared" si="65"/>
        <v>4.8874080403329243</v>
      </c>
      <c r="L34" s="222">
        <f t="shared" si="65"/>
        <v>4.8874080403329243</v>
      </c>
      <c r="M34" s="222">
        <f t="shared" si="65"/>
        <v>4.8874080403329243</v>
      </c>
      <c r="N34" s="222">
        <f t="shared" si="65"/>
        <v>4.8874080403329243</v>
      </c>
      <c r="O34" s="222">
        <f t="shared" si="65"/>
        <v>4.8308681003329239</v>
      </c>
      <c r="P34" s="222">
        <f t="shared" si="65"/>
        <v>4.6971982203329237</v>
      </c>
      <c r="Q34" s="222">
        <f t="shared" si="65"/>
        <v>4.5798683403329239</v>
      </c>
      <c r="R34" s="222">
        <f t="shared" ref="R34:V34" si="66">R19-R6</f>
        <v>4.5430542403329239</v>
      </c>
      <c r="S34" s="222">
        <f t="shared" si="66"/>
        <v>4.5430542403329239</v>
      </c>
      <c r="T34" s="222">
        <f t="shared" si="66"/>
        <v>4.5430542403329239</v>
      </c>
      <c r="U34" s="222">
        <f t="shared" si="66"/>
        <v>4.5430542403329239</v>
      </c>
      <c r="V34" s="222">
        <f t="shared" si="66"/>
        <v>4.5430542403329239</v>
      </c>
      <c r="W34" s="211">
        <f t="shared" si="41"/>
        <v>0.15706033960765597</v>
      </c>
      <c r="X34" s="223">
        <f t="shared" si="42"/>
        <v>16.96021983896869</v>
      </c>
      <c r="AB34" s="234" t="s">
        <v>273</v>
      </c>
      <c r="AC34" s="235">
        <v>0.1</v>
      </c>
      <c r="AD34" s="232">
        <f>W39</f>
        <v>0.19933884438546867</v>
      </c>
      <c r="AE34" s="233">
        <f>X39</f>
        <v>19.323304775730655</v>
      </c>
    </row>
    <row r="35" spans="1:31" s="195" customFormat="1" ht="15.75" thickBot="1">
      <c r="A35" s="202" t="s">
        <v>262</v>
      </c>
      <c r="B35" s="207"/>
      <c r="C35" s="222">
        <f t="shared" ref="C35:Q35" si="67">C20-C6</f>
        <v>-1.7286266666666665</v>
      </c>
      <c r="D35" s="222">
        <f t="shared" si="67"/>
        <v>-3.6912266666666662</v>
      </c>
      <c r="E35" s="222">
        <f t="shared" si="67"/>
        <v>-7.6519466666666673</v>
      </c>
      <c r="F35" s="222">
        <f t="shared" si="67"/>
        <v>-2.6956142706666668</v>
      </c>
      <c r="G35" s="222">
        <f t="shared" si="67"/>
        <v>-1.1091607066666667</v>
      </c>
      <c r="H35" s="222">
        <f t="shared" si="67"/>
        <v>-0.73458709866666572</v>
      </c>
      <c r="I35" s="222">
        <f t="shared" si="67"/>
        <v>2.176612042777641</v>
      </c>
      <c r="J35" s="222">
        <f t="shared" si="67"/>
        <v>3.4315813135552822</v>
      </c>
      <c r="K35" s="222">
        <f t="shared" si="67"/>
        <v>4.8804205403329242</v>
      </c>
      <c r="L35" s="222">
        <f t="shared" si="67"/>
        <v>4.8874080403329243</v>
      </c>
      <c r="M35" s="222">
        <f t="shared" si="67"/>
        <v>4.8874080403329243</v>
      </c>
      <c r="N35" s="222">
        <f t="shared" si="67"/>
        <v>4.8874080403329243</v>
      </c>
      <c r="O35" s="222">
        <f t="shared" si="67"/>
        <v>4.8874080403329243</v>
      </c>
      <c r="P35" s="222">
        <f t="shared" si="67"/>
        <v>4.8308681003329239</v>
      </c>
      <c r="Q35" s="222">
        <f t="shared" si="67"/>
        <v>4.6971982203329237</v>
      </c>
      <c r="R35" s="222">
        <f t="shared" ref="R35:V35" si="68">R20-R6</f>
        <v>4.5798683403329239</v>
      </c>
      <c r="S35" s="222">
        <f t="shared" si="68"/>
        <v>4.5430542403329239</v>
      </c>
      <c r="T35" s="222">
        <f t="shared" si="68"/>
        <v>4.5430542403329239</v>
      </c>
      <c r="U35" s="222">
        <f t="shared" si="68"/>
        <v>4.5430542403329239</v>
      </c>
      <c r="V35" s="222">
        <f t="shared" si="68"/>
        <v>4.5430542403329239</v>
      </c>
      <c r="W35" s="211">
        <f t="shared" si="41"/>
        <v>0.13519509187716361</v>
      </c>
      <c r="X35" s="223">
        <f t="shared" si="42"/>
        <v>13.787152281927325</v>
      </c>
      <c r="AB35" s="234" t="s">
        <v>273</v>
      </c>
      <c r="AC35" s="235">
        <v>0.2</v>
      </c>
      <c r="AD35" s="232">
        <f>W40</f>
        <v>0.1636179592816307</v>
      </c>
      <c r="AE35" s="233">
        <f>X40</f>
        <v>14.137353493626577</v>
      </c>
    </row>
    <row r="36" spans="1:31" s="195" customFormat="1" ht="15.75" thickBot="1">
      <c r="A36" s="202" t="s">
        <v>263</v>
      </c>
      <c r="B36" s="207"/>
      <c r="C36" s="222">
        <f>C21-C6</f>
        <v>-1.7286266666666665</v>
      </c>
      <c r="D36" s="222">
        <f t="shared" ref="D36:Q36" si="69">D21-D6</f>
        <v>-3.6912266666666662</v>
      </c>
      <c r="E36" s="222">
        <f t="shared" si="69"/>
        <v>-7.6519466666666673</v>
      </c>
      <c r="F36" s="222">
        <f t="shared" si="69"/>
        <v>-2.6988166666666666</v>
      </c>
      <c r="G36" s="222">
        <f t="shared" si="69"/>
        <v>-1.4914142706666667</v>
      </c>
      <c r="H36" s="222">
        <f t="shared" si="69"/>
        <v>-0.88121070666666668</v>
      </c>
      <c r="I36" s="222">
        <f>I21-I6</f>
        <v>0.53207956800000089</v>
      </c>
      <c r="J36" s="222">
        <f t="shared" si="69"/>
        <v>2.176612042777641</v>
      </c>
      <c r="K36" s="222">
        <f t="shared" si="69"/>
        <v>3.4315813135552822</v>
      </c>
      <c r="L36" s="222">
        <f t="shared" si="69"/>
        <v>4.8804205403329242</v>
      </c>
      <c r="M36" s="222">
        <f t="shared" si="69"/>
        <v>4.8874080403329243</v>
      </c>
      <c r="N36" s="222">
        <f t="shared" si="69"/>
        <v>4.8874080403329243</v>
      </c>
      <c r="O36" s="222">
        <f t="shared" si="69"/>
        <v>4.8874080403329243</v>
      </c>
      <c r="P36" s="222">
        <f t="shared" si="69"/>
        <v>4.8874080403329243</v>
      </c>
      <c r="Q36" s="222">
        <f t="shared" si="69"/>
        <v>4.8308681003329239</v>
      </c>
      <c r="R36" s="222">
        <f t="shared" ref="R36:V36" si="70">R21-R6</f>
        <v>4.6971982203329237</v>
      </c>
      <c r="S36" s="222">
        <f t="shared" si="70"/>
        <v>4.5798683403329239</v>
      </c>
      <c r="T36" s="222">
        <f t="shared" si="70"/>
        <v>4.5430542403329239</v>
      </c>
      <c r="U36" s="222">
        <f t="shared" si="70"/>
        <v>4.5430542403329239</v>
      </c>
      <c r="V36" s="222">
        <f t="shared" si="70"/>
        <v>4.5430542403329239</v>
      </c>
      <c r="W36" s="211">
        <f t="shared" si="41"/>
        <v>0.11711306216682948</v>
      </c>
      <c r="X36" s="223">
        <f t="shared" si="42"/>
        <v>10.793692322454344</v>
      </c>
      <c r="AB36" s="234" t="s">
        <v>280</v>
      </c>
      <c r="AC36" s="235">
        <v>0.1</v>
      </c>
      <c r="AD36" s="232">
        <f>W37</f>
        <v>0.21188553376182884</v>
      </c>
      <c r="AE36" s="233">
        <f>X37</f>
        <v>20.486771688870682</v>
      </c>
    </row>
    <row r="37" spans="1:31" s="195" customFormat="1" ht="15.75" thickBot="1">
      <c r="A37" s="202" t="s">
        <v>278</v>
      </c>
      <c r="B37" s="207">
        <v>0.1</v>
      </c>
      <c r="C37" s="222">
        <v>-1.62571051026667</v>
      </c>
      <c r="D37" s="222">
        <v>-3.1321963026666668</v>
      </c>
      <c r="E37" s="222">
        <v>-6.7934420554666666</v>
      </c>
      <c r="F37" s="222">
        <v>-0.4247798281667895</v>
      </c>
      <c r="G37" s="222">
        <v>1.5694255155330872</v>
      </c>
      <c r="H37" s="222">
        <v>3.0809358196329644</v>
      </c>
      <c r="I37" s="222">
        <v>4.3538912362996296</v>
      </c>
      <c r="J37" s="222">
        <v>4.3538912362996314</v>
      </c>
      <c r="K37" s="222">
        <v>4.3538912362996314</v>
      </c>
      <c r="L37" s="222">
        <v>4.3538912362996314</v>
      </c>
      <c r="M37" s="222">
        <v>4.3043012902996312</v>
      </c>
      <c r="N37" s="222">
        <v>4.1878863982996313</v>
      </c>
      <c r="O37" s="222">
        <v>4.0848815062996318</v>
      </c>
      <c r="P37" s="222">
        <v>4.0517488162996314</v>
      </c>
      <c r="Q37" s="222">
        <v>4.0517488162996314</v>
      </c>
      <c r="R37" s="222">
        <v>4.0517488162996314</v>
      </c>
      <c r="S37" s="222">
        <v>4.0517488162996314</v>
      </c>
      <c r="T37" s="222">
        <v>4.0517488162996314</v>
      </c>
      <c r="U37" s="222">
        <v>4.0517488162996314</v>
      </c>
      <c r="V37" s="222">
        <v>4.0517488162996314</v>
      </c>
      <c r="W37" s="211">
        <f t="shared" si="41"/>
        <v>0.21188553376182884</v>
      </c>
      <c r="X37" s="223">
        <f t="shared" si="42"/>
        <v>20.486771688870682</v>
      </c>
      <c r="AB37" s="234" t="s">
        <v>280</v>
      </c>
      <c r="AC37" s="235">
        <v>0.2</v>
      </c>
      <c r="AD37" s="232">
        <f>W38</f>
        <v>0.18762158201905077</v>
      </c>
      <c r="AE37" s="233">
        <f>X38</f>
        <v>16.464287319906639</v>
      </c>
    </row>
    <row r="38" spans="1:31" s="195" customFormat="1" ht="15">
      <c r="A38" s="202" t="s">
        <v>278</v>
      </c>
      <c r="B38" s="207">
        <v>0.2</v>
      </c>
      <c r="C38" s="222">
        <v>-1.6055667498666666</v>
      </c>
      <c r="D38" s="222">
        <v>-3.0910818986666668</v>
      </c>
      <c r="E38" s="222">
        <v>-6.7659670122666666</v>
      </c>
      <c r="F38" s="222">
        <v>-0.59909503244455364</v>
      </c>
      <c r="G38" s="222">
        <v>1.2105263841775593</v>
      </c>
      <c r="H38" s="222">
        <v>2.5567577655996727</v>
      </c>
      <c r="I38" s="222">
        <v>3.8290144322663391</v>
      </c>
      <c r="J38" s="222">
        <v>3.8290144322663391</v>
      </c>
      <c r="K38" s="222">
        <v>3.8290144322663391</v>
      </c>
      <c r="L38" s="222">
        <v>3.8290144322663391</v>
      </c>
      <c r="M38" s="222">
        <v>3.7849344802663394</v>
      </c>
      <c r="N38" s="222">
        <v>3.6814545762663391</v>
      </c>
      <c r="O38" s="222">
        <v>3.5898946722663392</v>
      </c>
      <c r="P38" s="222">
        <v>3.5604433922663392</v>
      </c>
      <c r="Q38" s="222">
        <v>3.5604433922663392</v>
      </c>
      <c r="R38" s="222">
        <v>3.5604433922663392</v>
      </c>
      <c r="S38" s="222">
        <v>3.5604433922663392</v>
      </c>
      <c r="T38" s="222">
        <v>3.5604433922663392</v>
      </c>
      <c r="U38" s="222">
        <v>3.5604433922663392</v>
      </c>
      <c r="V38" s="222">
        <v>3.5604433922663392</v>
      </c>
      <c r="W38" s="211">
        <f t="shared" si="41"/>
        <v>0.18762158201905077</v>
      </c>
      <c r="X38" s="223">
        <f t="shared" si="42"/>
        <v>16.464287319906639</v>
      </c>
      <c r="AA38" s="214"/>
      <c r="AD38" s="196"/>
    </row>
    <row r="39" spans="1:31" s="195" customFormat="1" ht="15">
      <c r="A39" s="202" t="s">
        <v>274</v>
      </c>
      <c r="B39" s="207">
        <v>0.1</v>
      </c>
      <c r="C39" s="222">
        <v>-1.6741480602666665</v>
      </c>
      <c r="D39" s="222">
        <v>-3.2722102026666668</v>
      </c>
      <c r="E39" s="222">
        <v>-6.9808385554666659</v>
      </c>
      <c r="F39" s="222">
        <v>-0.59504637816678985</v>
      </c>
      <c r="G39" s="222">
        <v>1.4161677155330867</v>
      </c>
      <c r="H39" s="222">
        <v>2.9276780196329648</v>
      </c>
      <c r="I39" s="222">
        <v>4.20063343629963</v>
      </c>
      <c r="J39" s="222">
        <v>4.2006334362996309</v>
      </c>
      <c r="K39" s="222">
        <v>4.2006334362996309</v>
      </c>
      <c r="L39" s="222">
        <v>4.2006334362996309</v>
      </c>
      <c r="M39" s="222">
        <v>4.176822290299631</v>
      </c>
      <c r="N39" s="222">
        <v>4.1248999982996315</v>
      </c>
      <c r="O39" s="222">
        <v>4.073027706299631</v>
      </c>
      <c r="P39" s="222">
        <v>4.0517488162996314</v>
      </c>
      <c r="Q39" s="222">
        <v>4.0517488162996314</v>
      </c>
      <c r="R39" s="222">
        <v>4.0517488162996314</v>
      </c>
      <c r="S39" s="222">
        <v>4.0517488162996314</v>
      </c>
      <c r="T39" s="222">
        <v>4.0517488162996314</v>
      </c>
      <c r="U39" s="222">
        <v>4.0517488162996314</v>
      </c>
      <c r="V39" s="222">
        <v>4.0517488162996314</v>
      </c>
      <c r="W39" s="211">
        <f>IRR(C39:V39)</f>
        <v>0.19933884438546867</v>
      </c>
      <c r="X39" s="223">
        <f t="shared" si="42"/>
        <v>19.323304775730655</v>
      </c>
      <c r="AD39" s="196"/>
    </row>
    <row r="40" spans="1:31" s="195" customFormat="1" ht="17.25" customHeight="1">
      <c r="A40" s="202" t="s">
        <v>274</v>
      </c>
      <c r="B40" s="207">
        <v>0.2</v>
      </c>
      <c r="C40" s="222">
        <v>-1.7024418498666667</v>
      </c>
      <c r="D40" s="222">
        <v>-3.3711096986666664</v>
      </c>
      <c r="E40" s="222">
        <v>-7.1407600122666661</v>
      </c>
      <c r="F40" s="222">
        <v>-0.93962813244455379</v>
      </c>
      <c r="G40" s="222">
        <v>0.90401078417755887</v>
      </c>
      <c r="H40" s="222">
        <v>2.2502421655996723</v>
      </c>
      <c r="I40" s="222">
        <v>3.5224988322663386</v>
      </c>
      <c r="J40" s="222">
        <v>3.5224988322663386</v>
      </c>
      <c r="K40" s="222">
        <v>3.5224988322663386</v>
      </c>
      <c r="L40" s="222">
        <v>3.5224988322663386</v>
      </c>
      <c r="M40" s="222">
        <v>3.5299764802663387</v>
      </c>
      <c r="N40" s="222">
        <v>3.5554817762663387</v>
      </c>
      <c r="O40" s="222">
        <v>3.5661870722663389</v>
      </c>
      <c r="P40" s="222">
        <v>3.5604433922663388</v>
      </c>
      <c r="Q40" s="222">
        <v>3.5604433922663388</v>
      </c>
      <c r="R40" s="222">
        <v>3.5604433922663388</v>
      </c>
      <c r="S40" s="222">
        <v>3.5604433922663388</v>
      </c>
      <c r="T40" s="222">
        <v>3.5604433922663388</v>
      </c>
      <c r="U40" s="222">
        <v>3.5604433922663388</v>
      </c>
      <c r="V40" s="222">
        <v>3.5604433922663388</v>
      </c>
      <c r="W40" s="211">
        <f t="shared" si="41"/>
        <v>0.1636179592816307</v>
      </c>
      <c r="X40" s="223">
        <f t="shared" si="42"/>
        <v>14.137353493626577</v>
      </c>
      <c r="AD40" s="196"/>
    </row>
    <row r="41" spans="1:31" s="195" customFormat="1" ht="15"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3"/>
      <c r="X41" s="212"/>
      <c r="AD41" s="196"/>
    </row>
    <row r="42" spans="1:31" s="195" customFormat="1" ht="15"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15"/>
      <c r="AD42" s="196"/>
    </row>
    <row r="43" spans="1:31" s="195" customFormat="1" ht="15"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15"/>
      <c r="AD43" s="196"/>
    </row>
    <row r="44" spans="1:31" s="195" customFormat="1" ht="15">
      <c r="C44" s="215"/>
      <c r="D44" s="215"/>
      <c r="E44" s="215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15"/>
      <c r="AD44" s="196"/>
    </row>
    <row r="45" spans="1:31" s="195" customFormat="1" ht="15"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AD45" s="196"/>
    </row>
    <row r="46" spans="1:31" s="195" customFormat="1" ht="15"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AD46" s="196"/>
    </row>
    <row r="47" spans="1:31" s="195" customFormat="1" ht="15"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AD47" s="196"/>
    </row>
    <row r="48" spans="1:31" s="195" customFormat="1" ht="15"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AD48" s="196"/>
    </row>
    <row r="49" spans="3:30" s="195" customFormat="1" ht="15"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AD49" s="196"/>
    </row>
    <row r="50" spans="3:30" s="195" customFormat="1" ht="15"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AD50" s="196"/>
    </row>
    <row r="51" spans="3:30" s="195" customFormat="1" ht="15"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AD51" s="196"/>
    </row>
    <row r="52" spans="3:30" s="195" customFormat="1" ht="15"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AD52" s="196"/>
    </row>
    <row r="53" spans="3:30" s="195" customFormat="1" ht="15"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AD53" s="196"/>
    </row>
    <row r="54" spans="3:30" s="195" customFormat="1" ht="15"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AD54" s="196"/>
    </row>
    <row r="55" spans="3:30" s="195" customFormat="1" ht="15"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AD55" s="196"/>
    </row>
    <row r="56" spans="3:30" s="195" customFormat="1" ht="15">
      <c r="C56" s="215"/>
      <c r="D56" s="215"/>
      <c r="E56" s="215"/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15"/>
      <c r="AD56" s="196"/>
    </row>
    <row r="57" spans="3:30" s="195" customFormat="1" ht="15"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AD57" s="196"/>
    </row>
    <row r="58" spans="3:30" s="195" customFormat="1" ht="15">
      <c r="C58" s="215"/>
      <c r="D58" s="215"/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15"/>
      <c r="AD58" s="196"/>
    </row>
    <row r="59" spans="3:30" s="195" customFormat="1" ht="15">
      <c r="C59" s="215"/>
      <c r="D59" s="215"/>
      <c r="E59" s="215"/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15"/>
      <c r="AD59" s="196"/>
    </row>
    <row r="60" spans="3:30" s="195" customFormat="1" ht="15">
      <c r="C60" s="215"/>
      <c r="D60" s="215"/>
      <c r="E60" s="215"/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15"/>
      <c r="AD60" s="196"/>
    </row>
    <row r="61" spans="3:30" s="195" customFormat="1" ht="15">
      <c r="C61" s="215"/>
      <c r="D61" s="215"/>
      <c r="E61" s="215"/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15"/>
      <c r="AD61" s="196"/>
    </row>
    <row r="62" spans="3:30" s="195" customFormat="1" ht="15">
      <c r="C62" s="215"/>
      <c r="D62" s="215"/>
      <c r="E62" s="215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15"/>
      <c r="AD62" s="196"/>
    </row>
    <row r="63" spans="3:30" s="195" customFormat="1" ht="15">
      <c r="C63" s="215"/>
      <c r="D63" s="215"/>
      <c r="E63" s="215"/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15"/>
      <c r="AD63" s="196"/>
    </row>
    <row r="64" spans="3:30" s="195" customFormat="1" ht="15">
      <c r="C64" s="215"/>
      <c r="D64" s="215"/>
      <c r="E64" s="215"/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15"/>
      <c r="AD64" s="196"/>
    </row>
    <row r="65" spans="3:30" s="195" customFormat="1" ht="15"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15"/>
      <c r="AD65" s="196"/>
    </row>
    <row r="66" spans="3:30" s="195" customFormat="1" ht="15">
      <c r="C66" s="215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15"/>
      <c r="AD66" s="196"/>
    </row>
    <row r="67" spans="3:30" s="195" customFormat="1" ht="15">
      <c r="C67" s="215"/>
      <c r="D67" s="215"/>
      <c r="E67" s="215"/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15"/>
      <c r="AD67" s="196"/>
    </row>
    <row r="68" spans="3:30" s="195" customFormat="1" ht="15">
      <c r="C68" s="215"/>
      <c r="D68" s="215"/>
      <c r="E68" s="215"/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15"/>
      <c r="AD68" s="196"/>
    </row>
    <row r="69" spans="3:30" s="195" customFormat="1" ht="15">
      <c r="C69" s="215"/>
      <c r="D69" s="215"/>
      <c r="E69" s="215"/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15"/>
      <c r="AD69" s="196"/>
    </row>
    <row r="70" spans="3:30" s="195" customFormat="1" ht="15">
      <c r="C70" s="215"/>
      <c r="D70" s="215"/>
      <c r="E70" s="215"/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15"/>
      <c r="AD70" s="196"/>
    </row>
    <row r="71" spans="3:30" s="195" customFormat="1" ht="15">
      <c r="C71" s="215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15"/>
      <c r="AD71" s="196"/>
    </row>
    <row r="72" spans="3:30" s="195" customFormat="1" ht="15"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15"/>
      <c r="AD72" s="196"/>
    </row>
    <row r="73" spans="3:30" s="195" customFormat="1" ht="15"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15"/>
      <c r="AD73" s="196"/>
    </row>
    <row r="74" spans="3:30" s="195" customFormat="1" ht="15"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15"/>
      <c r="AD74" s="196"/>
    </row>
    <row r="75" spans="3:30" s="195" customFormat="1" ht="15">
      <c r="C75" s="215"/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15"/>
      <c r="AD75" s="196"/>
    </row>
    <row r="76" spans="3:30" s="195" customFormat="1" ht="15">
      <c r="C76" s="215"/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15"/>
      <c r="AD76" s="196"/>
    </row>
    <row r="77" spans="3:30" s="195" customFormat="1" ht="15">
      <c r="C77" s="215"/>
      <c r="D77" s="215"/>
      <c r="E77" s="215"/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15"/>
      <c r="AD77" s="196"/>
    </row>
    <row r="78" spans="3:30" s="195" customFormat="1" ht="15">
      <c r="C78" s="215"/>
      <c r="D78" s="215"/>
      <c r="E78" s="215"/>
      <c r="F78" s="215"/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15"/>
      <c r="AD78" s="196"/>
    </row>
    <row r="79" spans="3:30" s="195" customFormat="1" ht="15">
      <c r="C79" s="215"/>
      <c r="D79" s="215"/>
      <c r="E79" s="215"/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15"/>
      <c r="AD79" s="196"/>
    </row>
    <row r="80" spans="3:30" s="195" customFormat="1" ht="15">
      <c r="C80" s="215"/>
      <c r="D80" s="215"/>
      <c r="E80" s="215"/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15"/>
      <c r="AD80" s="196"/>
    </row>
    <row r="81" spans="3:30" s="195" customFormat="1" ht="15">
      <c r="C81" s="215"/>
      <c r="D81" s="215"/>
      <c r="E81" s="215"/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15"/>
      <c r="AD81" s="196"/>
    </row>
    <row r="82" spans="3:30" s="195" customFormat="1" ht="15"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15"/>
      <c r="AD82" s="196"/>
    </row>
    <row r="83" spans="3:30" s="195" customFormat="1" ht="15"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215"/>
      <c r="V83" s="215"/>
      <c r="W83" s="215"/>
      <c r="X83" s="215"/>
      <c r="AD83" s="196"/>
    </row>
    <row r="84" spans="3:30" s="195" customFormat="1" ht="15"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15"/>
      <c r="AD84" s="196"/>
    </row>
    <row r="85" spans="3:30" s="195" customFormat="1" ht="15"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AD85" s="196"/>
    </row>
    <row r="86" spans="3:30" s="195" customFormat="1" ht="15">
      <c r="C86" s="215"/>
      <c r="D86" s="215"/>
      <c r="E86" s="215"/>
      <c r="F86" s="215"/>
      <c r="G86" s="215"/>
      <c r="H86" s="215"/>
      <c r="I86" s="215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15"/>
      <c r="AD86" s="196"/>
    </row>
    <row r="87" spans="3:30" s="195" customFormat="1" ht="15">
      <c r="C87" s="215"/>
      <c r="D87" s="215"/>
      <c r="E87" s="215"/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15"/>
      <c r="AD87" s="196"/>
    </row>
    <row r="88" spans="3:30" s="195" customFormat="1" ht="15">
      <c r="C88" s="215"/>
      <c r="D88" s="215"/>
      <c r="E88" s="215"/>
      <c r="F88" s="215"/>
      <c r="G88" s="215"/>
      <c r="H88" s="215"/>
      <c r="I88" s="215"/>
      <c r="J88" s="215"/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15"/>
      <c r="AD88" s="196"/>
    </row>
    <row r="89" spans="3:30" s="195" customFormat="1" ht="15">
      <c r="C89" s="215"/>
      <c r="D89" s="215"/>
      <c r="E89" s="215"/>
      <c r="F89" s="215"/>
      <c r="G89" s="215"/>
      <c r="H89" s="215"/>
      <c r="I89" s="215"/>
      <c r="J89" s="215"/>
      <c r="K89" s="215"/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15"/>
      <c r="AD89" s="196"/>
    </row>
    <row r="90" spans="3:30" s="195" customFormat="1" ht="15">
      <c r="C90" s="215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15"/>
      <c r="AD90" s="196"/>
    </row>
    <row r="91" spans="3:30" s="195" customFormat="1" ht="15"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15"/>
      <c r="AD91" s="196"/>
    </row>
    <row r="92" spans="3:30" s="195" customFormat="1" ht="15"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AD92" s="196"/>
    </row>
    <row r="93" spans="3:30" s="195" customFormat="1" ht="15">
      <c r="C93" s="215"/>
      <c r="D93" s="215"/>
      <c r="E93" s="215"/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15"/>
      <c r="AD93" s="196"/>
    </row>
    <row r="94" spans="3:30" s="195" customFormat="1" ht="15">
      <c r="C94" s="215"/>
      <c r="D94" s="215"/>
      <c r="E94" s="215"/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15"/>
      <c r="AD94" s="196"/>
    </row>
    <row r="95" spans="3:30" s="195" customFormat="1" ht="15">
      <c r="C95" s="215"/>
      <c r="D95" s="215"/>
      <c r="E95" s="215"/>
      <c r="F95" s="215"/>
      <c r="G95" s="215"/>
      <c r="H95" s="215"/>
      <c r="I95" s="215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AD95" s="196"/>
    </row>
    <row r="96" spans="3:30" s="195" customFormat="1" ht="15">
      <c r="C96" s="215"/>
      <c r="D96" s="215"/>
      <c r="E96" s="215"/>
      <c r="F96" s="215"/>
      <c r="G96" s="215"/>
      <c r="H96" s="215"/>
      <c r="I96" s="215"/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AD96" s="196"/>
    </row>
    <row r="97" spans="3:30" s="195" customFormat="1" ht="15">
      <c r="C97" s="215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AD97" s="196"/>
    </row>
    <row r="98" spans="3:30" s="195" customFormat="1" ht="15">
      <c r="C98" s="215"/>
      <c r="D98" s="215"/>
      <c r="E98" s="215"/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AD98" s="196"/>
    </row>
    <row r="99" spans="3:30" s="195" customFormat="1" ht="15">
      <c r="C99" s="215"/>
      <c r="D99" s="215"/>
      <c r="E99" s="215"/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AD99" s="196"/>
    </row>
    <row r="100" spans="3:30" s="195" customFormat="1" ht="15">
      <c r="C100" s="215"/>
      <c r="D100" s="215"/>
      <c r="E100" s="215"/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15"/>
      <c r="AD100" s="196"/>
    </row>
    <row r="101" spans="3:30" s="195" customFormat="1" ht="15">
      <c r="C101" s="215"/>
      <c r="D101" s="215"/>
      <c r="E101" s="215"/>
      <c r="F101" s="215"/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15"/>
      <c r="AD101" s="196"/>
    </row>
    <row r="102" spans="3:30" s="195" customFormat="1" ht="15"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15"/>
      <c r="AD102" s="196"/>
    </row>
    <row r="103" spans="3:30" s="195" customFormat="1" ht="15">
      <c r="C103" s="215"/>
      <c r="D103" s="215"/>
      <c r="E103" s="215"/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15"/>
      <c r="X103" s="215"/>
      <c r="AD103" s="196"/>
    </row>
    <row r="104" spans="3:30" s="195" customFormat="1" ht="15">
      <c r="C104" s="215"/>
      <c r="D104" s="215"/>
      <c r="E104" s="215"/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15"/>
      <c r="X104" s="215"/>
      <c r="AD104" s="196"/>
    </row>
    <row r="105" spans="3:30" s="195" customFormat="1" ht="15">
      <c r="C105" s="215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15"/>
      <c r="AD105" s="196"/>
    </row>
    <row r="106" spans="3:30" s="195" customFormat="1" ht="15">
      <c r="C106" s="215"/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AD106" s="196"/>
    </row>
    <row r="107" spans="3:30" s="195" customFormat="1" ht="15">
      <c r="C107" s="215"/>
      <c r="D107" s="215"/>
      <c r="E107" s="215"/>
      <c r="F107" s="215"/>
      <c r="G107" s="215"/>
      <c r="H107" s="215"/>
      <c r="I107" s="215"/>
      <c r="J107" s="215"/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15"/>
      <c r="AD107" s="196"/>
    </row>
    <row r="108" spans="3:30" s="195" customFormat="1" ht="15">
      <c r="C108" s="215"/>
      <c r="D108" s="215"/>
      <c r="E108" s="215"/>
      <c r="F108" s="215"/>
      <c r="G108" s="215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X108" s="215"/>
      <c r="AD108" s="196"/>
    </row>
    <row r="109" spans="3:30" s="195" customFormat="1" ht="15"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15"/>
      <c r="AD109" s="196"/>
    </row>
    <row r="110" spans="3:30" s="195" customFormat="1" ht="15">
      <c r="C110" s="215"/>
      <c r="D110" s="215"/>
      <c r="E110" s="215"/>
      <c r="F110" s="215"/>
      <c r="G110" s="215"/>
      <c r="H110" s="215"/>
      <c r="I110" s="215"/>
      <c r="J110" s="215"/>
      <c r="K110" s="215"/>
      <c r="L110" s="215"/>
      <c r="M110" s="215"/>
      <c r="N110" s="215"/>
      <c r="O110" s="215"/>
      <c r="P110" s="215"/>
      <c r="Q110" s="215"/>
      <c r="R110" s="215"/>
      <c r="S110" s="215"/>
      <c r="T110" s="215"/>
      <c r="U110" s="215"/>
      <c r="V110" s="215"/>
      <c r="W110" s="215"/>
      <c r="X110" s="215"/>
      <c r="AD110" s="196"/>
    </row>
    <row r="111" spans="3:30" s="195" customFormat="1" ht="15">
      <c r="C111" s="215"/>
      <c r="D111" s="215"/>
      <c r="E111" s="215"/>
      <c r="F111" s="215"/>
      <c r="G111" s="215"/>
      <c r="H111" s="215"/>
      <c r="I111" s="215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15"/>
      <c r="X111" s="215"/>
      <c r="AD111" s="196"/>
    </row>
    <row r="112" spans="3:30" s="195" customFormat="1" ht="15">
      <c r="C112" s="215"/>
      <c r="D112" s="215"/>
      <c r="E112" s="215"/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15"/>
      <c r="V112" s="215"/>
      <c r="W112" s="215"/>
      <c r="X112" s="215"/>
      <c r="AD112" s="196"/>
    </row>
    <row r="113" spans="3:30" s="195" customFormat="1" ht="15">
      <c r="C113" s="215"/>
      <c r="D113" s="215"/>
      <c r="E113" s="215"/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15"/>
      <c r="AD113" s="196"/>
    </row>
    <row r="114" spans="3:30" s="195" customFormat="1" ht="15"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15"/>
      <c r="AD114" s="196"/>
    </row>
    <row r="115" spans="3:30" s="195" customFormat="1" ht="15">
      <c r="C115" s="215"/>
      <c r="D115" s="215"/>
      <c r="E115" s="215"/>
      <c r="F115" s="215"/>
      <c r="G115" s="215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15"/>
      <c r="AD115" s="196"/>
    </row>
    <row r="116" spans="3:30" s="195" customFormat="1" ht="15">
      <c r="C116" s="215"/>
      <c r="D116" s="215"/>
      <c r="E116" s="215"/>
      <c r="F116" s="215"/>
      <c r="G116" s="215"/>
      <c r="H116" s="215"/>
      <c r="I116" s="215"/>
      <c r="J116" s="215"/>
      <c r="K116" s="215"/>
      <c r="L116" s="215"/>
      <c r="M116" s="215"/>
      <c r="N116" s="215"/>
      <c r="O116" s="215"/>
      <c r="P116" s="215"/>
      <c r="Q116" s="215"/>
      <c r="R116" s="215"/>
      <c r="S116" s="215"/>
      <c r="T116" s="215"/>
      <c r="U116" s="215"/>
      <c r="V116" s="215"/>
      <c r="W116" s="215"/>
      <c r="X116" s="215"/>
      <c r="AD116" s="196"/>
    </row>
    <row r="117" spans="3:30" s="195" customFormat="1" ht="15">
      <c r="C117" s="215"/>
      <c r="D117" s="215"/>
      <c r="E117" s="215"/>
      <c r="F117" s="215"/>
      <c r="G117" s="215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15"/>
      <c r="AD117" s="196"/>
    </row>
    <row r="118" spans="3:30" s="195" customFormat="1" ht="15">
      <c r="C118" s="215"/>
      <c r="D118" s="215"/>
      <c r="E118" s="215"/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15"/>
      <c r="AD118" s="196"/>
    </row>
    <row r="119" spans="3:30" s="195" customFormat="1" ht="15">
      <c r="C119" s="215"/>
      <c r="D119" s="215"/>
      <c r="E119" s="215"/>
      <c r="F119" s="215"/>
      <c r="G119" s="215"/>
      <c r="H119" s="215"/>
      <c r="I119" s="215"/>
      <c r="J119" s="215"/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15"/>
      <c r="X119" s="215"/>
      <c r="AD119" s="196"/>
    </row>
    <row r="120" spans="3:30" s="195" customFormat="1" ht="15">
      <c r="C120" s="215"/>
      <c r="D120" s="215"/>
      <c r="E120" s="215"/>
      <c r="F120" s="215"/>
      <c r="G120" s="215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15"/>
      <c r="AD120" s="196"/>
    </row>
    <row r="121" spans="3:30" s="195" customFormat="1" ht="15">
      <c r="C121" s="215"/>
      <c r="D121" s="215"/>
      <c r="E121" s="215"/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15"/>
      <c r="AD121" s="196"/>
    </row>
    <row r="122" spans="3:30" s="195" customFormat="1" ht="15">
      <c r="C122" s="215"/>
      <c r="D122" s="215"/>
      <c r="E122" s="215"/>
      <c r="F122" s="215"/>
      <c r="G122" s="215"/>
      <c r="H122" s="215"/>
      <c r="I122" s="215"/>
      <c r="J122" s="215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15"/>
      <c r="AD122" s="196"/>
    </row>
    <row r="123" spans="3:30" s="195" customFormat="1" ht="15">
      <c r="C123" s="215"/>
      <c r="D123" s="215"/>
      <c r="E123" s="215"/>
      <c r="F123" s="215"/>
      <c r="G123" s="215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15"/>
      <c r="X123" s="215"/>
      <c r="AD123" s="196"/>
    </row>
    <row r="124" spans="3:30" s="195" customFormat="1" ht="15">
      <c r="C124" s="215"/>
      <c r="D124" s="215"/>
      <c r="E124" s="215"/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15"/>
      <c r="X124" s="215"/>
      <c r="AD124" s="196"/>
    </row>
    <row r="125" spans="3:30" s="195" customFormat="1" ht="15">
      <c r="C125" s="215"/>
      <c r="D125" s="215"/>
      <c r="E125" s="215"/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15"/>
      <c r="AD125" s="196"/>
    </row>
    <row r="126" spans="3:30" s="195" customFormat="1" ht="15">
      <c r="C126" s="215"/>
      <c r="D126" s="215"/>
      <c r="E126" s="215"/>
      <c r="F126" s="215"/>
      <c r="G126" s="215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15"/>
      <c r="X126" s="215"/>
      <c r="AD126" s="196"/>
    </row>
    <row r="127" spans="3:30" s="195" customFormat="1" ht="15">
      <c r="C127" s="215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5"/>
      <c r="Q127" s="215"/>
      <c r="R127" s="215"/>
      <c r="S127" s="215"/>
      <c r="T127" s="215"/>
      <c r="U127" s="215"/>
      <c r="V127" s="215"/>
      <c r="W127" s="215"/>
      <c r="X127" s="215"/>
      <c r="AD127" s="196"/>
    </row>
    <row r="128" spans="3:30" s="195" customFormat="1" ht="15">
      <c r="C128" s="215"/>
      <c r="D128" s="215"/>
      <c r="E128" s="215"/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15"/>
      <c r="AD128" s="196"/>
    </row>
    <row r="129" spans="3:30" s="195" customFormat="1" ht="15">
      <c r="C129" s="215"/>
      <c r="D129" s="215"/>
      <c r="E129" s="215"/>
      <c r="F129" s="215"/>
      <c r="G129" s="215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15"/>
      <c r="X129" s="215"/>
      <c r="AD129" s="196"/>
    </row>
    <row r="130" spans="3:30" s="195" customFormat="1" ht="15">
      <c r="C130" s="215"/>
      <c r="D130" s="215"/>
      <c r="E130" s="215"/>
      <c r="F130" s="215"/>
      <c r="G130" s="215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15"/>
      <c r="AD130" s="196"/>
    </row>
    <row r="131" spans="3:30" s="195" customFormat="1" ht="15">
      <c r="C131" s="215"/>
      <c r="D131" s="215"/>
      <c r="E131" s="215"/>
      <c r="F131" s="215"/>
      <c r="G131" s="215"/>
      <c r="H131" s="215"/>
      <c r="I131" s="215"/>
      <c r="J131" s="215"/>
      <c r="K131" s="215"/>
      <c r="L131" s="215"/>
      <c r="M131" s="215"/>
      <c r="N131" s="215"/>
      <c r="O131" s="215"/>
      <c r="P131" s="215"/>
      <c r="Q131" s="215"/>
      <c r="R131" s="215"/>
      <c r="S131" s="215"/>
      <c r="T131" s="215"/>
      <c r="U131" s="215"/>
      <c r="V131" s="215"/>
      <c r="W131" s="215"/>
      <c r="X131" s="215"/>
      <c r="AD131" s="196"/>
    </row>
    <row r="132" spans="3:30" s="195" customFormat="1" ht="15">
      <c r="C132" s="215"/>
      <c r="D132" s="215"/>
      <c r="E132" s="215"/>
      <c r="F132" s="215"/>
      <c r="G132" s="215"/>
      <c r="H132" s="215"/>
      <c r="I132" s="215"/>
      <c r="J132" s="215"/>
      <c r="K132" s="215"/>
      <c r="L132" s="215"/>
      <c r="M132" s="215"/>
      <c r="N132" s="215"/>
      <c r="O132" s="215"/>
      <c r="P132" s="215"/>
      <c r="Q132" s="215"/>
      <c r="R132" s="215"/>
      <c r="S132" s="215"/>
      <c r="T132" s="215"/>
      <c r="U132" s="215"/>
      <c r="V132" s="215"/>
      <c r="W132" s="215"/>
      <c r="X132" s="215"/>
      <c r="AD132" s="196"/>
    </row>
    <row r="133" spans="3:30" s="195" customFormat="1" ht="15">
      <c r="C133" s="215"/>
      <c r="D133" s="215"/>
      <c r="E133" s="215"/>
      <c r="F133" s="215"/>
      <c r="G133" s="215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15"/>
      <c r="X133" s="215"/>
      <c r="AD133" s="196"/>
    </row>
    <row r="134" spans="3:30" s="195" customFormat="1" ht="15">
      <c r="C134" s="215"/>
      <c r="D134" s="215"/>
      <c r="E134" s="215"/>
      <c r="F134" s="215"/>
      <c r="G134" s="215"/>
      <c r="H134" s="215"/>
      <c r="I134" s="215"/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5"/>
      <c r="V134" s="215"/>
      <c r="W134" s="215"/>
      <c r="X134" s="215"/>
      <c r="AD134" s="196"/>
    </row>
    <row r="135" spans="3:30" s="195" customFormat="1" ht="15"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  <c r="O135" s="215"/>
      <c r="P135" s="215"/>
      <c r="Q135" s="215"/>
      <c r="R135" s="215"/>
      <c r="S135" s="215"/>
      <c r="T135" s="215"/>
      <c r="U135" s="215"/>
      <c r="V135" s="215"/>
      <c r="W135" s="215"/>
      <c r="X135" s="215"/>
      <c r="AD135" s="196"/>
    </row>
    <row r="136" spans="3:30" s="195" customFormat="1" ht="15">
      <c r="C136" s="215"/>
      <c r="D136" s="215"/>
      <c r="E136" s="215"/>
      <c r="F136" s="215"/>
      <c r="G136" s="215"/>
      <c r="H136" s="215"/>
      <c r="I136" s="215"/>
      <c r="J136" s="215"/>
      <c r="K136" s="215"/>
      <c r="L136" s="215"/>
      <c r="M136" s="215"/>
      <c r="N136" s="215"/>
      <c r="O136" s="215"/>
      <c r="P136" s="215"/>
      <c r="Q136" s="215"/>
      <c r="R136" s="215"/>
      <c r="S136" s="215"/>
      <c r="T136" s="215"/>
      <c r="U136" s="215"/>
      <c r="V136" s="215"/>
      <c r="W136" s="215"/>
      <c r="X136" s="215"/>
      <c r="AD136" s="196"/>
    </row>
    <row r="137" spans="3:30" s="195" customFormat="1" ht="15">
      <c r="C137" s="215"/>
      <c r="D137" s="215"/>
      <c r="E137" s="215"/>
      <c r="F137" s="215"/>
      <c r="G137" s="215"/>
      <c r="H137" s="215"/>
      <c r="I137" s="215"/>
      <c r="J137" s="215"/>
      <c r="K137" s="215"/>
      <c r="L137" s="215"/>
      <c r="M137" s="215"/>
      <c r="N137" s="215"/>
      <c r="O137" s="215"/>
      <c r="P137" s="215"/>
      <c r="Q137" s="215"/>
      <c r="R137" s="215"/>
      <c r="S137" s="215"/>
      <c r="T137" s="215"/>
      <c r="U137" s="215"/>
      <c r="V137" s="215"/>
      <c r="W137" s="215"/>
      <c r="X137" s="215"/>
      <c r="AD137" s="196"/>
    </row>
    <row r="138" spans="3:30" s="195" customFormat="1" ht="15">
      <c r="C138" s="215"/>
      <c r="D138" s="215"/>
      <c r="E138" s="215"/>
      <c r="F138" s="215"/>
      <c r="G138" s="215"/>
      <c r="H138" s="215"/>
      <c r="I138" s="215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  <c r="T138" s="215"/>
      <c r="U138" s="215"/>
      <c r="V138" s="215"/>
      <c r="W138" s="215"/>
      <c r="X138" s="215"/>
      <c r="AD138" s="196"/>
    </row>
    <row r="139" spans="3:30" s="195" customFormat="1" ht="15">
      <c r="C139" s="215"/>
      <c r="D139" s="215"/>
      <c r="E139" s="215"/>
      <c r="F139" s="215"/>
      <c r="G139" s="215"/>
      <c r="H139" s="215"/>
      <c r="I139" s="215"/>
      <c r="J139" s="215"/>
      <c r="K139" s="215"/>
      <c r="L139" s="215"/>
      <c r="M139" s="215"/>
      <c r="N139" s="215"/>
      <c r="O139" s="215"/>
      <c r="P139" s="215"/>
      <c r="Q139" s="215"/>
      <c r="R139" s="215"/>
      <c r="S139" s="215"/>
      <c r="T139" s="215"/>
      <c r="U139" s="215"/>
      <c r="V139" s="215"/>
      <c r="W139" s="215"/>
      <c r="X139" s="215"/>
      <c r="AD139" s="196"/>
    </row>
    <row r="140" spans="3:30" s="195" customFormat="1" ht="15">
      <c r="C140" s="215"/>
      <c r="D140" s="215"/>
      <c r="E140" s="215"/>
      <c r="F140" s="215"/>
      <c r="G140" s="215"/>
      <c r="H140" s="215"/>
      <c r="I140" s="215"/>
      <c r="J140" s="215"/>
      <c r="K140" s="215"/>
      <c r="L140" s="215"/>
      <c r="M140" s="215"/>
      <c r="N140" s="215"/>
      <c r="O140" s="215"/>
      <c r="P140" s="215"/>
      <c r="Q140" s="215"/>
      <c r="R140" s="215"/>
      <c r="S140" s="215"/>
      <c r="T140" s="215"/>
      <c r="U140" s="215"/>
      <c r="V140" s="215"/>
      <c r="W140" s="215"/>
      <c r="X140" s="215"/>
      <c r="AD140" s="196"/>
    </row>
    <row r="141" spans="3:30" s="195" customFormat="1" ht="15">
      <c r="C141" s="215"/>
      <c r="D141" s="215"/>
      <c r="E141" s="215"/>
      <c r="F141" s="215"/>
      <c r="G141" s="215"/>
      <c r="H141" s="215"/>
      <c r="I141" s="215"/>
      <c r="J141" s="215"/>
      <c r="K141" s="215"/>
      <c r="L141" s="215"/>
      <c r="M141" s="215"/>
      <c r="N141" s="215"/>
      <c r="O141" s="215"/>
      <c r="P141" s="215"/>
      <c r="Q141" s="215"/>
      <c r="R141" s="215"/>
      <c r="S141" s="215"/>
      <c r="T141" s="215"/>
      <c r="U141" s="215"/>
      <c r="V141" s="215"/>
      <c r="W141" s="215"/>
      <c r="X141" s="215"/>
      <c r="AD141" s="196"/>
    </row>
    <row r="142" spans="3:30" s="195" customFormat="1" ht="15">
      <c r="C142" s="215"/>
      <c r="D142" s="215"/>
      <c r="E142" s="215"/>
      <c r="F142" s="215"/>
      <c r="G142" s="215"/>
      <c r="H142" s="215"/>
      <c r="I142" s="215"/>
      <c r="J142" s="215"/>
      <c r="K142" s="215"/>
      <c r="L142" s="215"/>
      <c r="M142" s="215"/>
      <c r="N142" s="215"/>
      <c r="O142" s="215"/>
      <c r="P142" s="215"/>
      <c r="Q142" s="215"/>
      <c r="R142" s="215"/>
      <c r="S142" s="215"/>
      <c r="T142" s="215"/>
      <c r="U142" s="215"/>
      <c r="V142" s="215"/>
      <c r="W142" s="215"/>
      <c r="X142" s="215"/>
      <c r="AD142" s="196"/>
    </row>
    <row r="143" spans="3:30" s="195" customFormat="1" ht="15">
      <c r="C143" s="215"/>
      <c r="D143" s="215"/>
      <c r="E143" s="215"/>
      <c r="F143" s="215"/>
      <c r="G143" s="215"/>
      <c r="H143" s="215"/>
      <c r="I143" s="215"/>
      <c r="J143" s="215"/>
      <c r="K143" s="215"/>
      <c r="L143" s="215"/>
      <c r="M143" s="215"/>
      <c r="N143" s="215"/>
      <c r="O143" s="215"/>
      <c r="P143" s="215"/>
      <c r="Q143" s="215"/>
      <c r="R143" s="215"/>
      <c r="S143" s="215"/>
      <c r="T143" s="215"/>
      <c r="U143" s="215"/>
      <c r="V143" s="215"/>
      <c r="W143" s="215"/>
      <c r="X143" s="215"/>
      <c r="AD143" s="196"/>
    </row>
    <row r="144" spans="3:30" s="195" customFormat="1" ht="15">
      <c r="C144" s="215"/>
      <c r="D144" s="215"/>
      <c r="E144" s="215"/>
      <c r="F144" s="215"/>
      <c r="G144" s="215"/>
      <c r="H144" s="215"/>
      <c r="I144" s="215"/>
      <c r="J144" s="215"/>
      <c r="K144" s="215"/>
      <c r="L144" s="215"/>
      <c r="M144" s="215"/>
      <c r="N144" s="215"/>
      <c r="O144" s="215"/>
      <c r="P144" s="215"/>
      <c r="Q144" s="215"/>
      <c r="R144" s="215"/>
      <c r="S144" s="215"/>
      <c r="T144" s="215"/>
      <c r="U144" s="215"/>
      <c r="V144" s="215"/>
      <c r="W144" s="215"/>
      <c r="X144" s="215"/>
      <c r="AD144" s="196"/>
    </row>
    <row r="145" spans="3:30" s="195" customFormat="1" ht="15">
      <c r="C145" s="215"/>
      <c r="D145" s="215"/>
      <c r="E145" s="215"/>
      <c r="F145" s="215"/>
      <c r="G145" s="215"/>
      <c r="H145" s="215"/>
      <c r="I145" s="215"/>
      <c r="J145" s="215"/>
      <c r="K145" s="215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15"/>
      <c r="X145" s="215"/>
      <c r="AD145" s="196"/>
    </row>
    <row r="146" spans="3:30" s="195" customFormat="1" ht="15">
      <c r="C146" s="215"/>
      <c r="D146" s="215"/>
      <c r="E146" s="215"/>
      <c r="F146" s="215"/>
      <c r="G146" s="215"/>
      <c r="H146" s="215"/>
      <c r="I146" s="215"/>
      <c r="J146" s="215"/>
      <c r="K146" s="215"/>
      <c r="L146" s="215"/>
      <c r="M146" s="215"/>
      <c r="N146" s="215"/>
      <c r="O146" s="215"/>
      <c r="P146" s="215"/>
      <c r="Q146" s="215"/>
      <c r="R146" s="215"/>
      <c r="S146" s="215"/>
      <c r="T146" s="215"/>
      <c r="U146" s="215"/>
      <c r="V146" s="215"/>
      <c r="W146" s="215"/>
      <c r="X146" s="215"/>
      <c r="AD146" s="196"/>
    </row>
    <row r="147" spans="3:30" s="195" customFormat="1" ht="15">
      <c r="C147" s="215"/>
      <c r="D147" s="215"/>
      <c r="E147" s="215"/>
      <c r="F147" s="215"/>
      <c r="G147" s="215"/>
      <c r="H147" s="215"/>
      <c r="I147" s="215"/>
      <c r="J147" s="215"/>
      <c r="K147" s="215"/>
      <c r="L147" s="215"/>
      <c r="M147" s="215"/>
      <c r="N147" s="215"/>
      <c r="O147" s="215"/>
      <c r="P147" s="215"/>
      <c r="Q147" s="215"/>
      <c r="R147" s="215"/>
      <c r="S147" s="215"/>
      <c r="T147" s="215"/>
      <c r="U147" s="215"/>
      <c r="V147" s="215"/>
      <c r="W147" s="215"/>
      <c r="X147" s="215"/>
      <c r="AD147" s="196"/>
    </row>
    <row r="148" spans="3:30" s="195" customFormat="1" ht="15">
      <c r="C148" s="215"/>
      <c r="D148" s="215"/>
      <c r="E148" s="215"/>
      <c r="F148" s="215"/>
      <c r="G148" s="215"/>
      <c r="H148" s="215"/>
      <c r="I148" s="215"/>
      <c r="J148" s="215"/>
      <c r="K148" s="215"/>
      <c r="L148" s="215"/>
      <c r="M148" s="215"/>
      <c r="N148" s="215"/>
      <c r="O148" s="215"/>
      <c r="P148" s="215"/>
      <c r="Q148" s="215"/>
      <c r="R148" s="215"/>
      <c r="S148" s="215"/>
      <c r="T148" s="215"/>
      <c r="U148" s="215"/>
      <c r="V148" s="215"/>
      <c r="W148" s="215"/>
      <c r="X148" s="215"/>
      <c r="AD148" s="196"/>
    </row>
    <row r="149" spans="3:30" s="195" customFormat="1" ht="15">
      <c r="C149" s="215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  <c r="O149" s="215"/>
      <c r="P149" s="215"/>
      <c r="Q149" s="215"/>
      <c r="R149" s="215"/>
      <c r="S149" s="215"/>
      <c r="T149" s="215"/>
      <c r="U149" s="215"/>
      <c r="V149" s="215"/>
      <c r="W149" s="215"/>
      <c r="X149" s="215"/>
      <c r="AD149" s="196"/>
    </row>
    <row r="150" spans="3:30" s="195" customFormat="1" ht="15">
      <c r="C150" s="215"/>
      <c r="D150" s="215"/>
      <c r="E150" s="215"/>
      <c r="F150" s="215"/>
      <c r="G150" s="215"/>
      <c r="H150" s="215"/>
      <c r="I150" s="215"/>
      <c r="J150" s="215"/>
      <c r="K150" s="215"/>
      <c r="L150" s="215"/>
      <c r="M150" s="215"/>
      <c r="N150" s="215"/>
      <c r="O150" s="215"/>
      <c r="P150" s="215"/>
      <c r="Q150" s="215"/>
      <c r="R150" s="215"/>
      <c r="S150" s="215"/>
      <c r="T150" s="215"/>
      <c r="U150" s="215"/>
      <c r="V150" s="215"/>
      <c r="W150" s="215"/>
      <c r="X150" s="215"/>
      <c r="AD150" s="196"/>
    </row>
    <row r="151" spans="3:30" s="195" customFormat="1" ht="15">
      <c r="C151" s="215"/>
      <c r="D151" s="215"/>
      <c r="E151" s="215"/>
      <c r="F151" s="215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15"/>
      <c r="AD151" s="196"/>
    </row>
    <row r="152" spans="3:30" s="195" customFormat="1" ht="15">
      <c r="C152" s="215"/>
      <c r="D152" s="215"/>
      <c r="E152" s="215"/>
      <c r="F152" s="215"/>
      <c r="G152" s="215"/>
      <c r="H152" s="215"/>
      <c r="I152" s="215"/>
      <c r="J152" s="215"/>
      <c r="K152" s="215"/>
      <c r="L152" s="215"/>
      <c r="M152" s="215"/>
      <c r="N152" s="215"/>
      <c r="O152" s="215"/>
      <c r="P152" s="215"/>
      <c r="Q152" s="215"/>
      <c r="R152" s="215"/>
      <c r="S152" s="215"/>
      <c r="T152" s="215"/>
      <c r="U152" s="215"/>
      <c r="V152" s="215"/>
      <c r="W152" s="215"/>
      <c r="X152" s="215"/>
      <c r="AD152" s="196"/>
    </row>
    <row r="153" spans="3:30" s="195" customFormat="1" ht="15">
      <c r="C153" s="215"/>
      <c r="D153" s="215"/>
      <c r="E153" s="215"/>
      <c r="F153" s="215"/>
      <c r="G153" s="215"/>
      <c r="H153" s="215"/>
      <c r="I153" s="215"/>
      <c r="J153" s="215"/>
      <c r="K153" s="215"/>
      <c r="L153" s="215"/>
      <c r="M153" s="215"/>
      <c r="N153" s="215"/>
      <c r="O153" s="215"/>
      <c r="P153" s="215"/>
      <c r="Q153" s="215"/>
      <c r="R153" s="215"/>
      <c r="S153" s="215"/>
      <c r="T153" s="215"/>
      <c r="U153" s="215"/>
      <c r="V153" s="215"/>
      <c r="W153" s="215"/>
      <c r="X153" s="215"/>
      <c r="AD153" s="196"/>
    </row>
    <row r="154" spans="3:30" s="195" customFormat="1" ht="15">
      <c r="C154" s="215"/>
      <c r="D154" s="215"/>
      <c r="E154" s="215"/>
      <c r="F154" s="215"/>
      <c r="G154" s="215"/>
      <c r="H154" s="215"/>
      <c r="I154" s="215"/>
      <c r="J154" s="215"/>
      <c r="K154" s="215"/>
      <c r="L154" s="215"/>
      <c r="M154" s="215"/>
      <c r="N154" s="215"/>
      <c r="O154" s="215"/>
      <c r="P154" s="215"/>
      <c r="Q154" s="215"/>
      <c r="R154" s="215"/>
      <c r="S154" s="215"/>
      <c r="T154" s="215"/>
      <c r="U154" s="215"/>
      <c r="V154" s="215"/>
      <c r="W154" s="215"/>
      <c r="X154" s="215"/>
      <c r="AD154" s="196"/>
    </row>
    <row r="155" spans="3:30" s="195" customFormat="1" ht="15">
      <c r="C155" s="215"/>
      <c r="D155" s="215"/>
      <c r="E155" s="215"/>
      <c r="F155" s="215"/>
      <c r="G155" s="215"/>
      <c r="H155" s="215"/>
      <c r="I155" s="215"/>
      <c r="J155" s="215"/>
      <c r="K155" s="215"/>
      <c r="L155" s="215"/>
      <c r="M155" s="215"/>
      <c r="N155" s="215"/>
      <c r="O155" s="215"/>
      <c r="P155" s="215"/>
      <c r="Q155" s="215"/>
      <c r="R155" s="215"/>
      <c r="S155" s="215"/>
      <c r="T155" s="215"/>
      <c r="U155" s="215"/>
      <c r="V155" s="215"/>
      <c r="W155" s="215"/>
      <c r="X155" s="215"/>
      <c r="AD155" s="196"/>
    </row>
    <row r="156" spans="3:30" s="195" customFormat="1" ht="15">
      <c r="C156" s="215"/>
      <c r="D156" s="215"/>
      <c r="E156" s="215"/>
      <c r="F156" s="215"/>
      <c r="G156" s="215"/>
      <c r="H156" s="215"/>
      <c r="I156" s="215"/>
      <c r="J156" s="215"/>
      <c r="K156" s="215"/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15"/>
      <c r="X156" s="215"/>
      <c r="AD156" s="196"/>
    </row>
    <row r="157" spans="3:30" s="195" customFormat="1" ht="15">
      <c r="C157" s="215"/>
      <c r="D157" s="215"/>
      <c r="E157" s="215"/>
      <c r="F157" s="215"/>
      <c r="G157" s="215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15"/>
      <c r="AD157" s="196"/>
    </row>
    <row r="158" spans="3:30" s="195" customFormat="1" ht="15">
      <c r="C158" s="215"/>
      <c r="D158" s="215"/>
      <c r="E158" s="215"/>
      <c r="F158" s="215"/>
      <c r="G158" s="215"/>
      <c r="H158" s="215"/>
      <c r="I158" s="215"/>
      <c r="J158" s="215"/>
      <c r="K158" s="215"/>
      <c r="L158" s="215"/>
      <c r="M158" s="215"/>
      <c r="N158" s="215"/>
      <c r="O158" s="215"/>
      <c r="P158" s="215"/>
      <c r="Q158" s="215"/>
      <c r="R158" s="215"/>
      <c r="S158" s="215"/>
      <c r="T158" s="215"/>
      <c r="U158" s="215"/>
      <c r="V158" s="215"/>
      <c r="W158" s="215"/>
      <c r="X158" s="215"/>
      <c r="AD158" s="196"/>
    </row>
    <row r="159" spans="3:30" s="195" customFormat="1" ht="15">
      <c r="C159" s="215"/>
      <c r="D159" s="215"/>
      <c r="E159" s="215"/>
      <c r="F159" s="215"/>
      <c r="G159" s="215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15"/>
      <c r="AD159" s="196"/>
    </row>
    <row r="160" spans="3:30" s="195" customFormat="1" ht="15">
      <c r="C160" s="215"/>
      <c r="D160" s="215"/>
      <c r="E160" s="215"/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15"/>
      <c r="AD160" s="196"/>
    </row>
    <row r="161" spans="3:30" s="195" customFormat="1" ht="15"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  <c r="O161" s="215"/>
      <c r="P161" s="215"/>
      <c r="Q161" s="215"/>
      <c r="R161" s="215"/>
      <c r="S161" s="215"/>
      <c r="T161" s="215"/>
      <c r="U161" s="215"/>
      <c r="V161" s="215"/>
      <c r="W161" s="215"/>
      <c r="X161" s="215"/>
      <c r="AD161" s="196"/>
    </row>
    <row r="162" spans="3:30" s="195" customFormat="1" ht="15">
      <c r="C162" s="215"/>
      <c r="D162" s="215"/>
      <c r="E162" s="215"/>
      <c r="F162" s="215"/>
      <c r="G162" s="215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15"/>
      <c r="AD162" s="196"/>
    </row>
    <row r="163" spans="3:30" s="195" customFormat="1" ht="15">
      <c r="C163" s="215"/>
      <c r="D163" s="215"/>
      <c r="E163" s="215"/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15"/>
      <c r="AD163" s="196"/>
    </row>
    <row r="164" spans="3:30" s="195" customFormat="1" ht="15">
      <c r="C164" s="215"/>
      <c r="D164" s="215"/>
      <c r="E164" s="215"/>
      <c r="F164" s="215"/>
      <c r="G164" s="215"/>
      <c r="H164" s="215"/>
      <c r="I164" s="215"/>
      <c r="J164" s="215"/>
      <c r="K164" s="215"/>
      <c r="L164" s="215"/>
      <c r="M164" s="215"/>
      <c r="N164" s="215"/>
      <c r="O164" s="215"/>
      <c r="P164" s="215"/>
      <c r="Q164" s="215"/>
      <c r="R164" s="215"/>
      <c r="S164" s="215"/>
      <c r="T164" s="215"/>
      <c r="U164" s="215"/>
      <c r="V164" s="215"/>
      <c r="W164" s="215"/>
      <c r="X164" s="215"/>
      <c r="AD164" s="196"/>
    </row>
    <row r="165" spans="3:30" s="195" customFormat="1" ht="15"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15"/>
      <c r="AD165" s="196"/>
    </row>
    <row r="166" spans="3:30" s="195" customFormat="1" ht="15">
      <c r="C166" s="215"/>
      <c r="D166" s="215"/>
      <c r="E166" s="215"/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15"/>
      <c r="X166" s="215"/>
      <c r="AD166" s="196"/>
    </row>
    <row r="167" spans="3:30" s="195" customFormat="1" ht="15">
      <c r="C167" s="215"/>
      <c r="D167" s="215"/>
      <c r="E167" s="215"/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15"/>
      <c r="AD167" s="196"/>
    </row>
    <row r="168" spans="3:30" s="195" customFormat="1" ht="15">
      <c r="C168" s="215"/>
      <c r="D168" s="215"/>
      <c r="E168" s="215"/>
      <c r="F168" s="215"/>
      <c r="G168" s="215"/>
      <c r="H168" s="215"/>
      <c r="I168" s="215"/>
      <c r="J168" s="215"/>
      <c r="K168" s="215"/>
      <c r="L168" s="215"/>
      <c r="M168" s="215"/>
      <c r="N168" s="215"/>
      <c r="O168" s="215"/>
      <c r="P168" s="215"/>
      <c r="Q168" s="215"/>
      <c r="R168" s="215"/>
      <c r="S168" s="215"/>
      <c r="T168" s="215"/>
      <c r="U168" s="215"/>
      <c r="V168" s="215"/>
      <c r="W168" s="215"/>
      <c r="X168" s="215"/>
      <c r="AD168" s="196"/>
    </row>
    <row r="169" spans="3:30" s="195" customFormat="1" ht="15">
      <c r="C169" s="215"/>
      <c r="D169" s="215"/>
      <c r="E169" s="215"/>
      <c r="F169" s="215"/>
      <c r="G169" s="215"/>
      <c r="H169" s="215"/>
      <c r="I169" s="215"/>
      <c r="J169" s="215"/>
      <c r="K169" s="215"/>
      <c r="L169" s="215"/>
      <c r="M169" s="215"/>
      <c r="N169" s="215"/>
      <c r="O169" s="215"/>
      <c r="P169" s="215"/>
      <c r="Q169" s="215"/>
      <c r="R169" s="215"/>
      <c r="S169" s="215"/>
      <c r="T169" s="215"/>
      <c r="U169" s="215"/>
      <c r="V169" s="215"/>
      <c r="W169" s="215"/>
      <c r="X169" s="215"/>
      <c r="AD169" s="196"/>
    </row>
    <row r="170" spans="3:30" s="195" customFormat="1" ht="15">
      <c r="C170" s="215"/>
      <c r="D170" s="215"/>
      <c r="E170" s="215"/>
      <c r="F170" s="215"/>
      <c r="G170" s="215"/>
      <c r="H170" s="215"/>
      <c r="I170" s="215"/>
      <c r="J170" s="215"/>
      <c r="K170" s="215"/>
      <c r="L170" s="215"/>
      <c r="M170" s="215"/>
      <c r="N170" s="215"/>
      <c r="O170" s="215"/>
      <c r="P170" s="215"/>
      <c r="Q170" s="215"/>
      <c r="R170" s="215"/>
      <c r="S170" s="215"/>
      <c r="T170" s="215"/>
      <c r="U170" s="215"/>
      <c r="V170" s="215"/>
      <c r="W170" s="215"/>
      <c r="X170" s="215"/>
      <c r="AD170" s="196"/>
    </row>
    <row r="171" spans="3:30" s="195" customFormat="1" ht="15">
      <c r="C171" s="215"/>
      <c r="D171" s="215"/>
      <c r="E171" s="215"/>
      <c r="F171" s="215"/>
      <c r="G171" s="215"/>
      <c r="H171" s="215"/>
      <c r="I171" s="215"/>
      <c r="J171" s="215"/>
      <c r="K171" s="215"/>
      <c r="L171" s="215"/>
      <c r="M171" s="215"/>
      <c r="N171" s="215"/>
      <c r="O171" s="215"/>
      <c r="P171" s="215"/>
      <c r="Q171" s="215"/>
      <c r="R171" s="215"/>
      <c r="S171" s="215"/>
      <c r="T171" s="215"/>
      <c r="U171" s="215"/>
      <c r="V171" s="215"/>
      <c r="W171" s="215"/>
      <c r="X171" s="215"/>
      <c r="AD171" s="196"/>
    </row>
    <row r="172" spans="3:30" s="195" customFormat="1" ht="15">
      <c r="C172" s="215"/>
      <c r="D172" s="215"/>
      <c r="E172" s="215"/>
      <c r="F172" s="215"/>
      <c r="G172" s="215"/>
      <c r="H172" s="215"/>
      <c r="I172" s="215"/>
      <c r="J172" s="215"/>
      <c r="K172" s="215"/>
      <c r="L172" s="215"/>
      <c r="M172" s="215"/>
      <c r="N172" s="215"/>
      <c r="O172" s="215"/>
      <c r="P172" s="215"/>
      <c r="Q172" s="215"/>
      <c r="R172" s="215"/>
      <c r="S172" s="215"/>
      <c r="T172" s="215"/>
      <c r="U172" s="215"/>
      <c r="V172" s="215"/>
      <c r="W172" s="215"/>
      <c r="X172" s="215"/>
      <c r="AD172" s="196"/>
    </row>
    <row r="173" spans="3:30" s="195" customFormat="1" ht="15">
      <c r="C173" s="215"/>
      <c r="D173" s="215"/>
      <c r="E173" s="215"/>
      <c r="F173" s="215"/>
      <c r="G173" s="215"/>
      <c r="H173" s="215"/>
      <c r="I173" s="215"/>
      <c r="J173" s="215"/>
      <c r="K173" s="215"/>
      <c r="L173" s="215"/>
      <c r="M173" s="215"/>
      <c r="N173" s="215"/>
      <c r="O173" s="215"/>
      <c r="P173" s="215"/>
      <c r="Q173" s="215"/>
      <c r="R173" s="215"/>
      <c r="S173" s="215"/>
      <c r="T173" s="215"/>
      <c r="U173" s="215"/>
      <c r="V173" s="215"/>
      <c r="W173" s="215"/>
      <c r="X173" s="215"/>
      <c r="AD173" s="196"/>
    </row>
    <row r="174" spans="3:30" s="195" customFormat="1" ht="15">
      <c r="C174" s="215"/>
      <c r="D174" s="215"/>
      <c r="E174" s="215"/>
      <c r="F174" s="215"/>
      <c r="G174" s="215"/>
      <c r="H174" s="215"/>
      <c r="I174" s="215"/>
      <c r="J174" s="215"/>
      <c r="K174" s="215"/>
      <c r="L174" s="215"/>
      <c r="M174" s="215"/>
      <c r="N174" s="215"/>
      <c r="O174" s="215"/>
      <c r="P174" s="215"/>
      <c r="Q174" s="215"/>
      <c r="R174" s="215"/>
      <c r="S174" s="215"/>
      <c r="T174" s="215"/>
      <c r="U174" s="215"/>
      <c r="V174" s="215"/>
      <c r="W174" s="215"/>
      <c r="X174" s="215"/>
      <c r="AD174" s="196"/>
    </row>
    <row r="175" spans="3:30" s="195" customFormat="1" ht="15">
      <c r="C175" s="215"/>
      <c r="D175" s="215"/>
      <c r="E175" s="215"/>
      <c r="F175" s="215"/>
      <c r="G175" s="215"/>
      <c r="H175" s="215"/>
      <c r="I175" s="215"/>
      <c r="J175" s="215"/>
      <c r="K175" s="215"/>
      <c r="L175" s="215"/>
      <c r="M175" s="215"/>
      <c r="N175" s="215"/>
      <c r="O175" s="215"/>
      <c r="P175" s="215"/>
      <c r="Q175" s="215"/>
      <c r="R175" s="215"/>
      <c r="S175" s="215"/>
      <c r="T175" s="215"/>
      <c r="U175" s="215"/>
      <c r="V175" s="215"/>
      <c r="W175" s="215"/>
      <c r="X175" s="215"/>
      <c r="AD175" s="196"/>
    </row>
    <row r="176" spans="3:30" s="195" customFormat="1" ht="15">
      <c r="C176" s="215"/>
      <c r="D176" s="215"/>
      <c r="E176" s="215"/>
      <c r="F176" s="215"/>
      <c r="G176" s="215"/>
      <c r="H176" s="215"/>
      <c r="I176" s="215"/>
      <c r="J176" s="215"/>
      <c r="K176" s="215"/>
      <c r="L176" s="215"/>
      <c r="M176" s="215"/>
      <c r="N176" s="215"/>
      <c r="O176" s="215"/>
      <c r="P176" s="215"/>
      <c r="Q176" s="215"/>
      <c r="R176" s="215"/>
      <c r="S176" s="215"/>
      <c r="T176" s="215"/>
      <c r="U176" s="215"/>
      <c r="V176" s="215"/>
      <c r="W176" s="215"/>
      <c r="X176" s="215"/>
      <c r="AD176" s="196"/>
    </row>
    <row r="177" spans="3:30" s="195" customFormat="1" ht="15">
      <c r="C177" s="215"/>
      <c r="D177" s="215"/>
      <c r="E177" s="215"/>
      <c r="F177" s="215"/>
      <c r="G177" s="215"/>
      <c r="H177" s="215"/>
      <c r="I177" s="215"/>
      <c r="J177" s="215"/>
      <c r="K177" s="215"/>
      <c r="L177" s="215"/>
      <c r="M177" s="215"/>
      <c r="N177" s="215"/>
      <c r="O177" s="215"/>
      <c r="P177" s="215"/>
      <c r="Q177" s="215"/>
      <c r="R177" s="215"/>
      <c r="S177" s="215"/>
      <c r="T177" s="215"/>
      <c r="U177" s="215"/>
      <c r="V177" s="215"/>
      <c r="W177" s="215"/>
      <c r="X177" s="215"/>
      <c r="AD177" s="196"/>
    </row>
    <row r="178" spans="3:30" s="195" customFormat="1" ht="15">
      <c r="C178" s="215"/>
      <c r="D178" s="215"/>
      <c r="E178" s="215"/>
      <c r="F178" s="215"/>
      <c r="G178" s="215"/>
      <c r="H178" s="215"/>
      <c r="I178" s="215"/>
      <c r="J178" s="215"/>
      <c r="K178" s="215"/>
      <c r="L178" s="215"/>
      <c r="M178" s="215"/>
      <c r="N178" s="215"/>
      <c r="O178" s="215"/>
      <c r="P178" s="215"/>
      <c r="Q178" s="215"/>
      <c r="R178" s="215"/>
      <c r="S178" s="215"/>
      <c r="T178" s="215"/>
      <c r="U178" s="215"/>
      <c r="V178" s="215"/>
      <c r="W178" s="215"/>
      <c r="X178" s="215"/>
      <c r="AD178" s="196"/>
    </row>
    <row r="179" spans="3:30" s="195" customFormat="1" ht="15">
      <c r="C179" s="215"/>
      <c r="D179" s="215"/>
      <c r="E179" s="215"/>
      <c r="F179" s="215"/>
      <c r="G179" s="215"/>
      <c r="H179" s="215"/>
      <c r="I179" s="215"/>
      <c r="J179" s="215"/>
      <c r="K179" s="215"/>
      <c r="L179" s="215"/>
      <c r="M179" s="215"/>
      <c r="N179" s="215"/>
      <c r="O179" s="215"/>
      <c r="P179" s="215"/>
      <c r="Q179" s="215"/>
      <c r="R179" s="215"/>
      <c r="S179" s="215"/>
      <c r="T179" s="215"/>
      <c r="U179" s="215"/>
      <c r="V179" s="215"/>
      <c r="W179" s="215"/>
      <c r="X179" s="215"/>
      <c r="AD179" s="196"/>
    </row>
    <row r="180" spans="3:30" s="195" customFormat="1" ht="15">
      <c r="C180" s="215"/>
      <c r="D180" s="215"/>
      <c r="E180" s="215"/>
      <c r="F180" s="215"/>
      <c r="G180" s="215"/>
      <c r="H180" s="215"/>
      <c r="I180" s="215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5"/>
      <c r="V180" s="215"/>
      <c r="W180" s="215"/>
      <c r="X180" s="215"/>
      <c r="AD180" s="196"/>
    </row>
    <row r="181" spans="3:30" s="195" customFormat="1" ht="15">
      <c r="C181" s="215"/>
      <c r="D181" s="215"/>
      <c r="E181" s="215"/>
      <c r="F181" s="215"/>
      <c r="G181" s="215"/>
      <c r="H181" s="215"/>
      <c r="I181" s="215"/>
      <c r="J181" s="215"/>
      <c r="K181" s="215"/>
      <c r="L181" s="215"/>
      <c r="M181" s="215"/>
      <c r="N181" s="215"/>
      <c r="O181" s="215"/>
      <c r="P181" s="215"/>
      <c r="Q181" s="215"/>
      <c r="R181" s="215"/>
      <c r="S181" s="215"/>
      <c r="T181" s="215"/>
      <c r="U181" s="215"/>
      <c r="V181" s="215"/>
      <c r="W181" s="215"/>
      <c r="X181" s="215"/>
      <c r="AD181" s="196"/>
    </row>
    <row r="182" spans="3:30" s="195" customFormat="1" ht="15">
      <c r="C182" s="215"/>
      <c r="D182" s="215"/>
      <c r="E182" s="215"/>
      <c r="F182" s="215"/>
      <c r="G182" s="215"/>
      <c r="H182" s="215"/>
      <c r="I182" s="215"/>
      <c r="J182" s="215"/>
      <c r="K182" s="215"/>
      <c r="L182" s="215"/>
      <c r="M182" s="215"/>
      <c r="N182" s="215"/>
      <c r="O182" s="215"/>
      <c r="P182" s="215"/>
      <c r="Q182" s="215"/>
      <c r="R182" s="215"/>
      <c r="S182" s="215"/>
      <c r="T182" s="215"/>
      <c r="U182" s="215"/>
      <c r="V182" s="215"/>
      <c r="W182" s="215"/>
      <c r="X182" s="215"/>
      <c r="AD182" s="196"/>
    </row>
    <row r="183" spans="3:30" s="195" customFormat="1" ht="15">
      <c r="C183" s="215"/>
      <c r="D183" s="215"/>
      <c r="E183" s="215"/>
      <c r="F183" s="215"/>
      <c r="G183" s="215"/>
      <c r="H183" s="215"/>
      <c r="I183" s="215"/>
      <c r="J183" s="215"/>
      <c r="K183" s="215"/>
      <c r="L183" s="215"/>
      <c r="M183" s="215"/>
      <c r="N183" s="215"/>
      <c r="O183" s="215"/>
      <c r="P183" s="215"/>
      <c r="Q183" s="215"/>
      <c r="R183" s="215"/>
      <c r="S183" s="215"/>
      <c r="T183" s="215"/>
      <c r="U183" s="215"/>
      <c r="V183" s="215"/>
      <c r="W183" s="215"/>
      <c r="X183" s="215"/>
      <c r="AD183" s="196"/>
    </row>
    <row r="184" spans="3:30" s="195" customFormat="1" ht="15">
      <c r="C184" s="215"/>
      <c r="D184" s="215"/>
      <c r="E184" s="215"/>
      <c r="F184" s="215"/>
      <c r="G184" s="215"/>
      <c r="H184" s="215"/>
      <c r="I184" s="215"/>
      <c r="J184" s="215"/>
      <c r="K184" s="215"/>
      <c r="L184" s="215"/>
      <c r="M184" s="215"/>
      <c r="N184" s="215"/>
      <c r="O184" s="215"/>
      <c r="P184" s="215"/>
      <c r="Q184" s="215"/>
      <c r="R184" s="215"/>
      <c r="S184" s="215"/>
      <c r="T184" s="215"/>
      <c r="U184" s="215"/>
      <c r="V184" s="215"/>
      <c r="W184" s="215"/>
      <c r="X184" s="215"/>
      <c r="AD184" s="196"/>
    </row>
    <row r="185" spans="3:30" s="195" customFormat="1" ht="15">
      <c r="C185" s="215"/>
      <c r="D185" s="215"/>
      <c r="E185" s="215"/>
      <c r="F185" s="215"/>
      <c r="G185" s="215"/>
      <c r="H185" s="215"/>
      <c r="I185" s="215"/>
      <c r="J185" s="215"/>
      <c r="K185" s="215"/>
      <c r="L185" s="215"/>
      <c r="M185" s="215"/>
      <c r="N185" s="215"/>
      <c r="O185" s="215"/>
      <c r="P185" s="215"/>
      <c r="Q185" s="215"/>
      <c r="R185" s="215"/>
      <c r="S185" s="215"/>
      <c r="T185" s="215"/>
      <c r="U185" s="215"/>
      <c r="V185" s="215"/>
      <c r="W185" s="215"/>
      <c r="X185" s="215"/>
      <c r="AD185" s="196"/>
    </row>
    <row r="186" spans="3:30" s="195" customFormat="1" ht="15">
      <c r="C186" s="215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  <c r="O186" s="215"/>
      <c r="P186" s="215"/>
      <c r="Q186" s="215"/>
      <c r="R186" s="215"/>
      <c r="S186" s="215"/>
      <c r="T186" s="215"/>
      <c r="U186" s="215"/>
      <c r="V186" s="215"/>
      <c r="W186" s="215"/>
      <c r="X186" s="215"/>
      <c r="AD186" s="196"/>
    </row>
    <row r="187" spans="3:30" s="195" customFormat="1" ht="15"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  <c r="O187" s="215"/>
      <c r="P187" s="215"/>
      <c r="Q187" s="215"/>
      <c r="R187" s="215"/>
      <c r="S187" s="215"/>
      <c r="T187" s="215"/>
      <c r="U187" s="215"/>
      <c r="V187" s="215"/>
      <c r="W187" s="215"/>
      <c r="X187" s="215"/>
      <c r="AD187" s="196"/>
    </row>
    <row r="188" spans="3:30" s="195" customFormat="1" ht="15">
      <c r="C188" s="215"/>
      <c r="D188" s="215"/>
      <c r="E188" s="215"/>
      <c r="F188" s="215"/>
      <c r="G188" s="215"/>
      <c r="H188" s="215"/>
      <c r="I188" s="215"/>
      <c r="J188" s="215"/>
      <c r="K188" s="215"/>
      <c r="L188" s="215"/>
      <c r="M188" s="215"/>
      <c r="N188" s="215"/>
      <c r="O188" s="215"/>
      <c r="P188" s="215"/>
      <c r="Q188" s="215"/>
      <c r="R188" s="215"/>
      <c r="S188" s="215"/>
      <c r="T188" s="215"/>
      <c r="U188" s="215"/>
      <c r="V188" s="215"/>
      <c r="W188" s="215"/>
      <c r="X188" s="215"/>
      <c r="AD188" s="196"/>
    </row>
    <row r="189" spans="3:30" s="195" customFormat="1" ht="15">
      <c r="C189" s="215"/>
      <c r="D189" s="215"/>
      <c r="E189" s="215"/>
      <c r="F189" s="215"/>
      <c r="G189" s="215"/>
      <c r="H189" s="215"/>
      <c r="I189" s="215"/>
      <c r="J189" s="215"/>
      <c r="K189" s="215"/>
      <c r="L189" s="215"/>
      <c r="M189" s="215"/>
      <c r="N189" s="215"/>
      <c r="O189" s="215"/>
      <c r="P189" s="215"/>
      <c r="Q189" s="215"/>
      <c r="R189" s="215"/>
      <c r="S189" s="215"/>
      <c r="T189" s="215"/>
      <c r="U189" s="215"/>
      <c r="V189" s="215"/>
      <c r="W189" s="215"/>
      <c r="X189" s="215"/>
      <c r="AD189" s="196"/>
    </row>
    <row r="190" spans="3:30" s="195" customFormat="1" ht="15">
      <c r="C190" s="215"/>
      <c r="D190" s="215"/>
      <c r="E190" s="215"/>
      <c r="F190" s="215"/>
      <c r="G190" s="215"/>
      <c r="H190" s="215"/>
      <c r="I190" s="215"/>
      <c r="J190" s="215"/>
      <c r="K190" s="215"/>
      <c r="L190" s="215"/>
      <c r="M190" s="215"/>
      <c r="N190" s="215"/>
      <c r="O190" s="215"/>
      <c r="P190" s="215"/>
      <c r="Q190" s="215"/>
      <c r="R190" s="215"/>
      <c r="S190" s="215"/>
      <c r="T190" s="215"/>
      <c r="U190" s="215"/>
      <c r="V190" s="215"/>
      <c r="W190" s="215"/>
      <c r="X190" s="215"/>
      <c r="AD190" s="196"/>
    </row>
    <row r="191" spans="3:30" s="195" customFormat="1" ht="15">
      <c r="C191" s="215"/>
      <c r="D191" s="215"/>
      <c r="E191" s="215"/>
      <c r="F191" s="215"/>
      <c r="G191" s="215"/>
      <c r="H191" s="215"/>
      <c r="I191" s="215"/>
      <c r="J191" s="215"/>
      <c r="K191" s="215"/>
      <c r="L191" s="215"/>
      <c r="M191" s="215"/>
      <c r="N191" s="215"/>
      <c r="O191" s="215"/>
      <c r="P191" s="215"/>
      <c r="Q191" s="215"/>
      <c r="R191" s="215"/>
      <c r="S191" s="215"/>
      <c r="T191" s="215"/>
      <c r="U191" s="215"/>
      <c r="V191" s="215"/>
      <c r="W191" s="215"/>
      <c r="X191" s="215"/>
      <c r="AD191" s="196"/>
    </row>
    <row r="192" spans="3:30" s="195" customFormat="1" ht="15">
      <c r="C192" s="215"/>
      <c r="D192" s="215"/>
      <c r="E192" s="215"/>
      <c r="F192" s="215"/>
      <c r="G192" s="215"/>
      <c r="H192" s="215"/>
      <c r="I192" s="215"/>
      <c r="J192" s="215"/>
      <c r="K192" s="215"/>
      <c r="L192" s="215"/>
      <c r="M192" s="215"/>
      <c r="N192" s="215"/>
      <c r="O192" s="215"/>
      <c r="P192" s="215"/>
      <c r="Q192" s="215"/>
      <c r="R192" s="215"/>
      <c r="S192" s="215"/>
      <c r="T192" s="215"/>
      <c r="U192" s="215"/>
      <c r="V192" s="215"/>
      <c r="W192" s="215"/>
      <c r="X192" s="215"/>
      <c r="AD192" s="196"/>
    </row>
    <row r="193" spans="3:30" s="195" customFormat="1" ht="15">
      <c r="C193" s="215"/>
      <c r="D193" s="215"/>
      <c r="E193" s="215"/>
      <c r="F193" s="215"/>
      <c r="G193" s="215"/>
      <c r="H193" s="215"/>
      <c r="I193" s="215"/>
      <c r="J193" s="215"/>
      <c r="K193" s="215"/>
      <c r="L193" s="215"/>
      <c r="M193" s="215"/>
      <c r="N193" s="215"/>
      <c r="O193" s="215"/>
      <c r="P193" s="215"/>
      <c r="Q193" s="215"/>
      <c r="R193" s="215"/>
      <c r="S193" s="215"/>
      <c r="T193" s="215"/>
      <c r="U193" s="215"/>
      <c r="V193" s="215"/>
      <c r="W193" s="215"/>
      <c r="X193" s="215"/>
      <c r="AD193" s="196"/>
    </row>
    <row r="194" spans="3:30" s="195" customFormat="1" ht="15">
      <c r="C194" s="215"/>
      <c r="D194" s="215"/>
      <c r="E194" s="215"/>
      <c r="F194" s="215"/>
      <c r="G194" s="215"/>
      <c r="H194" s="215"/>
      <c r="I194" s="215"/>
      <c r="J194" s="215"/>
      <c r="K194" s="215"/>
      <c r="L194" s="215"/>
      <c r="M194" s="215"/>
      <c r="N194" s="215"/>
      <c r="O194" s="215"/>
      <c r="P194" s="215"/>
      <c r="Q194" s="215"/>
      <c r="R194" s="215"/>
      <c r="S194" s="215"/>
      <c r="T194" s="215"/>
      <c r="U194" s="215"/>
      <c r="V194" s="215"/>
      <c r="W194" s="215"/>
      <c r="X194" s="215"/>
      <c r="AD194" s="196"/>
    </row>
    <row r="195" spans="3:30" s="195" customFormat="1" ht="15">
      <c r="C195" s="215"/>
      <c r="D195" s="215"/>
      <c r="E195" s="215"/>
      <c r="F195" s="215"/>
      <c r="G195" s="215"/>
      <c r="H195" s="215"/>
      <c r="I195" s="215"/>
      <c r="J195" s="215"/>
      <c r="K195" s="215"/>
      <c r="L195" s="215"/>
      <c r="M195" s="215"/>
      <c r="N195" s="215"/>
      <c r="O195" s="215"/>
      <c r="P195" s="215"/>
      <c r="Q195" s="215"/>
      <c r="R195" s="215"/>
      <c r="S195" s="215"/>
      <c r="T195" s="215"/>
      <c r="U195" s="215"/>
      <c r="V195" s="215"/>
      <c r="W195" s="215"/>
      <c r="X195" s="215"/>
      <c r="AD195" s="196"/>
    </row>
    <row r="196" spans="3:30" s="195" customFormat="1" ht="15">
      <c r="C196" s="215"/>
      <c r="D196" s="215"/>
      <c r="E196" s="215"/>
      <c r="F196" s="215"/>
      <c r="G196" s="215"/>
      <c r="H196" s="215"/>
      <c r="I196" s="215"/>
      <c r="J196" s="215"/>
      <c r="K196" s="215"/>
      <c r="L196" s="215"/>
      <c r="M196" s="215"/>
      <c r="N196" s="215"/>
      <c r="O196" s="215"/>
      <c r="P196" s="215"/>
      <c r="Q196" s="215"/>
      <c r="R196" s="215"/>
      <c r="S196" s="215"/>
      <c r="T196" s="215"/>
      <c r="U196" s="215"/>
      <c r="V196" s="215"/>
      <c r="W196" s="215"/>
      <c r="X196" s="215"/>
      <c r="AD196" s="196"/>
    </row>
    <row r="197" spans="3:30" s="195" customFormat="1" ht="15">
      <c r="C197" s="215"/>
      <c r="D197" s="215"/>
      <c r="E197" s="215"/>
      <c r="F197" s="215"/>
      <c r="G197" s="215"/>
      <c r="H197" s="215"/>
      <c r="I197" s="215"/>
      <c r="J197" s="215"/>
      <c r="K197" s="215"/>
      <c r="L197" s="215"/>
      <c r="M197" s="215"/>
      <c r="N197" s="215"/>
      <c r="O197" s="215"/>
      <c r="P197" s="215"/>
      <c r="Q197" s="215"/>
      <c r="R197" s="215"/>
      <c r="S197" s="215"/>
      <c r="T197" s="215"/>
      <c r="U197" s="215"/>
      <c r="V197" s="215"/>
      <c r="W197" s="215"/>
      <c r="X197" s="215"/>
      <c r="AD197" s="196"/>
    </row>
    <row r="198" spans="3:30" s="195" customFormat="1" ht="15">
      <c r="C198" s="215"/>
      <c r="D198" s="215"/>
      <c r="E198" s="215"/>
      <c r="F198" s="215"/>
      <c r="G198" s="215"/>
      <c r="H198" s="215"/>
      <c r="I198" s="215"/>
      <c r="J198" s="215"/>
      <c r="K198" s="215"/>
      <c r="L198" s="215"/>
      <c r="M198" s="215"/>
      <c r="N198" s="215"/>
      <c r="O198" s="215"/>
      <c r="P198" s="215"/>
      <c r="Q198" s="215"/>
      <c r="R198" s="215"/>
      <c r="S198" s="215"/>
      <c r="T198" s="215"/>
      <c r="U198" s="215"/>
      <c r="V198" s="215"/>
      <c r="W198" s="215"/>
      <c r="X198" s="215"/>
      <c r="AD198" s="196"/>
    </row>
    <row r="199" spans="3:30" s="195" customFormat="1" ht="15">
      <c r="C199" s="215"/>
      <c r="D199" s="215"/>
      <c r="E199" s="215"/>
      <c r="F199" s="215"/>
      <c r="G199" s="215"/>
      <c r="H199" s="215"/>
      <c r="I199" s="215"/>
      <c r="J199" s="215"/>
      <c r="K199" s="215"/>
      <c r="L199" s="215"/>
      <c r="M199" s="215"/>
      <c r="N199" s="215"/>
      <c r="O199" s="215"/>
      <c r="P199" s="215"/>
      <c r="Q199" s="215"/>
      <c r="R199" s="215"/>
      <c r="S199" s="215"/>
      <c r="T199" s="215"/>
      <c r="U199" s="215"/>
      <c r="V199" s="215"/>
      <c r="W199" s="215"/>
      <c r="X199" s="215"/>
      <c r="AD199" s="196"/>
    </row>
    <row r="200" spans="3:30" s="195" customFormat="1" ht="15">
      <c r="C200" s="215"/>
      <c r="D200" s="215"/>
      <c r="E200" s="215"/>
      <c r="F200" s="215"/>
      <c r="G200" s="215"/>
      <c r="H200" s="215"/>
      <c r="I200" s="215"/>
      <c r="J200" s="215"/>
      <c r="K200" s="215"/>
      <c r="L200" s="215"/>
      <c r="M200" s="215"/>
      <c r="N200" s="215"/>
      <c r="O200" s="215"/>
      <c r="P200" s="215"/>
      <c r="Q200" s="215"/>
      <c r="R200" s="215"/>
      <c r="S200" s="215"/>
      <c r="T200" s="215"/>
      <c r="U200" s="215"/>
      <c r="V200" s="215"/>
      <c r="W200" s="215"/>
      <c r="X200" s="215"/>
      <c r="AD200" s="196"/>
    </row>
    <row r="201" spans="3:30" s="195" customFormat="1" ht="15">
      <c r="C201" s="215"/>
      <c r="D201" s="215"/>
      <c r="E201" s="215"/>
      <c r="F201" s="215"/>
      <c r="G201" s="215"/>
      <c r="H201" s="215"/>
      <c r="I201" s="215"/>
      <c r="J201" s="215"/>
      <c r="K201" s="215"/>
      <c r="L201" s="215"/>
      <c r="M201" s="215"/>
      <c r="N201" s="215"/>
      <c r="O201" s="215"/>
      <c r="P201" s="215"/>
      <c r="Q201" s="215"/>
      <c r="R201" s="215"/>
      <c r="S201" s="215"/>
      <c r="T201" s="215"/>
      <c r="U201" s="215"/>
      <c r="V201" s="215"/>
      <c r="W201" s="215"/>
      <c r="X201" s="215"/>
      <c r="AD201" s="196"/>
    </row>
    <row r="202" spans="3:30" s="195" customFormat="1" ht="15">
      <c r="C202" s="215"/>
      <c r="D202" s="215"/>
      <c r="E202" s="215"/>
      <c r="F202" s="215"/>
      <c r="G202" s="215"/>
      <c r="H202" s="215"/>
      <c r="I202" s="215"/>
      <c r="J202" s="215"/>
      <c r="K202" s="215"/>
      <c r="L202" s="215"/>
      <c r="M202" s="215"/>
      <c r="N202" s="215"/>
      <c r="O202" s="215"/>
      <c r="P202" s="215"/>
      <c r="Q202" s="215"/>
      <c r="R202" s="215"/>
      <c r="S202" s="215"/>
      <c r="T202" s="215"/>
      <c r="U202" s="215"/>
      <c r="V202" s="215"/>
      <c r="W202" s="215"/>
      <c r="X202" s="215"/>
      <c r="AD202" s="196"/>
    </row>
    <row r="203" spans="3:30" s="195" customFormat="1" ht="15">
      <c r="C203" s="215"/>
      <c r="D203" s="215"/>
      <c r="E203" s="215"/>
      <c r="F203" s="215"/>
      <c r="G203" s="215"/>
      <c r="H203" s="215"/>
      <c r="I203" s="215"/>
      <c r="J203" s="215"/>
      <c r="K203" s="215"/>
      <c r="L203" s="215"/>
      <c r="M203" s="215"/>
      <c r="N203" s="215"/>
      <c r="O203" s="215"/>
      <c r="P203" s="215"/>
      <c r="Q203" s="215"/>
      <c r="R203" s="215"/>
      <c r="S203" s="215"/>
      <c r="T203" s="215"/>
      <c r="U203" s="215"/>
      <c r="V203" s="215"/>
      <c r="W203" s="215"/>
      <c r="X203" s="215"/>
      <c r="AD203" s="196"/>
    </row>
    <row r="204" spans="3:30" s="195" customFormat="1" ht="15">
      <c r="C204" s="215"/>
      <c r="D204" s="215"/>
      <c r="E204" s="215"/>
      <c r="F204" s="215"/>
      <c r="G204" s="215"/>
      <c r="H204" s="215"/>
      <c r="I204" s="215"/>
      <c r="J204" s="215"/>
      <c r="K204" s="215"/>
      <c r="L204" s="215"/>
      <c r="M204" s="215"/>
      <c r="N204" s="215"/>
      <c r="O204" s="215"/>
      <c r="P204" s="215"/>
      <c r="Q204" s="215"/>
      <c r="R204" s="215"/>
      <c r="S204" s="215"/>
      <c r="T204" s="215"/>
      <c r="U204" s="215"/>
      <c r="V204" s="215"/>
      <c r="W204" s="215"/>
      <c r="X204" s="215"/>
      <c r="AD204" s="196"/>
    </row>
    <row r="205" spans="3:30" s="195" customFormat="1" ht="15">
      <c r="C205" s="215"/>
      <c r="D205" s="215"/>
      <c r="E205" s="215"/>
      <c r="F205" s="215"/>
      <c r="G205" s="215"/>
      <c r="H205" s="215"/>
      <c r="I205" s="215"/>
      <c r="J205" s="215"/>
      <c r="K205" s="215"/>
      <c r="L205" s="215"/>
      <c r="M205" s="215"/>
      <c r="N205" s="215"/>
      <c r="O205" s="215"/>
      <c r="P205" s="215"/>
      <c r="Q205" s="215"/>
      <c r="R205" s="215"/>
      <c r="S205" s="215"/>
      <c r="T205" s="215"/>
      <c r="U205" s="215"/>
      <c r="V205" s="215"/>
      <c r="W205" s="215"/>
      <c r="X205" s="215"/>
      <c r="AD205" s="196"/>
    </row>
    <row r="206" spans="3:30" s="195" customFormat="1" ht="15">
      <c r="C206" s="215"/>
      <c r="D206" s="215"/>
      <c r="E206" s="215"/>
      <c r="F206" s="215"/>
      <c r="G206" s="215"/>
      <c r="H206" s="215"/>
      <c r="I206" s="215"/>
      <c r="J206" s="215"/>
      <c r="K206" s="215"/>
      <c r="L206" s="215"/>
      <c r="M206" s="215"/>
      <c r="N206" s="215"/>
      <c r="O206" s="215"/>
      <c r="P206" s="215"/>
      <c r="Q206" s="215"/>
      <c r="R206" s="215"/>
      <c r="S206" s="215"/>
      <c r="T206" s="215"/>
      <c r="U206" s="215"/>
      <c r="V206" s="215"/>
      <c r="W206" s="215"/>
      <c r="X206" s="215"/>
      <c r="AD206" s="196"/>
    </row>
    <row r="207" spans="3:30" s="195" customFormat="1" ht="15">
      <c r="C207" s="215"/>
      <c r="D207" s="215"/>
      <c r="E207" s="215"/>
      <c r="F207" s="215"/>
      <c r="G207" s="215"/>
      <c r="H207" s="215"/>
      <c r="I207" s="215"/>
      <c r="J207" s="215"/>
      <c r="K207" s="215"/>
      <c r="L207" s="215"/>
      <c r="M207" s="215"/>
      <c r="N207" s="215"/>
      <c r="O207" s="215"/>
      <c r="P207" s="215"/>
      <c r="Q207" s="215"/>
      <c r="R207" s="215"/>
      <c r="S207" s="215"/>
      <c r="T207" s="215"/>
      <c r="U207" s="215"/>
      <c r="V207" s="215"/>
      <c r="W207" s="215"/>
      <c r="X207" s="215"/>
      <c r="AD207" s="196"/>
    </row>
    <row r="208" spans="3:30" s="195" customFormat="1" ht="15">
      <c r="C208" s="215"/>
      <c r="D208" s="215"/>
      <c r="E208" s="215"/>
      <c r="F208" s="215"/>
      <c r="G208" s="215"/>
      <c r="H208" s="215"/>
      <c r="I208" s="215"/>
      <c r="J208" s="215"/>
      <c r="K208" s="215"/>
      <c r="L208" s="215"/>
      <c r="M208" s="215"/>
      <c r="N208" s="215"/>
      <c r="O208" s="215"/>
      <c r="P208" s="215"/>
      <c r="Q208" s="215"/>
      <c r="R208" s="215"/>
      <c r="S208" s="215"/>
      <c r="T208" s="215"/>
      <c r="U208" s="215"/>
      <c r="V208" s="215"/>
      <c r="W208" s="215"/>
      <c r="X208" s="215"/>
      <c r="AD208" s="196"/>
    </row>
    <row r="209" spans="3:30" s="195" customFormat="1" ht="15">
      <c r="C209" s="215"/>
      <c r="D209" s="215"/>
      <c r="E209" s="215"/>
      <c r="F209" s="215"/>
      <c r="G209" s="215"/>
      <c r="H209" s="215"/>
      <c r="I209" s="215"/>
      <c r="J209" s="215"/>
      <c r="K209" s="215"/>
      <c r="L209" s="215"/>
      <c r="M209" s="215"/>
      <c r="N209" s="215"/>
      <c r="O209" s="215"/>
      <c r="P209" s="215"/>
      <c r="Q209" s="215"/>
      <c r="R209" s="215"/>
      <c r="S209" s="215"/>
      <c r="T209" s="215"/>
      <c r="U209" s="215"/>
      <c r="V209" s="215"/>
      <c r="W209" s="215"/>
      <c r="X209" s="215"/>
      <c r="AD209" s="196"/>
    </row>
    <row r="210" spans="3:30" s="195" customFormat="1" ht="15">
      <c r="C210" s="215"/>
      <c r="D210" s="215"/>
      <c r="E210" s="215"/>
      <c r="F210" s="215"/>
      <c r="G210" s="215"/>
      <c r="H210" s="215"/>
      <c r="I210" s="215"/>
      <c r="J210" s="215"/>
      <c r="K210" s="215"/>
      <c r="L210" s="215"/>
      <c r="M210" s="215"/>
      <c r="N210" s="215"/>
      <c r="O210" s="215"/>
      <c r="P210" s="215"/>
      <c r="Q210" s="215"/>
      <c r="R210" s="215"/>
      <c r="S210" s="215"/>
      <c r="T210" s="215"/>
      <c r="U210" s="215"/>
      <c r="V210" s="215"/>
      <c r="W210" s="215"/>
      <c r="X210" s="215"/>
      <c r="AD210" s="196"/>
    </row>
    <row r="211" spans="3:30" s="195" customFormat="1" ht="15">
      <c r="C211" s="215"/>
      <c r="D211" s="215"/>
      <c r="E211" s="215"/>
      <c r="F211" s="215"/>
      <c r="G211" s="215"/>
      <c r="H211" s="215"/>
      <c r="I211" s="215"/>
      <c r="J211" s="215"/>
      <c r="K211" s="215"/>
      <c r="L211" s="215"/>
      <c r="M211" s="215"/>
      <c r="N211" s="215"/>
      <c r="O211" s="215"/>
      <c r="P211" s="215"/>
      <c r="Q211" s="215"/>
      <c r="R211" s="215"/>
      <c r="S211" s="215"/>
      <c r="T211" s="215"/>
      <c r="U211" s="215"/>
      <c r="V211" s="215"/>
      <c r="W211" s="215"/>
      <c r="X211" s="215"/>
      <c r="AD211" s="196"/>
    </row>
    <row r="212" spans="3:30" s="195" customFormat="1" ht="15">
      <c r="C212" s="215"/>
      <c r="D212" s="215"/>
      <c r="E212" s="215"/>
      <c r="F212" s="215"/>
      <c r="G212" s="215"/>
      <c r="H212" s="215"/>
      <c r="I212" s="215"/>
      <c r="J212" s="215"/>
      <c r="K212" s="215"/>
      <c r="L212" s="215"/>
      <c r="M212" s="215"/>
      <c r="N212" s="215"/>
      <c r="O212" s="215"/>
      <c r="P212" s="215"/>
      <c r="Q212" s="215"/>
      <c r="R212" s="215"/>
      <c r="S212" s="215"/>
      <c r="T212" s="215"/>
      <c r="U212" s="215"/>
      <c r="V212" s="215"/>
      <c r="W212" s="215"/>
      <c r="X212" s="215"/>
      <c r="AD212" s="196"/>
    </row>
    <row r="213" spans="3:30" s="195" customFormat="1" ht="15"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15"/>
      <c r="AD213" s="196"/>
    </row>
    <row r="214" spans="3:30" s="195" customFormat="1" ht="15">
      <c r="C214" s="215"/>
      <c r="D214" s="215"/>
      <c r="E214" s="215"/>
      <c r="F214" s="215"/>
      <c r="G214" s="215"/>
      <c r="H214" s="215"/>
      <c r="I214" s="215"/>
      <c r="J214" s="215"/>
      <c r="K214" s="215"/>
      <c r="L214" s="215"/>
      <c r="M214" s="215"/>
      <c r="N214" s="215"/>
      <c r="O214" s="215"/>
      <c r="P214" s="215"/>
      <c r="Q214" s="215"/>
      <c r="R214" s="215"/>
      <c r="S214" s="215"/>
      <c r="T214" s="215"/>
      <c r="U214" s="215"/>
      <c r="V214" s="215"/>
      <c r="W214" s="215"/>
      <c r="X214" s="215"/>
      <c r="AD214" s="196"/>
    </row>
    <row r="215" spans="3:30" s="195" customFormat="1" ht="15">
      <c r="C215" s="215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15"/>
      <c r="AD215" s="196"/>
    </row>
    <row r="216" spans="3:30" s="195" customFormat="1" ht="15">
      <c r="C216" s="215"/>
      <c r="D216" s="215"/>
      <c r="E216" s="215"/>
      <c r="F216" s="215"/>
      <c r="G216" s="215"/>
      <c r="H216" s="215"/>
      <c r="I216" s="215"/>
      <c r="J216" s="215"/>
      <c r="K216" s="215"/>
      <c r="L216" s="215"/>
      <c r="M216" s="215"/>
      <c r="N216" s="215"/>
      <c r="O216" s="215"/>
      <c r="P216" s="215"/>
      <c r="Q216" s="215"/>
      <c r="R216" s="215"/>
      <c r="S216" s="215"/>
      <c r="T216" s="215"/>
      <c r="U216" s="215"/>
      <c r="V216" s="215"/>
      <c r="W216" s="215"/>
      <c r="X216" s="215"/>
      <c r="AD216" s="196"/>
    </row>
    <row r="217" spans="3:30" s="195" customFormat="1" ht="15">
      <c r="C217" s="215"/>
      <c r="D217" s="215"/>
      <c r="E217" s="215"/>
      <c r="F217" s="215"/>
      <c r="G217" s="215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15"/>
      <c r="X217" s="215"/>
      <c r="AD217" s="196"/>
    </row>
    <row r="218" spans="3:30" s="195" customFormat="1" ht="15">
      <c r="C218" s="215"/>
      <c r="D218" s="215"/>
      <c r="E218" s="215"/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15"/>
      <c r="AD218" s="196"/>
    </row>
    <row r="219" spans="3:30" s="195" customFormat="1" ht="15">
      <c r="C219" s="215"/>
      <c r="D219" s="215"/>
      <c r="E219" s="215"/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15"/>
      <c r="AD219" s="196"/>
    </row>
    <row r="220" spans="3:30" s="195" customFormat="1" ht="15">
      <c r="C220" s="215"/>
      <c r="D220" s="215"/>
      <c r="E220" s="215"/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15"/>
      <c r="AD220" s="196"/>
    </row>
    <row r="221" spans="3:30" s="195" customFormat="1" ht="15">
      <c r="C221" s="215"/>
      <c r="D221" s="215"/>
      <c r="E221" s="215"/>
      <c r="F221" s="215"/>
      <c r="G221" s="215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15"/>
      <c r="X221" s="215"/>
      <c r="AD221" s="196"/>
    </row>
    <row r="222" spans="3:30" s="195" customFormat="1" ht="15">
      <c r="C222" s="215"/>
      <c r="D222" s="215"/>
      <c r="E222" s="215"/>
      <c r="F222" s="215"/>
      <c r="G222" s="215"/>
      <c r="H222" s="215"/>
      <c r="I222" s="215"/>
      <c r="J222" s="215"/>
      <c r="K222" s="215"/>
      <c r="L222" s="215"/>
      <c r="M222" s="215"/>
      <c r="N222" s="215"/>
      <c r="O222" s="215"/>
      <c r="P222" s="215"/>
      <c r="Q222" s="215"/>
      <c r="R222" s="215"/>
      <c r="S222" s="215"/>
      <c r="T222" s="215"/>
      <c r="U222" s="215"/>
      <c r="V222" s="215"/>
      <c r="W222" s="215"/>
      <c r="X222" s="215"/>
      <c r="AD222" s="196"/>
    </row>
    <row r="223" spans="3:30" s="195" customFormat="1" ht="15">
      <c r="C223" s="215"/>
      <c r="D223" s="215"/>
      <c r="E223" s="215"/>
      <c r="F223" s="215"/>
      <c r="G223" s="215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15"/>
      <c r="X223" s="215"/>
      <c r="AD223" s="196"/>
    </row>
    <row r="224" spans="3:30" s="195" customFormat="1" ht="15">
      <c r="C224" s="215"/>
      <c r="D224" s="215"/>
      <c r="E224" s="215"/>
      <c r="F224" s="215"/>
      <c r="G224" s="215"/>
      <c r="H224" s="215"/>
      <c r="I224" s="215"/>
      <c r="J224" s="215"/>
      <c r="K224" s="215"/>
      <c r="L224" s="215"/>
      <c r="M224" s="215"/>
      <c r="N224" s="215"/>
      <c r="O224" s="215"/>
      <c r="P224" s="215"/>
      <c r="Q224" s="215"/>
      <c r="R224" s="215"/>
      <c r="S224" s="215"/>
      <c r="T224" s="215"/>
      <c r="U224" s="215"/>
      <c r="V224" s="215"/>
      <c r="W224" s="215"/>
      <c r="X224" s="215"/>
      <c r="AD224" s="196"/>
    </row>
    <row r="225" spans="3:30" s="195" customFormat="1" ht="15">
      <c r="C225" s="215"/>
      <c r="D225" s="215"/>
      <c r="E225" s="215"/>
      <c r="F225" s="215"/>
      <c r="G225" s="215"/>
      <c r="H225" s="215"/>
      <c r="I225" s="215"/>
      <c r="J225" s="215"/>
      <c r="K225" s="215"/>
      <c r="L225" s="215"/>
      <c r="M225" s="215"/>
      <c r="N225" s="215"/>
      <c r="O225" s="215"/>
      <c r="P225" s="215"/>
      <c r="Q225" s="215"/>
      <c r="R225" s="215"/>
      <c r="S225" s="215"/>
      <c r="T225" s="215"/>
      <c r="U225" s="215"/>
      <c r="V225" s="215"/>
      <c r="W225" s="215"/>
      <c r="X225" s="215"/>
      <c r="AD225" s="196"/>
    </row>
    <row r="226" spans="3:30" s="195" customFormat="1" ht="15">
      <c r="C226" s="215"/>
      <c r="D226" s="215"/>
      <c r="E226" s="215"/>
      <c r="F226" s="215"/>
      <c r="G226" s="215"/>
      <c r="H226" s="215"/>
      <c r="I226" s="215"/>
      <c r="J226" s="215"/>
      <c r="K226" s="215"/>
      <c r="L226" s="215"/>
      <c r="M226" s="215"/>
      <c r="N226" s="215"/>
      <c r="O226" s="215"/>
      <c r="P226" s="215"/>
      <c r="Q226" s="215"/>
      <c r="R226" s="215"/>
      <c r="S226" s="215"/>
      <c r="T226" s="215"/>
      <c r="U226" s="215"/>
      <c r="V226" s="215"/>
      <c r="W226" s="215"/>
      <c r="X226" s="215"/>
      <c r="AD226" s="196"/>
    </row>
    <row r="227" spans="3:30" s="195" customFormat="1" ht="15">
      <c r="C227" s="215"/>
      <c r="D227" s="215"/>
      <c r="E227" s="215"/>
      <c r="F227" s="215"/>
      <c r="G227" s="215"/>
      <c r="H227" s="215"/>
      <c r="I227" s="215"/>
      <c r="J227" s="215"/>
      <c r="K227" s="215"/>
      <c r="L227" s="215"/>
      <c r="M227" s="215"/>
      <c r="N227" s="215"/>
      <c r="O227" s="215"/>
      <c r="P227" s="215"/>
      <c r="Q227" s="215"/>
      <c r="R227" s="215"/>
      <c r="S227" s="215"/>
      <c r="T227" s="215"/>
      <c r="U227" s="215"/>
      <c r="V227" s="215"/>
      <c r="W227" s="215"/>
      <c r="X227" s="215"/>
      <c r="AD227" s="196"/>
    </row>
    <row r="228" spans="3:30" s="195" customFormat="1" ht="15">
      <c r="C228" s="215"/>
      <c r="D228" s="215"/>
      <c r="E228" s="215"/>
      <c r="F228" s="215"/>
      <c r="G228" s="215"/>
      <c r="H228" s="215"/>
      <c r="I228" s="215"/>
      <c r="J228" s="215"/>
      <c r="K228" s="215"/>
      <c r="L228" s="215"/>
      <c r="M228" s="215"/>
      <c r="N228" s="215"/>
      <c r="O228" s="215"/>
      <c r="P228" s="215"/>
      <c r="Q228" s="215"/>
      <c r="R228" s="215"/>
      <c r="S228" s="215"/>
      <c r="T228" s="215"/>
      <c r="U228" s="215"/>
      <c r="V228" s="215"/>
      <c r="W228" s="215"/>
      <c r="X228" s="215"/>
      <c r="AD228" s="196"/>
    </row>
    <row r="229" spans="3:30" s="195" customFormat="1" ht="15">
      <c r="C229" s="215"/>
      <c r="D229" s="215"/>
      <c r="E229" s="215"/>
      <c r="F229" s="215"/>
      <c r="G229" s="215"/>
      <c r="H229" s="215"/>
      <c r="I229" s="215"/>
      <c r="J229" s="215"/>
      <c r="K229" s="215"/>
      <c r="L229" s="215"/>
      <c r="M229" s="215"/>
      <c r="N229" s="215"/>
      <c r="O229" s="215"/>
      <c r="P229" s="215"/>
      <c r="Q229" s="215"/>
      <c r="R229" s="215"/>
      <c r="S229" s="215"/>
      <c r="T229" s="215"/>
      <c r="U229" s="215"/>
      <c r="V229" s="215"/>
      <c r="W229" s="215"/>
      <c r="X229" s="215"/>
      <c r="AD229" s="196"/>
    </row>
    <row r="230" spans="3:30" s="195" customFormat="1" ht="15">
      <c r="C230" s="215"/>
      <c r="D230" s="215"/>
      <c r="E230" s="215"/>
      <c r="F230" s="215"/>
      <c r="G230" s="215"/>
      <c r="H230" s="215"/>
      <c r="I230" s="215"/>
      <c r="J230" s="215"/>
      <c r="K230" s="215"/>
      <c r="L230" s="215"/>
      <c r="M230" s="215"/>
      <c r="N230" s="215"/>
      <c r="O230" s="215"/>
      <c r="P230" s="215"/>
      <c r="Q230" s="215"/>
      <c r="R230" s="215"/>
      <c r="S230" s="215"/>
      <c r="T230" s="215"/>
      <c r="U230" s="215"/>
      <c r="V230" s="215"/>
      <c r="W230" s="215"/>
      <c r="X230" s="215"/>
      <c r="AD230" s="196"/>
    </row>
    <row r="231" spans="3:30" s="195" customFormat="1" ht="15">
      <c r="C231" s="215"/>
      <c r="D231" s="215"/>
      <c r="E231" s="215"/>
      <c r="F231" s="215"/>
      <c r="G231" s="215"/>
      <c r="H231" s="215"/>
      <c r="I231" s="215"/>
      <c r="J231" s="215"/>
      <c r="K231" s="215"/>
      <c r="L231" s="215"/>
      <c r="M231" s="215"/>
      <c r="N231" s="215"/>
      <c r="O231" s="215"/>
      <c r="P231" s="215"/>
      <c r="Q231" s="215"/>
      <c r="R231" s="215"/>
      <c r="S231" s="215"/>
      <c r="T231" s="215"/>
      <c r="U231" s="215"/>
      <c r="V231" s="215"/>
      <c r="W231" s="215"/>
      <c r="X231" s="215"/>
      <c r="AD231" s="196"/>
    </row>
    <row r="232" spans="3:30" s="195" customFormat="1" ht="15">
      <c r="C232" s="215"/>
      <c r="D232" s="215"/>
      <c r="E232" s="215"/>
      <c r="F232" s="215"/>
      <c r="G232" s="215"/>
      <c r="H232" s="215"/>
      <c r="I232" s="215"/>
      <c r="J232" s="215"/>
      <c r="K232" s="215"/>
      <c r="L232" s="215"/>
      <c r="M232" s="215"/>
      <c r="N232" s="215"/>
      <c r="O232" s="215"/>
      <c r="P232" s="215"/>
      <c r="Q232" s="215"/>
      <c r="R232" s="215"/>
      <c r="S232" s="215"/>
      <c r="T232" s="215"/>
      <c r="U232" s="215"/>
      <c r="V232" s="215"/>
      <c r="W232" s="215"/>
      <c r="X232" s="215"/>
      <c r="AD232" s="196"/>
    </row>
    <row r="233" spans="3:30" s="195" customFormat="1" ht="15">
      <c r="C233" s="215"/>
      <c r="D233" s="215"/>
      <c r="E233" s="215"/>
      <c r="F233" s="215"/>
      <c r="G233" s="215"/>
      <c r="H233" s="215"/>
      <c r="I233" s="215"/>
      <c r="J233" s="215"/>
      <c r="K233" s="215"/>
      <c r="L233" s="215"/>
      <c r="M233" s="215"/>
      <c r="N233" s="215"/>
      <c r="O233" s="215"/>
      <c r="P233" s="215"/>
      <c r="Q233" s="215"/>
      <c r="R233" s="215"/>
      <c r="S233" s="215"/>
      <c r="T233" s="215"/>
      <c r="U233" s="215"/>
      <c r="V233" s="215"/>
      <c r="W233" s="215"/>
      <c r="X233" s="215"/>
      <c r="AD233" s="196"/>
    </row>
    <row r="234" spans="3:30" s="195" customFormat="1" ht="15">
      <c r="C234" s="215"/>
      <c r="D234" s="215"/>
      <c r="E234" s="215"/>
      <c r="F234" s="215"/>
      <c r="G234" s="215"/>
      <c r="H234" s="215"/>
      <c r="I234" s="215"/>
      <c r="J234" s="215"/>
      <c r="K234" s="215"/>
      <c r="L234" s="215"/>
      <c r="M234" s="215"/>
      <c r="N234" s="215"/>
      <c r="O234" s="215"/>
      <c r="P234" s="215"/>
      <c r="Q234" s="215"/>
      <c r="R234" s="215"/>
      <c r="S234" s="215"/>
      <c r="T234" s="215"/>
      <c r="U234" s="215"/>
      <c r="V234" s="215"/>
      <c r="W234" s="215"/>
      <c r="X234" s="215"/>
      <c r="AD234" s="196"/>
    </row>
    <row r="235" spans="3:30" s="195" customFormat="1" ht="15">
      <c r="C235" s="215"/>
      <c r="D235" s="215"/>
      <c r="E235" s="215"/>
      <c r="F235" s="215"/>
      <c r="G235" s="215"/>
      <c r="H235" s="215"/>
      <c r="I235" s="215"/>
      <c r="J235" s="215"/>
      <c r="K235" s="215"/>
      <c r="L235" s="215"/>
      <c r="M235" s="215"/>
      <c r="N235" s="215"/>
      <c r="O235" s="215"/>
      <c r="P235" s="215"/>
      <c r="Q235" s="215"/>
      <c r="R235" s="215"/>
      <c r="S235" s="215"/>
      <c r="T235" s="215"/>
      <c r="U235" s="215"/>
      <c r="V235" s="215"/>
      <c r="W235" s="215"/>
      <c r="X235" s="215"/>
      <c r="AD235" s="196"/>
    </row>
    <row r="236" spans="3:30" s="195" customFormat="1" ht="15">
      <c r="C236" s="215"/>
      <c r="D236" s="215"/>
      <c r="E236" s="215"/>
      <c r="F236" s="215"/>
      <c r="G236" s="215"/>
      <c r="H236" s="215"/>
      <c r="I236" s="215"/>
      <c r="J236" s="215"/>
      <c r="K236" s="215"/>
      <c r="L236" s="215"/>
      <c r="M236" s="215"/>
      <c r="N236" s="215"/>
      <c r="O236" s="215"/>
      <c r="P236" s="215"/>
      <c r="Q236" s="215"/>
      <c r="R236" s="215"/>
      <c r="S236" s="215"/>
      <c r="T236" s="215"/>
      <c r="U236" s="215"/>
      <c r="V236" s="215"/>
      <c r="W236" s="215"/>
      <c r="X236" s="215"/>
      <c r="AD236" s="196"/>
    </row>
    <row r="237" spans="3:30" s="195" customFormat="1" ht="15">
      <c r="C237" s="215"/>
      <c r="D237" s="215"/>
      <c r="E237" s="215"/>
      <c r="F237" s="215"/>
      <c r="G237" s="215"/>
      <c r="H237" s="215"/>
      <c r="I237" s="215"/>
      <c r="J237" s="215"/>
      <c r="K237" s="215"/>
      <c r="L237" s="215"/>
      <c r="M237" s="215"/>
      <c r="N237" s="215"/>
      <c r="O237" s="215"/>
      <c r="P237" s="215"/>
      <c r="Q237" s="215"/>
      <c r="R237" s="215"/>
      <c r="S237" s="215"/>
      <c r="T237" s="215"/>
      <c r="U237" s="215"/>
      <c r="V237" s="215"/>
      <c r="W237" s="215"/>
      <c r="X237" s="215"/>
      <c r="AD237" s="196"/>
    </row>
    <row r="238" spans="3:30" s="195" customFormat="1" ht="15">
      <c r="C238" s="215"/>
      <c r="D238" s="215"/>
      <c r="E238" s="215"/>
      <c r="F238" s="215"/>
      <c r="G238" s="215"/>
      <c r="H238" s="215"/>
      <c r="I238" s="215"/>
      <c r="J238" s="215"/>
      <c r="K238" s="215"/>
      <c r="L238" s="215"/>
      <c r="M238" s="215"/>
      <c r="N238" s="215"/>
      <c r="O238" s="215"/>
      <c r="P238" s="215"/>
      <c r="Q238" s="215"/>
      <c r="R238" s="215"/>
      <c r="S238" s="215"/>
      <c r="T238" s="215"/>
      <c r="U238" s="215"/>
      <c r="V238" s="215"/>
      <c r="W238" s="215"/>
      <c r="X238" s="215"/>
      <c r="AD238" s="196"/>
    </row>
    <row r="239" spans="3:30" s="195" customFormat="1" ht="15"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  <c r="O239" s="215"/>
      <c r="P239" s="215"/>
      <c r="Q239" s="215"/>
      <c r="R239" s="215"/>
      <c r="S239" s="215"/>
      <c r="T239" s="215"/>
      <c r="U239" s="215"/>
      <c r="V239" s="215"/>
      <c r="W239" s="215"/>
      <c r="X239" s="215"/>
      <c r="AD239" s="196"/>
    </row>
    <row r="240" spans="3:30" s="195" customFormat="1" ht="15">
      <c r="C240" s="215"/>
      <c r="D240" s="215"/>
      <c r="E240" s="215"/>
      <c r="F240" s="215"/>
      <c r="G240" s="215"/>
      <c r="H240" s="215"/>
      <c r="I240" s="215"/>
      <c r="J240" s="215"/>
      <c r="K240" s="215"/>
      <c r="L240" s="215"/>
      <c r="M240" s="215"/>
      <c r="N240" s="215"/>
      <c r="O240" s="215"/>
      <c r="P240" s="215"/>
      <c r="Q240" s="215"/>
      <c r="R240" s="215"/>
      <c r="S240" s="215"/>
      <c r="T240" s="215"/>
      <c r="U240" s="215"/>
      <c r="V240" s="215"/>
      <c r="W240" s="215"/>
      <c r="X240" s="215"/>
      <c r="AD240" s="196"/>
    </row>
    <row r="241" spans="3:30" s="195" customFormat="1" ht="15">
      <c r="C241" s="215"/>
      <c r="D241" s="215"/>
      <c r="E241" s="215"/>
      <c r="F241" s="215"/>
      <c r="G241" s="215"/>
      <c r="H241" s="215"/>
      <c r="I241" s="215"/>
      <c r="J241" s="215"/>
      <c r="K241" s="215"/>
      <c r="L241" s="215"/>
      <c r="M241" s="215"/>
      <c r="N241" s="215"/>
      <c r="O241" s="215"/>
      <c r="P241" s="215"/>
      <c r="Q241" s="215"/>
      <c r="R241" s="215"/>
      <c r="S241" s="215"/>
      <c r="T241" s="215"/>
      <c r="U241" s="215"/>
      <c r="V241" s="215"/>
      <c r="W241" s="215"/>
      <c r="X241" s="215"/>
      <c r="AD241" s="196"/>
    </row>
    <row r="242" spans="3:30" s="195" customFormat="1" ht="15">
      <c r="C242" s="215"/>
      <c r="D242" s="215"/>
      <c r="E242" s="215"/>
      <c r="F242" s="215"/>
      <c r="G242" s="215"/>
      <c r="H242" s="215"/>
      <c r="I242" s="215"/>
      <c r="J242" s="215"/>
      <c r="K242" s="215"/>
      <c r="L242" s="215"/>
      <c r="M242" s="215"/>
      <c r="N242" s="215"/>
      <c r="O242" s="215"/>
      <c r="P242" s="215"/>
      <c r="Q242" s="215"/>
      <c r="R242" s="215"/>
      <c r="S242" s="215"/>
      <c r="T242" s="215"/>
      <c r="U242" s="215"/>
      <c r="V242" s="215"/>
      <c r="W242" s="215"/>
      <c r="X242" s="215"/>
      <c r="AD242" s="196"/>
    </row>
    <row r="243" spans="3:30" s="195" customFormat="1" ht="15">
      <c r="C243" s="215"/>
      <c r="D243" s="215"/>
      <c r="E243" s="215"/>
      <c r="F243" s="215"/>
      <c r="G243" s="215"/>
      <c r="H243" s="215"/>
      <c r="I243" s="215"/>
      <c r="J243" s="215"/>
      <c r="K243" s="215"/>
      <c r="L243" s="215"/>
      <c r="M243" s="215"/>
      <c r="N243" s="215"/>
      <c r="O243" s="215"/>
      <c r="P243" s="215"/>
      <c r="Q243" s="215"/>
      <c r="R243" s="215"/>
      <c r="S243" s="215"/>
      <c r="T243" s="215"/>
      <c r="U243" s="215"/>
      <c r="V243" s="215"/>
      <c r="W243" s="215"/>
      <c r="X243" s="215"/>
      <c r="AD243" s="196"/>
    </row>
    <row r="244" spans="3:30" s="195" customFormat="1" ht="15">
      <c r="C244" s="215"/>
      <c r="D244" s="215"/>
      <c r="E244" s="215"/>
      <c r="F244" s="215"/>
      <c r="G244" s="215"/>
      <c r="H244" s="215"/>
      <c r="I244" s="215"/>
      <c r="J244" s="215"/>
      <c r="K244" s="215"/>
      <c r="L244" s="215"/>
      <c r="M244" s="215"/>
      <c r="N244" s="215"/>
      <c r="O244" s="215"/>
      <c r="P244" s="215"/>
      <c r="Q244" s="215"/>
      <c r="R244" s="215"/>
      <c r="S244" s="215"/>
      <c r="T244" s="215"/>
      <c r="U244" s="215"/>
      <c r="V244" s="215"/>
      <c r="W244" s="215"/>
      <c r="X244" s="215"/>
      <c r="AD244" s="196"/>
    </row>
    <row r="245" spans="3:30" s="195" customFormat="1" ht="15">
      <c r="C245" s="215"/>
      <c r="D245" s="215"/>
      <c r="E245" s="215"/>
      <c r="F245" s="215"/>
      <c r="G245" s="215"/>
      <c r="H245" s="215"/>
      <c r="I245" s="215"/>
      <c r="J245" s="215"/>
      <c r="K245" s="215"/>
      <c r="L245" s="215"/>
      <c r="M245" s="215"/>
      <c r="N245" s="215"/>
      <c r="O245" s="215"/>
      <c r="P245" s="215"/>
      <c r="Q245" s="215"/>
      <c r="R245" s="215"/>
      <c r="S245" s="215"/>
      <c r="T245" s="215"/>
      <c r="U245" s="215"/>
      <c r="V245" s="215"/>
      <c r="W245" s="215"/>
      <c r="X245" s="215"/>
      <c r="AD245" s="196"/>
    </row>
    <row r="246" spans="3:30" s="195" customFormat="1" ht="15">
      <c r="C246" s="215"/>
      <c r="D246" s="215"/>
      <c r="E246" s="215"/>
      <c r="F246" s="215"/>
      <c r="G246" s="215"/>
      <c r="H246" s="215"/>
      <c r="I246" s="215"/>
      <c r="J246" s="215"/>
      <c r="K246" s="215"/>
      <c r="L246" s="215"/>
      <c r="M246" s="215"/>
      <c r="N246" s="215"/>
      <c r="O246" s="215"/>
      <c r="P246" s="215"/>
      <c r="Q246" s="215"/>
      <c r="R246" s="215"/>
      <c r="S246" s="215"/>
      <c r="T246" s="215"/>
      <c r="U246" s="215"/>
      <c r="V246" s="215"/>
      <c r="W246" s="215"/>
      <c r="X246" s="215"/>
      <c r="AD246" s="196"/>
    </row>
    <row r="247" spans="3:30" s="195" customFormat="1" ht="15">
      <c r="C247" s="215"/>
      <c r="D247" s="215"/>
      <c r="E247" s="215"/>
      <c r="F247" s="215"/>
      <c r="G247" s="215"/>
      <c r="H247" s="215"/>
      <c r="I247" s="215"/>
      <c r="J247" s="215"/>
      <c r="K247" s="215"/>
      <c r="L247" s="215"/>
      <c r="M247" s="215"/>
      <c r="N247" s="215"/>
      <c r="O247" s="215"/>
      <c r="P247" s="215"/>
      <c r="Q247" s="215"/>
      <c r="R247" s="215"/>
      <c r="S247" s="215"/>
      <c r="T247" s="215"/>
      <c r="U247" s="215"/>
      <c r="V247" s="215"/>
      <c r="W247" s="215"/>
      <c r="X247" s="215"/>
      <c r="AD247" s="196"/>
    </row>
    <row r="248" spans="3:30" s="195" customFormat="1" ht="15">
      <c r="C248" s="215"/>
      <c r="D248" s="215"/>
      <c r="E248" s="215"/>
      <c r="F248" s="215"/>
      <c r="G248" s="215"/>
      <c r="H248" s="215"/>
      <c r="I248" s="215"/>
      <c r="J248" s="215"/>
      <c r="K248" s="215"/>
      <c r="L248" s="215"/>
      <c r="M248" s="215"/>
      <c r="N248" s="215"/>
      <c r="O248" s="215"/>
      <c r="P248" s="215"/>
      <c r="Q248" s="215"/>
      <c r="R248" s="215"/>
      <c r="S248" s="215"/>
      <c r="T248" s="215"/>
      <c r="U248" s="215"/>
      <c r="V248" s="215"/>
      <c r="W248" s="215"/>
      <c r="X248" s="215"/>
      <c r="AD248" s="196"/>
    </row>
    <row r="249" spans="3:30" s="195" customFormat="1" ht="15">
      <c r="C249" s="215"/>
      <c r="D249" s="215"/>
      <c r="E249" s="215"/>
      <c r="F249" s="215"/>
      <c r="G249" s="215"/>
      <c r="H249" s="215"/>
      <c r="I249" s="215"/>
      <c r="J249" s="215"/>
      <c r="K249" s="215"/>
      <c r="L249" s="215"/>
      <c r="M249" s="215"/>
      <c r="N249" s="215"/>
      <c r="O249" s="215"/>
      <c r="P249" s="215"/>
      <c r="Q249" s="215"/>
      <c r="R249" s="215"/>
      <c r="S249" s="215"/>
      <c r="T249" s="215"/>
      <c r="U249" s="215"/>
      <c r="V249" s="215"/>
      <c r="W249" s="215"/>
      <c r="X249" s="215"/>
      <c r="AD249" s="196"/>
    </row>
    <row r="250" spans="3:30" s="195" customFormat="1" ht="15">
      <c r="C250" s="215"/>
      <c r="D250" s="215"/>
      <c r="E250" s="215"/>
      <c r="F250" s="215"/>
      <c r="G250" s="215"/>
      <c r="H250" s="215"/>
      <c r="I250" s="215"/>
      <c r="J250" s="215"/>
      <c r="K250" s="215"/>
      <c r="L250" s="215"/>
      <c r="M250" s="215"/>
      <c r="N250" s="215"/>
      <c r="O250" s="215"/>
      <c r="P250" s="215"/>
      <c r="Q250" s="215"/>
      <c r="R250" s="215"/>
      <c r="S250" s="215"/>
      <c r="T250" s="215"/>
      <c r="U250" s="215"/>
      <c r="V250" s="215"/>
      <c r="W250" s="215"/>
      <c r="X250" s="215"/>
      <c r="AD250" s="196"/>
    </row>
    <row r="251" spans="3:30" s="195" customFormat="1" ht="15">
      <c r="C251" s="215"/>
      <c r="D251" s="215"/>
      <c r="E251" s="215"/>
      <c r="F251" s="215"/>
      <c r="G251" s="215"/>
      <c r="H251" s="215"/>
      <c r="I251" s="215"/>
      <c r="J251" s="215"/>
      <c r="K251" s="215"/>
      <c r="L251" s="215"/>
      <c r="M251" s="215"/>
      <c r="N251" s="215"/>
      <c r="O251" s="215"/>
      <c r="P251" s="215"/>
      <c r="Q251" s="215"/>
      <c r="R251" s="215"/>
      <c r="S251" s="215"/>
      <c r="T251" s="215"/>
      <c r="U251" s="215"/>
      <c r="V251" s="215"/>
      <c r="W251" s="215"/>
      <c r="X251" s="215"/>
      <c r="AD251" s="196"/>
    </row>
    <row r="252" spans="3:30" s="195" customFormat="1" ht="15">
      <c r="C252" s="215"/>
      <c r="D252" s="215"/>
      <c r="E252" s="215"/>
      <c r="F252" s="215"/>
      <c r="G252" s="215"/>
      <c r="H252" s="215"/>
      <c r="I252" s="215"/>
      <c r="J252" s="215"/>
      <c r="K252" s="215"/>
      <c r="L252" s="215"/>
      <c r="M252" s="215"/>
      <c r="N252" s="215"/>
      <c r="O252" s="215"/>
      <c r="P252" s="215"/>
      <c r="Q252" s="215"/>
      <c r="R252" s="215"/>
      <c r="S252" s="215"/>
      <c r="T252" s="215"/>
      <c r="U252" s="215"/>
      <c r="V252" s="215"/>
      <c r="W252" s="215"/>
      <c r="X252" s="215"/>
      <c r="AD252" s="196"/>
    </row>
    <row r="253" spans="3:30" s="195" customFormat="1" ht="15">
      <c r="C253" s="215"/>
      <c r="D253" s="215"/>
      <c r="E253" s="215"/>
      <c r="F253" s="215"/>
      <c r="G253" s="215"/>
      <c r="H253" s="215"/>
      <c r="I253" s="215"/>
      <c r="J253" s="215"/>
      <c r="K253" s="215"/>
      <c r="L253" s="215"/>
      <c r="M253" s="215"/>
      <c r="N253" s="215"/>
      <c r="O253" s="215"/>
      <c r="P253" s="215"/>
      <c r="Q253" s="215"/>
      <c r="R253" s="215"/>
      <c r="S253" s="215"/>
      <c r="T253" s="215"/>
      <c r="U253" s="215"/>
      <c r="V253" s="215"/>
      <c r="W253" s="215"/>
      <c r="X253" s="215"/>
      <c r="AD253" s="196"/>
    </row>
    <row r="254" spans="3:30" s="195" customFormat="1" ht="15">
      <c r="C254" s="215"/>
      <c r="D254" s="215"/>
      <c r="E254" s="215"/>
      <c r="F254" s="215"/>
      <c r="G254" s="215"/>
      <c r="H254" s="215"/>
      <c r="I254" s="215"/>
      <c r="J254" s="215"/>
      <c r="K254" s="215"/>
      <c r="L254" s="215"/>
      <c r="M254" s="215"/>
      <c r="N254" s="215"/>
      <c r="O254" s="215"/>
      <c r="P254" s="215"/>
      <c r="Q254" s="215"/>
      <c r="R254" s="215"/>
      <c r="S254" s="215"/>
      <c r="T254" s="215"/>
      <c r="U254" s="215"/>
      <c r="V254" s="215"/>
      <c r="W254" s="215"/>
      <c r="X254" s="215"/>
      <c r="AD254" s="196"/>
    </row>
    <row r="255" spans="3:30" s="195" customFormat="1" ht="15">
      <c r="C255" s="215"/>
      <c r="D255" s="215"/>
      <c r="E255" s="215"/>
      <c r="F255" s="215"/>
      <c r="G255" s="215"/>
      <c r="H255" s="215"/>
      <c r="I255" s="215"/>
      <c r="J255" s="215"/>
      <c r="K255" s="215"/>
      <c r="L255" s="215"/>
      <c r="M255" s="215"/>
      <c r="N255" s="215"/>
      <c r="O255" s="215"/>
      <c r="P255" s="215"/>
      <c r="Q255" s="215"/>
      <c r="R255" s="215"/>
      <c r="S255" s="215"/>
      <c r="T255" s="215"/>
      <c r="U255" s="215"/>
      <c r="V255" s="215"/>
      <c r="W255" s="215"/>
      <c r="X255" s="215"/>
      <c r="AD255" s="196"/>
    </row>
    <row r="256" spans="3:30" s="195" customFormat="1" ht="15">
      <c r="C256" s="215"/>
      <c r="D256" s="215"/>
      <c r="E256" s="215"/>
      <c r="F256" s="215"/>
      <c r="G256" s="215"/>
      <c r="H256" s="215"/>
      <c r="I256" s="215"/>
      <c r="J256" s="215"/>
      <c r="K256" s="215"/>
      <c r="L256" s="215"/>
      <c r="M256" s="215"/>
      <c r="N256" s="215"/>
      <c r="O256" s="215"/>
      <c r="P256" s="215"/>
      <c r="Q256" s="215"/>
      <c r="R256" s="215"/>
      <c r="S256" s="215"/>
      <c r="T256" s="215"/>
      <c r="U256" s="215"/>
      <c r="V256" s="215"/>
      <c r="W256" s="215"/>
      <c r="X256" s="215"/>
      <c r="AD256" s="196"/>
    </row>
    <row r="257" spans="3:30" s="195" customFormat="1" ht="15">
      <c r="C257" s="215"/>
      <c r="D257" s="215"/>
      <c r="E257" s="215"/>
      <c r="F257" s="215"/>
      <c r="G257" s="215"/>
      <c r="H257" s="215"/>
      <c r="I257" s="215"/>
      <c r="J257" s="215"/>
      <c r="K257" s="215"/>
      <c r="L257" s="215"/>
      <c r="M257" s="215"/>
      <c r="N257" s="215"/>
      <c r="O257" s="215"/>
      <c r="P257" s="215"/>
      <c r="Q257" s="215"/>
      <c r="R257" s="215"/>
      <c r="S257" s="215"/>
      <c r="T257" s="215"/>
      <c r="U257" s="215"/>
      <c r="V257" s="215"/>
      <c r="W257" s="215"/>
      <c r="X257" s="215"/>
      <c r="AD257" s="196"/>
    </row>
    <row r="258" spans="3:30" s="195" customFormat="1" ht="15">
      <c r="C258" s="215"/>
      <c r="D258" s="215"/>
      <c r="E258" s="215"/>
      <c r="F258" s="215"/>
      <c r="G258" s="215"/>
      <c r="H258" s="215"/>
      <c r="I258" s="215"/>
      <c r="J258" s="215"/>
      <c r="K258" s="215"/>
      <c r="L258" s="215"/>
      <c r="M258" s="215"/>
      <c r="N258" s="215"/>
      <c r="O258" s="215"/>
      <c r="P258" s="215"/>
      <c r="Q258" s="215"/>
      <c r="R258" s="215"/>
      <c r="S258" s="215"/>
      <c r="T258" s="215"/>
      <c r="U258" s="215"/>
      <c r="V258" s="215"/>
      <c r="W258" s="215"/>
      <c r="X258" s="215"/>
      <c r="AD258" s="196"/>
    </row>
    <row r="259" spans="3:30" s="195" customFormat="1" ht="15">
      <c r="C259" s="215"/>
      <c r="D259" s="215"/>
      <c r="E259" s="215"/>
      <c r="F259" s="215"/>
      <c r="G259" s="215"/>
      <c r="H259" s="215"/>
      <c r="I259" s="215"/>
      <c r="J259" s="215"/>
      <c r="K259" s="215"/>
      <c r="L259" s="215"/>
      <c r="M259" s="215"/>
      <c r="N259" s="215"/>
      <c r="O259" s="215"/>
      <c r="P259" s="215"/>
      <c r="Q259" s="215"/>
      <c r="R259" s="215"/>
      <c r="S259" s="215"/>
      <c r="T259" s="215"/>
      <c r="U259" s="215"/>
      <c r="V259" s="215"/>
      <c r="W259" s="215"/>
      <c r="X259" s="215"/>
      <c r="AD259" s="196"/>
    </row>
    <row r="260" spans="3:30" s="195" customFormat="1" ht="15">
      <c r="C260" s="215"/>
      <c r="D260" s="215"/>
      <c r="E260" s="215"/>
      <c r="F260" s="215"/>
      <c r="G260" s="215"/>
      <c r="H260" s="215"/>
      <c r="I260" s="215"/>
      <c r="J260" s="215"/>
      <c r="K260" s="215"/>
      <c r="L260" s="215"/>
      <c r="M260" s="215"/>
      <c r="N260" s="215"/>
      <c r="O260" s="215"/>
      <c r="P260" s="215"/>
      <c r="Q260" s="215"/>
      <c r="R260" s="215"/>
      <c r="S260" s="215"/>
      <c r="T260" s="215"/>
      <c r="U260" s="215"/>
      <c r="V260" s="215"/>
      <c r="W260" s="215"/>
      <c r="X260" s="215"/>
      <c r="AD260" s="196"/>
    </row>
    <row r="261" spans="3:30" s="195" customFormat="1" ht="15">
      <c r="C261" s="215"/>
      <c r="D261" s="215"/>
      <c r="E261" s="215"/>
      <c r="F261" s="215"/>
      <c r="G261" s="215"/>
      <c r="H261" s="215"/>
      <c r="I261" s="215"/>
      <c r="J261" s="215"/>
      <c r="K261" s="215"/>
      <c r="L261" s="215"/>
      <c r="M261" s="215"/>
      <c r="N261" s="215"/>
      <c r="O261" s="215"/>
      <c r="P261" s="215"/>
      <c r="Q261" s="215"/>
      <c r="R261" s="215"/>
      <c r="S261" s="215"/>
      <c r="T261" s="215"/>
      <c r="U261" s="215"/>
      <c r="V261" s="215"/>
      <c r="W261" s="215"/>
      <c r="X261" s="215"/>
      <c r="AD261" s="196"/>
    </row>
    <row r="262" spans="3:30" s="195" customFormat="1" ht="15">
      <c r="C262" s="215"/>
      <c r="D262" s="215"/>
      <c r="E262" s="215"/>
      <c r="F262" s="215"/>
      <c r="G262" s="215"/>
      <c r="H262" s="215"/>
      <c r="I262" s="215"/>
      <c r="J262" s="215"/>
      <c r="K262" s="215"/>
      <c r="L262" s="215"/>
      <c r="M262" s="215"/>
      <c r="N262" s="215"/>
      <c r="O262" s="215"/>
      <c r="P262" s="215"/>
      <c r="Q262" s="215"/>
      <c r="R262" s="215"/>
      <c r="S262" s="215"/>
      <c r="T262" s="215"/>
      <c r="U262" s="215"/>
      <c r="V262" s="215"/>
      <c r="W262" s="215"/>
      <c r="X262" s="215"/>
      <c r="AD262" s="196"/>
    </row>
    <row r="263" spans="3:30" s="195" customFormat="1" ht="15">
      <c r="C263" s="215"/>
      <c r="D263" s="215"/>
      <c r="E263" s="215"/>
      <c r="F263" s="215"/>
      <c r="G263" s="215"/>
      <c r="H263" s="215"/>
      <c r="I263" s="215"/>
      <c r="J263" s="215"/>
      <c r="K263" s="215"/>
      <c r="L263" s="215"/>
      <c r="M263" s="215"/>
      <c r="N263" s="215"/>
      <c r="O263" s="215"/>
      <c r="P263" s="215"/>
      <c r="Q263" s="215"/>
      <c r="R263" s="215"/>
      <c r="S263" s="215"/>
      <c r="T263" s="215"/>
      <c r="U263" s="215"/>
      <c r="V263" s="215"/>
      <c r="W263" s="215"/>
      <c r="X263" s="215"/>
      <c r="AD263" s="196"/>
    </row>
    <row r="264" spans="3:30" s="195" customFormat="1" ht="15">
      <c r="C264" s="215"/>
      <c r="D264" s="215"/>
      <c r="E264" s="215"/>
      <c r="F264" s="215"/>
      <c r="G264" s="215"/>
      <c r="H264" s="215"/>
      <c r="I264" s="215"/>
      <c r="J264" s="215"/>
      <c r="K264" s="215"/>
      <c r="L264" s="215"/>
      <c r="M264" s="215"/>
      <c r="N264" s="215"/>
      <c r="O264" s="215"/>
      <c r="P264" s="215"/>
      <c r="Q264" s="215"/>
      <c r="R264" s="215"/>
      <c r="S264" s="215"/>
      <c r="T264" s="215"/>
      <c r="U264" s="215"/>
      <c r="V264" s="215"/>
      <c r="W264" s="215"/>
      <c r="X264" s="215"/>
      <c r="AD264" s="196"/>
    </row>
    <row r="265" spans="3:30" s="195" customFormat="1" ht="15"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  <c r="O265" s="215"/>
      <c r="P265" s="215"/>
      <c r="Q265" s="215"/>
      <c r="R265" s="215"/>
      <c r="S265" s="215"/>
      <c r="T265" s="215"/>
      <c r="U265" s="215"/>
      <c r="V265" s="215"/>
      <c r="W265" s="215"/>
      <c r="X265" s="215"/>
      <c r="AD265" s="196"/>
    </row>
    <row r="266" spans="3:30" s="195" customFormat="1" ht="15">
      <c r="C266" s="215"/>
      <c r="D266" s="215"/>
      <c r="E266" s="215"/>
      <c r="F266" s="215"/>
      <c r="G266" s="215"/>
      <c r="H266" s="215"/>
      <c r="I266" s="215"/>
      <c r="J266" s="215"/>
      <c r="K266" s="215"/>
      <c r="L266" s="215"/>
      <c r="M266" s="215"/>
      <c r="N266" s="215"/>
      <c r="O266" s="215"/>
      <c r="P266" s="215"/>
      <c r="Q266" s="215"/>
      <c r="R266" s="215"/>
      <c r="S266" s="215"/>
      <c r="T266" s="215"/>
      <c r="U266" s="215"/>
      <c r="V266" s="215"/>
      <c r="W266" s="215"/>
      <c r="X266" s="215"/>
      <c r="AD266" s="196"/>
    </row>
    <row r="267" spans="3:30" s="195" customFormat="1" ht="15">
      <c r="C267" s="215"/>
      <c r="D267" s="215"/>
      <c r="E267" s="215"/>
      <c r="F267" s="215"/>
      <c r="G267" s="215"/>
      <c r="H267" s="215"/>
      <c r="I267" s="215"/>
      <c r="J267" s="215"/>
      <c r="K267" s="215"/>
      <c r="L267" s="215"/>
      <c r="M267" s="215"/>
      <c r="N267" s="215"/>
      <c r="O267" s="215"/>
      <c r="P267" s="215"/>
      <c r="Q267" s="215"/>
      <c r="R267" s="215"/>
      <c r="S267" s="215"/>
      <c r="T267" s="215"/>
      <c r="U267" s="215"/>
      <c r="V267" s="215"/>
      <c r="W267" s="215"/>
      <c r="X267" s="215"/>
      <c r="AD267" s="196"/>
    </row>
    <row r="268" spans="3:30" s="195" customFormat="1" ht="15">
      <c r="C268" s="215"/>
      <c r="D268" s="215"/>
      <c r="E268" s="215"/>
      <c r="F268" s="215"/>
      <c r="G268" s="215"/>
      <c r="H268" s="215"/>
      <c r="I268" s="215"/>
      <c r="J268" s="215"/>
      <c r="K268" s="215"/>
      <c r="L268" s="215"/>
      <c r="M268" s="215"/>
      <c r="N268" s="215"/>
      <c r="O268" s="215"/>
      <c r="P268" s="215"/>
      <c r="Q268" s="215"/>
      <c r="R268" s="215"/>
      <c r="S268" s="215"/>
      <c r="T268" s="215"/>
      <c r="U268" s="215"/>
      <c r="V268" s="215"/>
      <c r="W268" s="215"/>
      <c r="X268" s="215"/>
      <c r="AD268" s="196"/>
    </row>
    <row r="269" spans="3:30" s="195" customFormat="1" ht="15">
      <c r="C269" s="215"/>
      <c r="D269" s="215"/>
      <c r="E269" s="215"/>
      <c r="F269" s="215"/>
      <c r="G269" s="215"/>
      <c r="H269" s="215"/>
      <c r="I269" s="215"/>
      <c r="J269" s="215"/>
      <c r="K269" s="215"/>
      <c r="L269" s="215"/>
      <c r="M269" s="215"/>
      <c r="N269" s="215"/>
      <c r="O269" s="215"/>
      <c r="P269" s="215"/>
      <c r="Q269" s="215"/>
      <c r="R269" s="215"/>
      <c r="S269" s="215"/>
      <c r="T269" s="215"/>
      <c r="U269" s="215"/>
      <c r="V269" s="215"/>
      <c r="W269" s="215"/>
      <c r="X269" s="215"/>
      <c r="AD269" s="196"/>
    </row>
    <row r="270" spans="3:30" s="195" customFormat="1" ht="15">
      <c r="C270" s="215"/>
      <c r="D270" s="215"/>
      <c r="E270" s="215"/>
      <c r="F270" s="215"/>
      <c r="G270" s="215"/>
      <c r="H270" s="215"/>
      <c r="I270" s="215"/>
      <c r="J270" s="215"/>
      <c r="K270" s="215"/>
      <c r="L270" s="215"/>
      <c r="M270" s="215"/>
      <c r="N270" s="215"/>
      <c r="O270" s="215"/>
      <c r="P270" s="215"/>
      <c r="Q270" s="215"/>
      <c r="R270" s="215"/>
      <c r="S270" s="215"/>
      <c r="T270" s="215"/>
      <c r="U270" s="215"/>
      <c r="V270" s="215"/>
      <c r="W270" s="215"/>
      <c r="X270" s="215"/>
      <c r="AD270" s="196"/>
    </row>
    <row r="271" spans="3:30" s="195" customFormat="1" ht="15">
      <c r="C271" s="215"/>
      <c r="D271" s="215"/>
      <c r="E271" s="215"/>
      <c r="F271" s="215"/>
      <c r="G271" s="215"/>
      <c r="H271" s="215"/>
      <c r="I271" s="215"/>
      <c r="J271" s="215"/>
      <c r="K271" s="215"/>
      <c r="L271" s="215"/>
      <c r="M271" s="215"/>
      <c r="N271" s="215"/>
      <c r="O271" s="215"/>
      <c r="P271" s="215"/>
      <c r="Q271" s="215"/>
      <c r="R271" s="215"/>
      <c r="S271" s="215"/>
      <c r="T271" s="215"/>
      <c r="U271" s="215"/>
      <c r="V271" s="215"/>
      <c r="W271" s="215"/>
      <c r="X271" s="215"/>
      <c r="AD271" s="196"/>
    </row>
    <row r="272" spans="3:30" s="195" customFormat="1" ht="15">
      <c r="C272" s="215"/>
      <c r="D272" s="215"/>
      <c r="E272" s="215"/>
      <c r="F272" s="215"/>
      <c r="G272" s="215"/>
      <c r="H272" s="215"/>
      <c r="I272" s="215"/>
      <c r="J272" s="215"/>
      <c r="K272" s="215"/>
      <c r="L272" s="215"/>
      <c r="M272" s="215"/>
      <c r="N272" s="215"/>
      <c r="O272" s="215"/>
      <c r="P272" s="215"/>
      <c r="Q272" s="215"/>
      <c r="R272" s="215"/>
      <c r="S272" s="215"/>
      <c r="T272" s="215"/>
      <c r="U272" s="215"/>
      <c r="V272" s="215"/>
      <c r="W272" s="215"/>
      <c r="X272" s="215"/>
      <c r="AD272" s="196"/>
    </row>
    <row r="273" spans="3:30" s="195" customFormat="1" ht="15">
      <c r="C273" s="215"/>
      <c r="D273" s="215"/>
      <c r="E273" s="215"/>
      <c r="F273" s="215"/>
      <c r="G273" s="215"/>
      <c r="H273" s="215"/>
      <c r="I273" s="215"/>
      <c r="J273" s="215"/>
      <c r="K273" s="215"/>
      <c r="L273" s="215"/>
      <c r="M273" s="215"/>
      <c r="N273" s="215"/>
      <c r="O273" s="215"/>
      <c r="P273" s="215"/>
      <c r="Q273" s="215"/>
      <c r="R273" s="215"/>
      <c r="S273" s="215"/>
      <c r="T273" s="215"/>
      <c r="U273" s="215"/>
      <c r="V273" s="215"/>
      <c r="W273" s="215"/>
      <c r="X273" s="215"/>
      <c r="AD273" s="196"/>
    </row>
    <row r="274" spans="3:30" s="195" customFormat="1" ht="15">
      <c r="C274" s="215"/>
      <c r="D274" s="215"/>
      <c r="E274" s="215"/>
      <c r="F274" s="215"/>
      <c r="G274" s="215"/>
      <c r="H274" s="215"/>
      <c r="I274" s="215"/>
      <c r="J274" s="215"/>
      <c r="K274" s="215"/>
      <c r="L274" s="215"/>
      <c r="M274" s="215"/>
      <c r="N274" s="215"/>
      <c r="O274" s="215"/>
      <c r="P274" s="215"/>
      <c r="Q274" s="215"/>
      <c r="R274" s="215"/>
      <c r="S274" s="215"/>
      <c r="T274" s="215"/>
      <c r="U274" s="215"/>
      <c r="V274" s="215"/>
      <c r="W274" s="215"/>
      <c r="X274" s="215"/>
      <c r="AD274" s="196"/>
    </row>
    <row r="275" spans="3:30" s="195" customFormat="1" ht="15">
      <c r="C275" s="215"/>
      <c r="D275" s="215"/>
      <c r="E275" s="215"/>
      <c r="F275" s="215"/>
      <c r="G275" s="215"/>
      <c r="H275" s="215"/>
      <c r="I275" s="215"/>
      <c r="J275" s="215"/>
      <c r="K275" s="215"/>
      <c r="L275" s="215"/>
      <c r="M275" s="215"/>
      <c r="N275" s="215"/>
      <c r="O275" s="215"/>
      <c r="P275" s="215"/>
      <c r="Q275" s="215"/>
      <c r="R275" s="215"/>
      <c r="S275" s="215"/>
      <c r="T275" s="215"/>
      <c r="U275" s="215"/>
      <c r="V275" s="215"/>
      <c r="W275" s="215"/>
      <c r="X275" s="215"/>
      <c r="AD275" s="196"/>
    </row>
    <row r="276" spans="3:30" s="195" customFormat="1" ht="15">
      <c r="C276" s="215"/>
      <c r="D276" s="215"/>
      <c r="E276" s="215"/>
      <c r="F276" s="215"/>
      <c r="G276" s="215"/>
      <c r="H276" s="215"/>
      <c r="I276" s="215"/>
      <c r="J276" s="215"/>
      <c r="K276" s="215"/>
      <c r="L276" s="215"/>
      <c r="M276" s="215"/>
      <c r="N276" s="215"/>
      <c r="O276" s="215"/>
      <c r="P276" s="215"/>
      <c r="Q276" s="215"/>
      <c r="R276" s="215"/>
      <c r="S276" s="215"/>
      <c r="T276" s="215"/>
      <c r="U276" s="215"/>
      <c r="V276" s="215"/>
      <c r="W276" s="215"/>
      <c r="X276" s="215"/>
      <c r="AD276" s="196"/>
    </row>
    <row r="277" spans="3:30" s="195" customFormat="1" ht="15">
      <c r="C277" s="215"/>
      <c r="D277" s="215"/>
      <c r="E277" s="215"/>
      <c r="F277" s="215"/>
      <c r="G277" s="215"/>
      <c r="H277" s="215"/>
      <c r="I277" s="215"/>
      <c r="J277" s="215"/>
      <c r="K277" s="215"/>
      <c r="L277" s="215"/>
      <c r="M277" s="215"/>
      <c r="N277" s="215"/>
      <c r="O277" s="215"/>
      <c r="P277" s="215"/>
      <c r="Q277" s="215"/>
      <c r="R277" s="215"/>
      <c r="S277" s="215"/>
      <c r="T277" s="215"/>
      <c r="U277" s="215"/>
      <c r="V277" s="215"/>
      <c r="W277" s="215"/>
      <c r="X277" s="215"/>
      <c r="AD277" s="196"/>
    </row>
    <row r="278" spans="3:30" s="195" customFormat="1" ht="15">
      <c r="C278" s="215"/>
      <c r="D278" s="215"/>
      <c r="E278" s="215"/>
      <c r="F278" s="215"/>
      <c r="G278" s="215"/>
      <c r="H278" s="215"/>
      <c r="I278" s="215"/>
      <c r="J278" s="215"/>
      <c r="K278" s="215"/>
      <c r="L278" s="215"/>
      <c r="M278" s="215"/>
      <c r="N278" s="215"/>
      <c r="O278" s="215"/>
      <c r="P278" s="215"/>
      <c r="Q278" s="215"/>
      <c r="R278" s="215"/>
      <c r="S278" s="215"/>
      <c r="T278" s="215"/>
      <c r="U278" s="215"/>
      <c r="V278" s="215"/>
      <c r="W278" s="215"/>
      <c r="X278" s="215"/>
      <c r="AD278" s="196"/>
    </row>
    <row r="279" spans="3:30" s="195" customFormat="1" ht="15">
      <c r="C279" s="215"/>
      <c r="D279" s="215"/>
      <c r="E279" s="215"/>
      <c r="F279" s="215"/>
      <c r="G279" s="215"/>
      <c r="H279" s="215"/>
      <c r="I279" s="215"/>
      <c r="J279" s="215"/>
      <c r="K279" s="215"/>
      <c r="L279" s="215"/>
      <c r="M279" s="215"/>
      <c r="N279" s="215"/>
      <c r="O279" s="215"/>
      <c r="P279" s="215"/>
      <c r="Q279" s="215"/>
      <c r="R279" s="215"/>
      <c r="S279" s="215"/>
      <c r="T279" s="215"/>
      <c r="U279" s="215"/>
      <c r="V279" s="215"/>
      <c r="W279" s="215"/>
      <c r="X279" s="215"/>
      <c r="AD279" s="196"/>
    </row>
    <row r="280" spans="3:30" s="195" customFormat="1" ht="15">
      <c r="C280" s="215"/>
      <c r="D280" s="215"/>
      <c r="E280" s="215"/>
      <c r="F280" s="215"/>
      <c r="G280" s="215"/>
      <c r="H280" s="215"/>
      <c r="I280" s="215"/>
      <c r="J280" s="215"/>
      <c r="K280" s="215"/>
      <c r="L280" s="215"/>
      <c r="M280" s="215"/>
      <c r="N280" s="215"/>
      <c r="O280" s="215"/>
      <c r="P280" s="215"/>
      <c r="Q280" s="215"/>
      <c r="R280" s="215"/>
      <c r="S280" s="215"/>
      <c r="T280" s="215"/>
      <c r="U280" s="215"/>
      <c r="V280" s="215"/>
      <c r="W280" s="215"/>
      <c r="X280" s="215"/>
      <c r="AD280" s="196"/>
    </row>
    <row r="281" spans="3:30" s="195" customFormat="1" ht="15">
      <c r="C281" s="215"/>
      <c r="D281" s="215"/>
      <c r="E281" s="215"/>
      <c r="F281" s="215"/>
      <c r="G281" s="215"/>
      <c r="H281" s="215"/>
      <c r="I281" s="215"/>
      <c r="J281" s="215"/>
      <c r="K281" s="215"/>
      <c r="L281" s="215"/>
      <c r="M281" s="215"/>
      <c r="N281" s="215"/>
      <c r="O281" s="215"/>
      <c r="P281" s="215"/>
      <c r="Q281" s="215"/>
      <c r="R281" s="215"/>
      <c r="S281" s="215"/>
      <c r="T281" s="215"/>
      <c r="U281" s="215"/>
      <c r="V281" s="215"/>
      <c r="W281" s="215"/>
      <c r="X281" s="215"/>
      <c r="AD281" s="196"/>
    </row>
    <row r="282" spans="3:30" s="195" customFormat="1" ht="15">
      <c r="C282" s="215"/>
      <c r="D282" s="215"/>
      <c r="E282" s="215"/>
      <c r="F282" s="215"/>
      <c r="G282" s="215"/>
      <c r="H282" s="215"/>
      <c r="I282" s="215"/>
      <c r="J282" s="215"/>
      <c r="K282" s="215"/>
      <c r="L282" s="215"/>
      <c r="M282" s="215"/>
      <c r="N282" s="215"/>
      <c r="O282" s="215"/>
      <c r="P282" s="215"/>
      <c r="Q282" s="215"/>
      <c r="R282" s="215"/>
      <c r="S282" s="215"/>
      <c r="T282" s="215"/>
      <c r="U282" s="215"/>
      <c r="V282" s="215"/>
      <c r="W282" s="215"/>
      <c r="X282" s="215"/>
      <c r="AD282" s="196"/>
    </row>
    <row r="283" spans="3:30" s="195" customFormat="1" ht="15">
      <c r="C283" s="215"/>
      <c r="D283" s="215"/>
      <c r="E283" s="215"/>
      <c r="F283" s="215"/>
      <c r="G283" s="215"/>
      <c r="H283" s="215"/>
      <c r="I283" s="215"/>
      <c r="J283" s="215"/>
      <c r="K283" s="215"/>
      <c r="L283" s="215"/>
      <c r="M283" s="215"/>
      <c r="N283" s="215"/>
      <c r="O283" s="215"/>
      <c r="P283" s="215"/>
      <c r="Q283" s="215"/>
      <c r="R283" s="215"/>
      <c r="S283" s="215"/>
      <c r="T283" s="215"/>
      <c r="U283" s="215"/>
      <c r="V283" s="215"/>
      <c r="W283" s="215"/>
      <c r="X283" s="215"/>
      <c r="AD283" s="196"/>
    </row>
    <row r="284" spans="3:30" s="195" customFormat="1" ht="15">
      <c r="C284" s="215"/>
      <c r="D284" s="215"/>
      <c r="E284" s="215"/>
      <c r="F284" s="215"/>
      <c r="G284" s="215"/>
      <c r="H284" s="215"/>
      <c r="I284" s="215"/>
      <c r="J284" s="215"/>
      <c r="K284" s="215"/>
      <c r="L284" s="215"/>
      <c r="M284" s="215"/>
      <c r="N284" s="215"/>
      <c r="O284" s="215"/>
      <c r="P284" s="215"/>
      <c r="Q284" s="215"/>
      <c r="R284" s="215"/>
      <c r="S284" s="215"/>
      <c r="T284" s="215"/>
      <c r="U284" s="215"/>
      <c r="V284" s="215"/>
      <c r="W284" s="215"/>
      <c r="X284" s="215"/>
      <c r="AD284" s="196"/>
    </row>
    <row r="285" spans="3:30" s="195" customFormat="1" ht="15">
      <c r="C285" s="215"/>
      <c r="D285" s="215"/>
      <c r="E285" s="215"/>
      <c r="F285" s="215"/>
      <c r="G285" s="215"/>
      <c r="H285" s="215"/>
      <c r="I285" s="215"/>
      <c r="J285" s="215"/>
      <c r="K285" s="215"/>
      <c r="L285" s="215"/>
      <c r="M285" s="215"/>
      <c r="N285" s="215"/>
      <c r="O285" s="215"/>
      <c r="P285" s="215"/>
      <c r="Q285" s="215"/>
      <c r="R285" s="215"/>
      <c r="S285" s="215"/>
      <c r="T285" s="215"/>
      <c r="U285" s="215"/>
      <c r="V285" s="215"/>
      <c r="W285" s="215"/>
      <c r="X285" s="215"/>
      <c r="AD285" s="196"/>
    </row>
    <row r="286" spans="3:30" s="195" customFormat="1" ht="15">
      <c r="C286" s="215"/>
      <c r="D286" s="215"/>
      <c r="E286" s="215"/>
      <c r="F286" s="215"/>
      <c r="G286" s="215"/>
      <c r="H286" s="215"/>
      <c r="I286" s="215"/>
      <c r="J286" s="215"/>
      <c r="K286" s="215"/>
      <c r="L286" s="215"/>
      <c r="M286" s="215"/>
      <c r="N286" s="215"/>
      <c r="O286" s="215"/>
      <c r="P286" s="215"/>
      <c r="Q286" s="215"/>
      <c r="R286" s="215"/>
      <c r="S286" s="215"/>
      <c r="T286" s="215"/>
      <c r="U286" s="215"/>
      <c r="V286" s="215"/>
      <c r="W286" s="215"/>
      <c r="X286" s="215"/>
      <c r="AD286" s="196"/>
    </row>
    <row r="287" spans="3:30" s="195" customFormat="1" ht="15">
      <c r="C287" s="215"/>
      <c r="D287" s="215"/>
      <c r="E287" s="215"/>
      <c r="F287" s="215"/>
      <c r="G287" s="215"/>
      <c r="H287" s="215"/>
      <c r="I287" s="215"/>
      <c r="J287" s="215"/>
      <c r="K287" s="215"/>
      <c r="L287" s="215"/>
      <c r="M287" s="215"/>
      <c r="N287" s="215"/>
      <c r="O287" s="215"/>
      <c r="P287" s="215"/>
      <c r="Q287" s="215"/>
      <c r="R287" s="215"/>
      <c r="S287" s="215"/>
      <c r="T287" s="215"/>
      <c r="U287" s="215"/>
      <c r="V287" s="215"/>
      <c r="W287" s="215"/>
      <c r="X287" s="215"/>
      <c r="AD287" s="196"/>
    </row>
    <row r="288" spans="3:30" s="195" customFormat="1" ht="15">
      <c r="C288" s="215"/>
      <c r="D288" s="215"/>
      <c r="E288" s="215"/>
      <c r="F288" s="215"/>
      <c r="G288" s="215"/>
      <c r="H288" s="215"/>
      <c r="I288" s="215"/>
      <c r="J288" s="215"/>
      <c r="K288" s="215"/>
      <c r="L288" s="215"/>
      <c r="M288" s="215"/>
      <c r="N288" s="215"/>
      <c r="O288" s="215"/>
      <c r="P288" s="215"/>
      <c r="Q288" s="215"/>
      <c r="R288" s="215"/>
      <c r="S288" s="215"/>
      <c r="T288" s="215"/>
      <c r="U288" s="215"/>
      <c r="V288" s="215"/>
      <c r="W288" s="215"/>
      <c r="X288" s="215"/>
      <c r="AD288" s="196"/>
    </row>
    <row r="289" spans="3:30" s="195" customFormat="1" ht="15">
      <c r="C289" s="215"/>
      <c r="D289" s="215"/>
      <c r="E289" s="215"/>
      <c r="F289" s="215"/>
      <c r="G289" s="215"/>
      <c r="H289" s="215"/>
      <c r="I289" s="215"/>
      <c r="J289" s="215"/>
      <c r="K289" s="215"/>
      <c r="L289" s="215"/>
      <c r="M289" s="215"/>
      <c r="N289" s="215"/>
      <c r="O289" s="215"/>
      <c r="P289" s="215"/>
      <c r="Q289" s="215"/>
      <c r="R289" s="215"/>
      <c r="S289" s="215"/>
      <c r="T289" s="215"/>
      <c r="U289" s="215"/>
      <c r="V289" s="215"/>
      <c r="W289" s="215"/>
      <c r="X289" s="215"/>
      <c r="AD289" s="196"/>
    </row>
    <row r="290" spans="3:30" s="195" customFormat="1" ht="15">
      <c r="C290" s="215"/>
      <c r="D290" s="215"/>
      <c r="E290" s="215"/>
      <c r="F290" s="215"/>
      <c r="G290" s="215"/>
      <c r="H290" s="215"/>
      <c r="I290" s="215"/>
      <c r="J290" s="215"/>
      <c r="K290" s="215"/>
      <c r="L290" s="215"/>
      <c r="M290" s="215"/>
      <c r="N290" s="215"/>
      <c r="O290" s="215"/>
      <c r="P290" s="215"/>
      <c r="Q290" s="215"/>
      <c r="R290" s="215"/>
      <c r="S290" s="215"/>
      <c r="T290" s="215"/>
      <c r="U290" s="215"/>
      <c r="V290" s="215"/>
      <c r="W290" s="215"/>
      <c r="X290" s="215"/>
      <c r="AD290" s="196"/>
    </row>
    <row r="291" spans="3:30" s="195" customFormat="1" ht="15">
      <c r="C291" s="215"/>
      <c r="D291" s="215"/>
      <c r="E291" s="215"/>
      <c r="F291" s="215"/>
      <c r="G291" s="215"/>
      <c r="H291" s="215"/>
      <c r="I291" s="215"/>
      <c r="J291" s="215"/>
      <c r="K291" s="215"/>
      <c r="L291" s="215"/>
      <c r="M291" s="215"/>
      <c r="N291" s="215"/>
      <c r="O291" s="215"/>
      <c r="P291" s="215"/>
      <c r="Q291" s="215"/>
      <c r="R291" s="215"/>
      <c r="S291" s="215"/>
      <c r="T291" s="215"/>
      <c r="U291" s="215"/>
      <c r="V291" s="215"/>
      <c r="W291" s="215"/>
      <c r="X291" s="215"/>
      <c r="AD291" s="196"/>
    </row>
    <row r="292" spans="3:30" s="195" customFormat="1" ht="15">
      <c r="C292" s="215"/>
      <c r="D292" s="215"/>
      <c r="E292" s="215"/>
      <c r="F292" s="215"/>
      <c r="G292" s="215"/>
      <c r="H292" s="215"/>
      <c r="I292" s="215"/>
      <c r="J292" s="215"/>
      <c r="K292" s="215"/>
      <c r="L292" s="215"/>
      <c r="M292" s="215"/>
      <c r="N292" s="215"/>
      <c r="O292" s="215"/>
      <c r="P292" s="215"/>
      <c r="Q292" s="215"/>
      <c r="R292" s="215"/>
      <c r="S292" s="215"/>
      <c r="T292" s="215"/>
      <c r="U292" s="215"/>
      <c r="V292" s="215"/>
      <c r="W292" s="215"/>
      <c r="X292" s="215"/>
      <c r="AD292" s="196"/>
    </row>
    <row r="293" spans="3:30" s="195" customFormat="1" ht="15">
      <c r="C293" s="215"/>
      <c r="D293" s="215"/>
      <c r="E293" s="215"/>
      <c r="F293" s="215"/>
      <c r="G293" s="215"/>
      <c r="H293" s="215"/>
      <c r="I293" s="215"/>
      <c r="J293" s="215"/>
      <c r="K293" s="215"/>
      <c r="L293" s="215"/>
      <c r="M293" s="215"/>
      <c r="N293" s="215"/>
      <c r="O293" s="215"/>
      <c r="P293" s="215"/>
      <c r="Q293" s="215"/>
      <c r="R293" s="215"/>
      <c r="S293" s="215"/>
      <c r="T293" s="215"/>
      <c r="U293" s="215"/>
      <c r="V293" s="215"/>
      <c r="W293" s="215"/>
      <c r="X293" s="215"/>
      <c r="AD293" s="196"/>
    </row>
    <row r="294" spans="3:30" s="195" customFormat="1" ht="15">
      <c r="C294" s="215"/>
      <c r="D294" s="215"/>
      <c r="E294" s="215"/>
      <c r="F294" s="215"/>
      <c r="G294" s="215"/>
      <c r="H294" s="215"/>
      <c r="I294" s="215"/>
      <c r="J294" s="215"/>
      <c r="K294" s="215"/>
      <c r="L294" s="215"/>
      <c r="M294" s="215"/>
      <c r="N294" s="215"/>
      <c r="O294" s="215"/>
      <c r="P294" s="215"/>
      <c r="Q294" s="215"/>
      <c r="R294" s="215"/>
      <c r="S294" s="215"/>
      <c r="T294" s="215"/>
      <c r="U294" s="215"/>
      <c r="V294" s="215"/>
      <c r="W294" s="215"/>
      <c r="X294" s="215"/>
      <c r="AD294" s="196"/>
    </row>
    <row r="295" spans="3:30" s="195" customFormat="1" ht="15">
      <c r="C295" s="215"/>
      <c r="D295" s="215"/>
      <c r="E295" s="215"/>
      <c r="F295" s="215"/>
      <c r="G295" s="215"/>
      <c r="H295" s="215"/>
      <c r="I295" s="215"/>
      <c r="J295" s="215"/>
      <c r="K295" s="215"/>
      <c r="L295" s="215"/>
      <c r="M295" s="215"/>
      <c r="N295" s="215"/>
      <c r="O295" s="215"/>
      <c r="P295" s="215"/>
      <c r="Q295" s="215"/>
      <c r="R295" s="215"/>
      <c r="S295" s="215"/>
      <c r="T295" s="215"/>
      <c r="U295" s="215"/>
      <c r="V295" s="215"/>
      <c r="W295" s="215"/>
      <c r="X295" s="215"/>
      <c r="AD295" s="196"/>
    </row>
    <row r="296" spans="3:30" s="195" customFormat="1" ht="15">
      <c r="C296" s="215"/>
      <c r="D296" s="215"/>
      <c r="E296" s="215"/>
      <c r="F296" s="215"/>
      <c r="G296" s="215"/>
      <c r="H296" s="215"/>
      <c r="I296" s="215"/>
      <c r="J296" s="215"/>
      <c r="K296" s="215"/>
      <c r="L296" s="215"/>
      <c r="M296" s="215"/>
      <c r="N296" s="215"/>
      <c r="O296" s="215"/>
      <c r="P296" s="215"/>
      <c r="Q296" s="215"/>
      <c r="R296" s="215"/>
      <c r="S296" s="215"/>
      <c r="T296" s="215"/>
      <c r="U296" s="215"/>
      <c r="V296" s="215"/>
      <c r="W296" s="215"/>
      <c r="X296" s="215"/>
      <c r="AD296" s="196"/>
    </row>
    <row r="297" spans="3:30" s="195" customFormat="1" ht="15">
      <c r="C297" s="215"/>
      <c r="D297" s="215"/>
      <c r="E297" s="215"/>
      <c r="F297" s="215"/>
      <c r="G297" s="215"/>
      <c r="H297" s="215"/>
      <c r="I297" s="215"/>
      <c r="J297" s="215"/>
      <c r="K297" s="215"/>
      <c r="L297" s="215"/>
      <c r="M297" s="215"/>
      <c r="N297" s="215"/>
      <c r="O297" s="215"/>
      <c r="P297" s="215"/>
      <c r="Q297" s="215"/>
      <c r="R297" s="215"/>
      <c r="S297" s="215"/>
      <c r="T297" s="215"/>
      <c r="U297" s="215"/>
      <c r="V297" s="215"/>
      <c r="W297" s="215"/>
      <c r="X297" s="215"/>
      <c r="AD297" s="196"/>
    </row>
    <row r="298" spans="3:30" s="195" customFormat="1" ht="15">
      <c r="C298" s="215"/>
      <c r="D298" s="215"/>
      <c r="E298" s="215"/>
      <c r="F298" s="215"/>
      <c r="G298" s="215"/>
      <c r="H298" s="215"/>
      <c r="I298" s="215"/>
      <c r="J298" s="215"/>
      <c r="K298" s="215"/>
      <c r="L298" s="215"/>
      <c r="M298" s="215"/>
      <c r="N298" s="215"/>
      <c r="O298" s="215"/>
      <c r="P298" s="215"/>
      <c r="Q298" s="215"/>
      <c r="R298" s="215"/>
      <c r="S298" s="215"/>
      <c r="T298" s="215"/>
      <c r="U298" s="215"/>
      <c r="V298" s="215"/>
      <c r="W298" s="215"/>
      <c r="X298" s="215"/>
      <c r="AD298" s="196"/>
    </row>
    <row r="299" spans="3:30" s="195" customFormat="1" ht="15">
      <c r="C299" s="215"/>
      <c r="D299" s="215"/>
      <c r="E299" s="215"/>
      <c r="F299" s="215"/>
      <c r="G299" s="215"/>
      <c r="H299" s="215"/>
      <c r="I299" s="215"/>
      <c r="J299" s="215"/>
      <c r="K299" s="215"/>
      <c r="L299" s="215"/>
      <c r="M299" s="215"/>
      <c r="N299" s="215"/>
      <c r="O299" s="215"/>
      <c r="P299" s="215"/>
      <c r="Q299" s="215"/>
      <c r="R299" s="215"/>
      <c r="S299" s="215"/>
      <c r="T299" s="215"/>
      <c r="U299" s="215"/>
      <c r="V299" s="215"/>
      <c r="W299" s="215"/>
      <c r="X299" s="215"/>
      <c r="AD299" s="196"/>
    </row>
    <row r="300" spans="3:30" s="195" customFormat="1" ht="15">
      <c r="C300" s="215"/>
      <c r="D300" s="215"/>
      <c r="E300" s="215"/>
      <c r="F300" s="215"/>
      <c r="G300" s="215"/>
      <c r="H300" s="215"/>
      <c r="I300" s="215"/>
      <c r="J300" s="215"/>
      <c r="K300" s="215"/>
      <c r="L300" s="215"/>
      <c r="M300" s="215"/>
      <c r="N300" s="215"/>
      <c r="O300" s="215"/>
      <c r="P300" s="215"/>
      <c r="Q300" s="215"/>
      <c r="R300" s="215"/>
      <c r="S300" s="215"/>
      <c r="T300" s="215"/>
      <c r="U300" s="215"/>
      <c r="V300" s="215"/>
      <c r="W300" s="215"/>
      <c r="X300" s="215"/>
      <c r="AD300" s="196"/>
    </row>
    <row r="301" spans="3:30" s="195" customFormat="1" ht="15">
      <c r="C301" s="215"/>
      <c r="D301" s="215"/>
      <c r="E301" s="215"/>
      <c r="F301" s="215"/>
      <c r="G301" s="215"/>
      <c r="H301" s="215"/>
      <c r="I301" s="215"/>
      <c r="J301" s="215"/>
      <c r="K301" s="215"/>
      <c r="L301" s="215"/>
      <c r="M301" s="215"/>
      <c r="N301" s="215"/>
      <c r="O301" s="215"/>
      <c r="P301" s="215"/>
      <c r="Q301" s="215"/>
      <c r="R301" s="215"/>
      <c r="S301" s="215"/>
      <c r="T301" s="215"/>
      <c r="U301" s="215"/>
      <c r="V301" s="215"/>
      <c r="W301" s="215"/>
      <c r="X301" s="215"/>
      <c r="AD301" s="196"/>
    </row>
    <row r="302" spans="3:30" s="195" customFormat="1" ht="15">
      <c r="C302" s="215"/>
      <c r="D302" s="215"/>
      <c r="E302" s="215"/>
      <c r="F302" s="215"/>
      <c r="G302" s="215"/>
      <c r="H302" s="215"/>
      <c r="I302" s="215"/>
      <c r="J302" s="215"/>
      <c r="K302" s="215"/>
      <c r="L302" s="215"/>
      <c r="M302" s="215"/>
      <c r="N302" s="215"/>
      <c r="O302" s="215"/>
      <c r="P302" s="215"/>
      <c r="Q302" s="215"/>
      <c r="R302" s="215"/>
      <c r="S302" s="215"/>
      <c r="T302" s="215"/>
      <c r="U302" s="215"/>
      <c r="V302" s="215"/>
      <c r="W302" s="215"/>
      <c r="X302" s="215"/>
      <c r="AD302" s="196"/>
    </row>
    <row r="303" spans="3:30" s="195" customFormat="1" ht="15">
      <c r="C303" s="215"/>
      <c r="D303" s="215"/>
      <c r="E303" s="215"/>
      <c r="F303" s="215"/>
      <c r="G303" s="215"/>
      <c r="H303" s="215"/>
      <c r="I303" s="215"/>
      <c r="J303" s="215"/>
      <c r="K303" s="215"/>
      <c r="L303" s="215"/>
      <c r="M303" s="215"/>
      <c r="N303" s="215"/>
      <c r="O303" s="215"/>
      <c r="P303" s="215"/>
      <c r="Q303" s="215"/>
      <c r="R303" s="215"/>
      <c r="S303" s="215"/>
      <c r="T303" s="215"/>
      <c r="U303" s="215"/>
      <c r="V303" s="215"/>
      <c r="W303" s="215"/>
      <c r="X303" s="215"/>
      <c r="AD303" s="196"/>
    </row>
    <row r="304" spans="3:30" s="195" customFormat="1" ht="15">
      <c r="C304" s="215"/>
      <c r="D304" s="215"/>
      <c r="E304" s="215"/>
      <c r="F304" s="215"/>
      <c r="G304" s="215"/>
      <c r="H304" s="215"/>
      <c r="I304" s="215"/>
      <c r="J304" s="215"/>
      <c r="K304" s="215"/>
      <c r="L304" s="215"/>
      <c r="M304" s="215"/>
      <c r="N304" s="215"/>
      <c r="O304" s="215"/>
      <c r="P304" s="215"/>
      <c r="Q304" s="215"/>
      <c r="R304" s="215"/>
      <c r="S304" s="215"/>
      <c r="T304" s="215"/>
      <c r="U304" s="215"/>
      <c r="V304" s="215"/>
      <c r="W304" s="215"/>
      <c r="X304" s="215"/>
      <c r="AD304" s="196"/>
    </row>
    <row r="305" spans="3:30" s="195" customFormat="1" ht="15">
      <c r="C305" s="215"/>
      <c r="D305" s="215"/>
      <c r="E305" s="215"/>
      <c r="F305" s="215"/>
      <c r="G305" s="215"/>
      <c r="H305" s="215"/>
      <c r="I305" s="215"/>
      <c r="J305" s="215"/>
      <c r="K305" s="215"/>
      <c r="L305" s="215"/>
      <c r="M305" s="215"/>
      <c r="N305" s="215"/>
      <c r="O305" s="215"/>
      <c r="P305" s="215"/>
      <c r="Q305" s="215"/>
      <c r="R305" s="215"/>
      <c r="S305" s="215"/>
      <c r="T305" s="215"/>
      <c r="U305" s="215"/>
      <c r="V305" s="215"/>
      <c r="W305" s="215"/>
      <c r="X305" s="215"/>
      <c r="AD305" s="196"/>
    </row>
    <row r="306" spans="3:30" s="195" customFormat="1" ht="15">
      <c r="C306" s="215"/>
      <c r="D306" s="215"/>
      <c r="E306" s="215"/>
      <c r="F306" s="215"/>
      <c r="G306" s="215"/>
      <c r="H306" s="215"/>
      <c r="I306" s="215"/>
      <c r="J306" s="215"/>
      <c r="K306" s="215"/>
      <c r="L306" s="215"/>
      <c r="M306" s="215"/>
      <c r="N306" s="215"/>
      <c r="O306" s="215"/>
      <c r="P306" s="215"/>
      <c r="Q306" s="215"/>
      <c r="R306" s="215"/>
      <c r="S306" s="215"/>
      <c r="T306" s="215"/>
      <c r="U306" s="215"/>
      <c r="V306" s="215"/>
      <c r="W306" s="215"/>
      <c r="X306" s="215"/>
      <c r="AD306" s="196"/>
    </row>
    <row r="307" spans="3:30" s="195" customFormat="1" ht="15">
      <c r="C307" s="215"/>
      <c r="D307" s="215"/>
      <c r="E307" s="215"/>
      <c r="F307" s="215"/>
      <c r="G307" s="215"/>
      <c r="H307" s="215"/>
      <c r="I307" s="215"/>
      <c r="J307" s="215"/>
      <c r="K307" s="215"/>
      <c r="L307" s="215"/>
      <c r="M307" s="215"/>
      <c r="N307" s="215"/>
      <c r="O307" s="215"/>
      <c r="P307" s="215"/>
      <c r="Q307" s="215"/>
      <c r="R307" s="215"/>
      <c r="S307" s="215"/>
      <c r="T307" s="215"/>
      <c r="U307" s="215"/>
      <c r="V307" s="215"/>
      <c r="W307" s="215"/>
      <c r="X307" s="215"/>
      <c r="AD307" s="196"/>
    </row>
    <row r="308" spans="3:30" s="195" customFormat="1" ht="15">
      <c r="C308" s="215"/>
      <c r="D308" s="215"/>
      <c r="E308" s="215"/>
      <c r="F308" s="215"/>
      <c r="G308" s="215"/>
      <c r="H308" s="215"/>
      <c r="I308" s="215"/>
      <c r="J308" s="215"/>
      <c r="K308" s="215"/>
      <c r="L308" s="215"/>
      <c r="M308" s="215"/>
      <c r="N308" s="215"/>
      <c r="O308" s="215"/>
      <c r="P308" s="215"/>
      <c r="Q308" s="215"/>
      <c r="R308" s="215"/>
      <c r="S308" s="215"/>
      <c r="T308" s="215"/>
      <c r="U308" s="215"/>
      <c r="V308" s="215"/>
      <c r="W308" s="215"/>
      <c r="X308" s="215"/>
      <c r="AD308" s="196"/>
    </row>
    <row r="309" spans="3:30" s="195" customFormat="1" ht="15">
      <c r="C309" s="215"/>
      <c r="D309" s="215"/>
      <c r="E309" s="215"/>
      <c r="F309" s="215"/>
      <c r="G309" s="215"/>
      <c r="H309" s="215"/>
      <c r="I309" s="215"/>
      <c r="J309" s="215"/>
      <c r="K309" s="215"/>
      <c r="L309" s="215"/>
      <c r="M309" s="215"/>
      <c r="N309" s="215"/>
      <c r="O309" s="215"/>
      <c r="P309" s="215"/>
      <c r="Q309" s="215"/>
      <c r="R309" s="215"/>
      <c r="S309" s="215"/>
      <c r="T309" s="215"/>
      <c r="U309" s="215"/>
      <c r="V309" s="215"/>
      <c r="W309" s="215"/>
      <c r="X309" s="215"/>
      <c r="AD309" s="196"/>
    </row>
    <row r="310" spans="3:30" s="195" customFormat="1" ht="15">
      <c r="C310" s="215"/>
      <c r="D310" s="215"/>
      <c r="E310" s="215"/>
      <c r="F310" s="215"/>
      <c r="G310" s="215"/>
      <c r="H310" s="215"/>
      <c r="I310" s="215"/>
      <c r="J310" s="215"/>
      <c r="K310" s="215"/>
      <c r="L310" s="215"/>
      <c r="M310" s="215"/>
      <c r="N310" s="215"/>
      <c r="O310" s="215"/>
      <c r="P310" s="215"/>
      <c r="Q310" s="215"/>
      <c r="R310" s="215"/>
      <c r="S310" s="215"/>
      <c r="T310" s="215"/>
      <c r="U310" s="215"/>
      <c r="V310" s="215"/>
      <c r="W310" s="215"/>
      <c r="X310" s="215"/>
      <c r="AD310" s="196"/>
    </row>
    <row r="311" spans="3:30" s="195" customFormat="1" ht="15">
      <c r="C311" s="215"/>
      <c r="D311" s="215"/>
      <c r="E311" s="215"/>
      <c r="F311" s="215"/>
      <c r="G311" s="215"/>
      <c r="H311" s="215"/>
      <c r="I311" s="215"/>
      <c r="J311" s="215"/>
      <c r="K311" s="215"/>
      <c r="L311" s="215"/>
      <c r="M311" s="215"/>
      <c r="N311" s="215"/>
      <c r="O311" s="215"/>
      <c r="P311" s="215"/>
      <c r="Q311" s="215"/>
      <c r="R311" s="215"/>
      <c r="S311" s="215"/>
      <c r="T311" s="215"/>
      <c r="U311" s="215"/>
      <c r="V311" s="215"/>
      <c r="W311" s="215"/>
      <c r="X311" s="215"/>
      <c r="AD311" s="196"/>
    </row>
    <row r="312" spans="3:30" s="195" customFormat="1" ht="15">
      <c r="C312" s="215"/>
      <c r="D312" s="215"/>
      <c r="E312" s="215"/>
      <c r="F312" s="215"/>
      <c r="G312" s="215"/>
      <c r="H312" s="215"/>
      <c r="I312" s="215"/>
      <c r="J312" s="215"/>
      <c r="K312" s="215"/>
      <c r="L312" s="215"/>
      <c r="M312" s="215"/>
      <c r="N312" s="215"/>
      <c r="O312" s="215"/>
      <c r="P312" s="215"/>
      <c r="Q312" s="215"/>
      <c r="R312" s="215"/>
      <c r="S312" s="215"/>
      <c r="T312" s="215"/>
      <c r="U312" s="215"/>
      <c r="V312" s="215"/>
      <c r="W312" s="215"/>
      <c r="X312" s="215"/>
      <c r="AD312" s="196"/>
    </row>
    <row r="313" spans="3:30" s="195" customFormat="1" ht="15">
      <c r="C313" s="215"/>
      <c r="D313" s="215"/>
      <c r="E313" s="215"/>
      <c r="F313" s="215"/>
      <c r="G313" s="215"/>
      <c r="H313" s="215"/>
      <c r="I313" s="215"/>
      <c r="J313" s="215"/>
      <c r="K313" s="215"/>
      <c r="L313" s="215"/>
      <c r="M313" s="215"/>
      <c r="N313" s="215"/>
      <c r="O313" s="215"/>
      <c r="P313" s="215"/>
      <c r="Q313" s="215"/>
      <c r="R313" s="215"/>
      <c r="S313" s="215"/>
      <c r="T313" s="215"/>
      <c r="U313" s="215"/>
      <c r="V313" s="215"/>
      <c r="W313" s="215"/>
      <c r="X313" s="215"/>
      <c r="AD313" s="196"/>
    </row>
    <row r="314" spans="3:30" s="195" customFormat="1" ht="15">
      <c r="C314" s="215"/>
      <c r="D314" s="215"/>
      <c r="E314" s="215"/>
      <c r="F314" s="215"/>
      <c r="G314" s="215"/>
      <c r="H314" s="215"/>
      <c r="I314" s="215"/>
      <c r="J314" s="215"/>
      <c r="K314" s="215"/>
      <c r="L314" s="215"/>
      <c r="M314" s="215"/>
      <c r="N314" s="215"/>
      <c r="O314" s="215"/>
      <c r="P314" s="215"/>
      <c r="Q314" s="215"/>
      <c r="R314" s="215"/>
      <c r="S314" s="215"/>
      <c r="T314" s="215"/>
      <c r="U314" s="215"/>
      <c r="V314" s="215"/>
      <c r="W314" s="215"/>
      <c r="X314" s="215"/>
      <c r="AD314" s="196"/>
    </row>
    <row r="315" spans="3:30" s="195" customFormat="1" ht="15">
      <c r="C315" s="215"/>
      <c r="D315" s="215"/>
      <c r="E315" s="215"/>
      <c r="F315" s="215"/>
      <c r="G315" s="215"/>
      <c r="H315" s="215"/>
      <c r="I315" s="215"/>
      <c r="J315" s="215"/>
      <c r="K315" s="215"/>
      <c r="L315" s="215"/>
      <c r="M315" s="215"/>
      <c r="N315" s="215"/>
      <c r="O315" s="215"/>
      <c r="P315" s="215"/>
      <c r="Q315" s="215"/>
      <c r="R315" s="215"/>
      <c r="S315" s="215"/>
      <c r="T315" s="215"/>
      <c r="U315" s="215"/>
      <c r="V315" s="215"/>
      <c r="W315" s="215"/>
      <c r="X315" s="215"/>
      <c r="AD315" s="196"/>
    </row>
    <row r="316" spans="3:30" s="195" customFormat="1" ht="15">
      <c r="C316" s="215"/>
      <c r="D316" s="215"/>
      <c r="E316" s="215"/>
      <c r="F316" s="215"/>
      <c r="G316" s="215"/>
      <c r="H316" s="215"/>
      <c r="I316" s="215"/>
      <c r="J316" s="215"/>
      <c r="K316" s="215"/>
      <c r="L316" s="215"/>
      <c r="M316" s="215"/>
      <c r="N316" s="215"/>
      <c r="O316" s="215"/>
      <c r="P316" s="215"/>
      <c r="Q316" s="215"/>
      <c r="R316" s="215"/>
      <c r="S316" s="215"/>
      <c r="T316" s="215"/>
      <c r="U316" s="215"/>
      <c r="V316" s="215"/>
      <c r="W316" s="215"/>
      <c r="X316" s="215"/>
      <c r="AD316" s="196"/>
    </row>
    <row r="317" spans="3:30" s="195" customFormat="1" ht="15">
      <c r="C317" s="215"/>
      <c r="D317" s="215"/>
      <c r="E317" s="215"/>
      <c r="F317" s="215"/>
      <c r="G317" s="215"/>
      <c r="H317" s="215"/>
      <c r="I317" s="215"/>
      <c r="J317" s="215"/>
      <c r="K317" s="215"/>
      <c r="L317" s="215"/>
      <c r="M317" s="215"/>
      <c r="N317" s="215"/>
      <c r="O317" s="215"/>
      <c r="P317" s="215"/>
      <c r="Q317" s="215"/>
      <c r="R317" s="215"/>
      <c r="S317" s="215"/>
      <c r="T317" s="215"/>
      <c r="U317" s="215"/>
      <c r="V317" s="215"/>
      <c r="W317" s="215"/>
      <c r="X317" s="215"/>
      <c r="AD317" s="196"/>
    </row>
    <row r="318" spans="3:30" s="195" customFormat="1" ht="15">
      <c r="C318" s="215"/>
      <c r="D318" s="215"/>
      <c r="E318" s="215"/>
      <c r="F318" s="215"/>
      <c r="G318" s="215"/>
      <c r="H318" s="215"/>
      <c r="I318" s="215"/>
      <c r="J318" s="215"/>
      <c r="K318" s="215"/>
      <c r="L318" s="215"/>
      <c r="M318" s="215"/>
      <c r="N318" s="215"/>
      <c r="O318" s="215"/>
      <c r="P318" s="215"/>
      <c r="Q318" s="215"/>
      <c r="R318" s="215"/>
      <c r="S318" s="215"/>
      <c r="T318" s="215"/>
      <c r="U318" s="215"/>
      <c r="V318" s="215"/>
      <c r="W318" s="215"/>
      <c r="X318" s="215"/>
      <c r="AD318" s="196"/>
    </row>
    <row r="319" spans="3:30" s="195" customFormat="1" ht="15">
      <c r="C319" s="215"/>
      <c r="D319" s="215"/>
      <c r="E319" s="215"/>
      <c r="F319" s="215"/>
      <c r="G319" s="215"/>
      <c r="H319" s="215"/>
      <c r="I319" s="215"/>
      <c r="J319" s="215"/>
      <c r="K319" s="215"/>
      <c r="L319" s="215"/>
      <c r="M319" s="215"/>
      <c r="N319" s="215"/>
      <c r="O319" s="215"/>
      <c r="P319" s="215"/>
      <c r="Q319" s="215"/>
      <c r="R319" s="215"/>
      <c r="S319" s="215"/>
      <c r="T319" s="215"/>
      <c r="U319" s="215"/>
      <c r="V319" s="215"/>
      <c r="W319" s="215"/>
      <c r="X319" s="215"/>
      <c r="AD319" s="196"/>
    </row>
    <row r="320" spans="3:30" s="195" customFormat="1" ht="15">
      <c r="C320" s="215"/>
      <c r="D320" s="215"/>
      <c r="E320" s="215"/>
      <c r="F320" s="215"/>
      <c r="G320" s="215"/>
      <c r="H320" s="215"/>
      <c r="I320" s="215"/>
      <c r="J320" s="215"/>
      <c r="K320" s="215"/>
      <c r="L320" s="215"/>
      <c r="M320" s="215"/>
      <c r="N320" s="215"/>
      <c r="O320" s="215"/>
      <c r="P320" s="215"/>
      <c r="Q320" s="215"/>
      <c r="R320" s="215"/>
      <c r="S320" s="215"/>
      <c r="T320" s="215"/>
      <c r="U320" s="215"/>
      <c r="V320" s="215"/>
      <c r="W320" s="215"/>
      <c r="X320" s="215"/>
      <c r="AD320" s="196"/>
    </row>
    <row r="321" spans="3:30" s="195" customFormat="1" ht="15">
      <c r="C321" s="215"/>
      <c r="D321" s="215"/>
      <c r="E321" s="215"/>
      <c r="F321" s="215"/>
      <c r="G321" s="215"/>
      <c r="H321" s="215"/>
      <c r="I321" s="215"/>
      <c r="J321" s="215"/>
      <c r="K321" s="215"/>
      <c r="L321" s="215"/>
      <c r="M321" s="215"/>
      <c r="N321" s="215"/>
      <c r="O321" s="215"/>
      <c r="P321" s="215"/>
      <c r="Q321" s="215"/>
      <c r="R321" s="215"/>
      <c r="S321" s="215"/>
      <c r="T321" s="215"/>
      <c r="U321" s="215"/>
      <c r="V321" s="215"/>
      <c r="W321" s="215"/>
      <c r="X321" s="215"/>
      <c r="AD321" s="196"/>
    </row>
    <row r="322" spans="3:30" s="195" customFormat="1" ht="15">
      <c r="C322" s="215"/>
      <c r="D322" s="215"/>
      <c r="E322" s="215"/>
      <c r="F322" s="215"/>
      <c r="G322" s="215"/>
      <c r="H322" s="215"/>
      <c r="I322" s="215"/>
      <c r="J322" s="215"/>
      <c r="K322" s="215"/>
      <c r="L322" s="215"/>
      <c r="M322" s="215"/>
      <c r="N322" s="215"/>
      <c r="O322" s="215"/>
      <c r="P322" s="215"/>
      <c r="Q322" s="215"/>
      <c r="R322" s="215"/>
      <c r="S322" s="215"/>
      <c r="T322" s="215"/>
      <c r="U322" s="215"/>
      <c r="V322" s="215"/>
      <c r="W322" s="215"/>
      <c r="X322" s="215"/>
      <c r="AD322" s="196"/>
    </row>
    <row r="323" spans="3:30" s="195" customFormat="1" ht="15">
      <c r="C323" s="215"/>
      <c r="D323" s="215"/>
      <c r="E323" s="215"/>
      <c r="F323" s="215"/>
      <c r="G323" s="215"/>
      <c r="H323" s="215"/>
      <c r="I323" s="215"/>
      <c r="J323" s="215"/>
      <c r="K323" s="215"/>
      <c r="L323" s="215"/>
      <c r="M323" s="215"/>
      <c r="N323" s="215"/>
      <c r="O323" s="215"/>
      <c r="P323" s="215"/>
      <c r="Q323" s="215"/>
      <c r="R323" s="215"/>
      <c r="S323" s="215"/>
      <c r="T323" s="215"/>
      <c r="U323" s="215"/>
      <c r="V323" s="215"/>
      <c r="W323" s="215"/>
      <c r="X323" s="215"/>
      <c r="AD323" s="196"/>
    </row>
    <row r="324" spans="3:30" s="195" customFormat="1" ht="15">
      <c r="C324" s="215"/>
      <c r="D324" s="215"/>
      <c r="E324" s="215"/>
      <c r="F324" s="215"/>
      <c r="G324" s="215"/>
      <c r="H324" s="215"/>
      <c r="I324" s="215"/>
      <c r="J324" s="215"/>
      <c r="K324" s="215"/>
      <c r="L324" s="215"/>
      <c r="M324" s="215"/>
      <c r="N324" s="215"/>
      <c r="O324" s="215"/>
      <c r="P324" s="215"/>
      <c r="Q324" s="215"/>
      <c r="R324" s="215"/>
      <c r="S324" s="215"/>
      <c r="T324" s="215"/>
      <c r="U324" s="215"/>
      <c r="V324" s="215"/>
      <c r="W324" s="215"/>
      <c r="X324" s="215"/>
      <c r="AD324" s="196"/>
    </row>
    <row r="325" spans="3:30" s="195" customFormat="1" ht="15">
      <c r="C325" s="215"/>
      <c r="D325" s="215"/>
      <c r="E325" s="215"/>
      <c r="F325" s="215"/>
      <c r="G325" s="215"/>
      <c r="H325" s="215"/>
      <c r="I325" s="215"/>
      <c r="J325" s="215"/>
      <c r="K325" s="215"/>
      <c r="L325" s="215"/>
      <c r="M325" s="215"/>
      <c r="N325" s="215"/>
      <c r="O325" s="215"/>
      <c r="P325" s="215"/>
      <c r="Q325" s="215"/>
      <c r="R325" s="215"/>
      <c r="S325" s="215"/>
      <c r="T325" s="215"/>
      <c r="U325" s="215"/>
      <c r="V325" s="215"/>
      <c r="W325" s="215"/>
      <c r="X325" s="215"/>
      <c r="AD325" s="196"/>
    </row>
    <row r="326" spans="3:30" s="195" customFormat="1" ht="15">
      <c r="C326" s="215"/>
      <c r="D326" s="215"/>
      <c r="E326" s="215"/>
      <c r="F326" s="215"/>
      <c r="G326" s="215"/>
      <c r="H326" s="215"/>
      <c r="I326" s="215"/>
      <c r="J326" s="215"/>
      <c r="K326" s="215"/>
      <c r="L326" s="215"/>
      <c r="M326" s="215"/>
      <c r="N326" s="215"/>
      <c r="O326" s="215"/>
      <c r="P326" s="215"/>
      <c r="Q326" s="215"/>
      <c r="R326" s="215"/>
      <c r="S326" s="215"/>
      <c r="T326" s="215"/>
      <c r="U326" s="215"/>
      <c r="V326" s="215"/>
      <c r="W326" s="215"/>
      <c r="X326" s="215"/>
      <c r="AD326" s="196"/>
    </row>
    <row r="327" spans="3:30" s="195" customFormat="1" ht="15">
      <c r="C327" s="215"/>
      <c r="D327" s="215"/>
      <c r="E327" s="215"/>
      <c r="F327" s="215"/>
      <c r="G327" s="215"/>
      <c r="H327" s="215"/>
      <c r="I327" s="215"/>
      <c r="J327" s="215"/>
      <c r="K327" s="215"/>
      <c r="L327" s="215"/>
      <c r="M327" s="215"/>
      <c r="N327" s="215"/>
      <c r="O327" s="215"/>
      <c r="P327" s="215"/>
      <c r="Q327" s="215"/>
      <c r="R327" s="215"/>
      <c r="S327" s="215"/>
      <c r="T327" s="215"/>
      <c r="U327" s="215"/>
      <c r="V327" s="215"/>
      <c r="W327" s="215"/>
      <c r="X327" s="215"/>
      <c r="AD327" s="196"/>
    </row>
    <row r="328" spans="3:30" s="195" customFormat="1" ht="15">
      <c r="C328" s="215"/>
      <c r="D328" s="215"/>
      <c r="E328" s="215"/>
      <c r="F328" s="215"/>
      <c r="G328" s="215"/>
      <c r="H328" s="215"/>
      <c r="I328" s="215"/>
      <c r="J328" s="215"/>
      <c r="K328" s="215"/>
      <c r="L328" s="215"/>
      <c r="M328" s="215"/>
      <c r="N328" s="215"/>
      <c r="O328" s="215"/>
      <c r="P328" s="215"/>
      <c r="Q328" s="215"/>
      <c r="R328" s="215"/>
      <c r="S328" s="215"/>
      <c r="T328" s="215"/>
      <c r="U328" s="215"/>
      <c r="V328" s="215"/>
      <c r="W328" s="215"/>
      <c r="X328" s="215"/>
      <c r="AD328" s="196"/>
    </row>
    <row r="329" spans="3:30" s="195" customFormat="1" ht="15">
      <c r="C329" s="215"/>
      <c r="D329" s="215"/>
      <c r="E329" s="215"/>
      <c r="F329" s="215"/>
      <c r="G329" s="215"/>
      <c r="H329" s="215"/>
      <c r="I329" s="215"/>
      <c r="J329" s="215"/>
      <c r="K329" s="215"/>
      <c r="L329" s="215"/>
      <c r="M329" s="215"/>
      <c r="N329" s="215"/>
      <c r="O329" s="215"/>
      <c r="P329" s="215"/>
      <c r="Q329" s="215"/>
      <c r="R329" s="215"/>
      <c r="S329" s="215"/>
      <c r="T329" s="215"/>
      <c r="U329" s="215"/>
      <c r="V329" s="215"/>
      <c r="W329" s="215"/>
      <c r="X329" s="215"/>
      <c r="AD329" s="196"/>
    </row>
    <row r="330" spans="3:30" s="195" customFormat="1" ht="15">
      <c r="C330" s="215"/>
      <c r="D330" s="215"/>
      <c r="E330" s="215"/>
      <c r="F330" s="215"/>
      <c r="G330" s="215"/>
      <c r="H330" s="215"/>
      <c r="I330" s="215"/>
      <c r="J330" s="215"/>
      <c r="K330" s="215"/>
      <c r="L330" s="215"/>
      <c r="M330" s="215"/>
      <c r="N330" s="215"/>
      <c r="O330" s="215"/>
      <c r="P330" s="215"/>
      <c r="Q330" s="215"/>
      <c r="R330" s="215"/>
      <c r="S330" s="215"/>
      <c r="T330" s="215"/>
      <c r="U330" s="215"/>
      <c r="V330" s="215"/>
      <c r="W330" s="215"/>
      <c r="X330" s="215"/>
      <c r="AD330" s="196"/>
    </row>
    <row r="331" spans="3:30" s="195" customFormat="1" ht="15">
      <c r="C331" s="215"/>
      <c r="D331" s="215"/>
      <c r="E331" s="215"/>
      <c r="F331" s="215"/>
      <c r="G331" s="215"/>
      <c r="H331" s="215"/>
      <c r="I331" s="215"/>
      <c r="J331" s="215"/>
      <c r="K331" s="215"/>
      <c r="L331" s="215"/>
      <c r="M331" s="215"/>
      <c r="N331" s="215"/>
      <c r="O331" s="215"/>
      <c r="P331" s="215"/>
      <c r="Q331" s="215"/>
      <c r="R331" s="215"/>
      <c r="S331" s="215"/>
      <c r="T331" s="215"/>
      <c r="U331" s="215"/>
      <c r="V331" s="215"/>
      <c r="W331" s="215"/>
      <c r="X331" s="215"/>
      <c r="AD331" s="196"/>
    </row>
    <row r="332" spans="3:30" s="195" customFormat="1" ht="15">
      <c r="C332" s="215"/>
      <c r="D332" s="215"/>
      <c r="E332" s="215"/>
      <c r="F332" s="215"/>
      <c r="G332" s="215"/>
      <c r="H332" s="215"/>
      <c r="I332" s="215"/>
      <c r="J332" s="215"/>
      <c r="K332" s="215"/>
      <c r="L332" s="215"/>
      <c r="M332" s="215"/>
      <c r="N332" s="215"/>
      <c r="O332" s="215"/>
      <c r="P332" s="215"/>
      <c r="Q332" s="215"/>
      <c r="R332" s="215"/>
      <c r="S332" s="215"/>
      <c r="T332" s="215"/>
      <c r="U332" s="215"/>
      <c r="V332" s="215"/>
      <c r="W332" s="215"/>
      <c r="X332" s="215"/>
      <c r="AD332" s="196"/>
    </row>
    <row r="333" spans="3:30" s="195" customFormat="1" ht="15">
      <c r="C333" s="215"/>
      <c r="D333" s="215"/>
      <c r="E333" s="215"/>
      <c r="F333" s="215"/>
      <c r="G333" s="215"/>
      <c r="H333" s="215"/>
      <c r="I333" s="215"/>
      <c r="J333" s="215"/>
      <c r="K333" s="215"/>
      <c r="L333" s="215"/>
      <c r="M333" s="215"/>
      <c r="N333" s="215"/>
      <c r="O333" s="215"/>
      <c r="P333" s="215"/>
      <c r="Q333" s="215"/>
      <c r="R333" s="215"/>
      <c r="S333" s="215"/>
      <c r="T333" s="215"/>
      <c r="U333" s="215"/>
      <c r="V333" s="215"/>
      <c r="W333" s="215"/>
      <c r="X333" s="215"/>
      <c r="AD333" s="196"/>
    </row>
    <row r="334" spans="3:30" s="195" customFormat="1" ht="15">
      <c r="C334" s="215"/>
      <c r="D334" s="215"/>
      <c r="E334" s="215"/>
      <c r="F334" s="215"/>
      <c r="G334" s="215"/>
      <c r="H334" s="215"/>
      <c r="I334" s="215"/>
      <c r="J334" s="215"/>
      <c r="K334" s="215"/>
      <c r="L334" s="215"/>
      <c r="M334" s="215"/>
      <c r="N334" s="215"/>
      <c r="O334" s="215"/>
      <c r="P334" s="215"/>
      <c r="Q334" s="215"/>
      <c r="R334" s="215"/>
      <c r="S334" s="215"/>
      <c r="T334" s="215"/>
      <c r="U334" s="215"/>
      <c r="V334" s="215"/>
      <c r="W334" s="215"/>
      <c r="X334" s="215"/>
      <c r="AD334" s="196"/>
    </row>
    <row r="335" spans="3:30" s="195" customFormat="1" ht="15">
      <c r="C335" s="215"/>
      <c r="D335" s="215"/>
      <c r="E335" s="215"/>
      <c r="F335" s="215"/>
      <c r="G335" s="215"/>
      <c r="H335" s="215"/>
      <c r="I335" s="215"/>
      <c r="J335" s="215"/>
      <c r="K335" s="215"/>
      <c r="L335" s="215"/>
      <c r="M335" s="215"/>
      <c r="N335" s="215"/>
      <c r="O335" s="215"/>
      <c r="P335" s="215"/>
      <c r="Q335" s="215"/>
      <c r="R335" s="215"/>
      <c r="S335" s="215"/>
      <c r="T335" s="215"/>
      <c r="U335" s="215"/>
      <c r="V335" s="215"/>
      <c r="W335" s="215"/>
      <c r="X335" s="215"/>
      <c r="AD335" s="196"/>
    </row>
    <row r="336" spans="3:30" s="195" customFormat="1" ht="15">
      <c r="C336" s="215"/>
      <c r="D336" s="215"/>
      <c r="E336" s="215"/>
      <c r="F336" s="215"/>
      <c r="G336" s="215"/>
      <c r="H336" s="215"/>
      <c r="I336" s="215"/>
      <c r="J336" s="215"/>
      <c r="K336" s="215"/>
      <c r="L336" s="215"/>
      <c r="M336" s="215"/>
      <c r="N336" s="215"/>
      <c r="O336" s="215"/>
      <c r="P336" s="215"/>
      <c r="Q336" s="215"/>
      <c r="R336" s="215"/>
      <c r="S336" s="215"/>
      <c r="T336" s="215"/>
      <c r="U336" s="215"/>
      <c r="V336" s="215"/>
      <c r="W336" s="215"/>
      <c r="X336" s="215"/>
      <c r="AD336" s="196"/>
    </row>
    <row r="337" spans="3:30" s="195" customFormat="1" ht="15">
      <c r="C337" s="215"/>
      <c r="D337" s="215"/>
      <c r="E337" s="215"/>
      <c r="F337" s="215"/>
      <c r="G337" s="215"/>
      <c r="H337" s="215"/>
      <c r="I337" s="215"/>
      <c r="J337" s="215"/>
      <c r="K337" s="215"/>
      <c r="L337" s="215"/>
      <c r="M337" s="215"/>
      <c r="N337" s="215"/>
      <c r="O337" s="215"/>
      <c r="P337" s="215"/>
      <c r="Q337" s="215"/>
      <c r="R337" s="215"/>
      <c r="S337" s="215"/>
      <c r="T337" s="215"/>
      <c r="U337" s="215"/>
      <c r="V337" s="215"/>
      <c r="W337" s="215"/>
      <c r="X337" s="215"/>
      <c r="AD337" s="196"/>
    </row>
    <row r="338" spans="3:30" s="195" customFormat="1" ht="15">
      <c r="C338" s="215"/>
      <c r="D338" s="215"/>
      <c r="E338" s="215"/>
      <c r="F338" s="215"/>
      <c r="G338" s="215"/>
      <c r="H338" s="215"/>
      <c r="I338" s="215"/>
      <c r="J338" s="215"/>
      <c r="K338" s="215"/>
      <c r="L338" s="215"/>
      <c r="M338" s="215"/>
      <c r="N338" s="215"/>
      <c r="O338" s="215"/>
      <c r="P338" s="215"/>
      <c r="Q338" s="215"/>
      <c r="R338" s="215"/>
      <c r="S338" s="215"/>
      <c r="T338" s="215"/>
      <c r="U338" s="215"/>
      <c r="V338" s="215"/>
      <c r="W338" s="215"/>
      <c r="X338" s="215"/>
      <c r="AD338" s="196"/>
    </row>
    <row r="339" spans="3:30" s="195" customFormat="1" ht="15">
      <c r="C339" s="215"/>
      <c r="D339" s="215"/>
      <c r="E339" s="215"/>
      <c r="F339" s="215"/>
      <c r="G339" s="215"/>
      <c r="H339" s="215"/>
      <c r="I339" s="215"/>
      <c r="J339" s="215"/>
      <c r="K339" s="215"/>
      <c r="L339" s="215"/>
      <c r="M339" s="215"/>
      <c r="N339" s="215"/>
      <c r="O339" s="215"/>
      <c r="P339" s="215"/>
      <c r="Q339" s="215"/>
      <c r="R339" s="215"/>
      <c r="S339" s="215"/>
      <c r="T339" s="215"/>
      <c r="U339" s="215"/>
      <c r="V339" s="215"/>
      <c r="W339" s="215"/>
      <c r="X339" s="215"/>
      <c r="AD339" s="196"/>
    </row>
    <row r="340" spans="3:30" s="195" customFormat="1" ht="15">
      <c r="C340" s="215"/>
      <c r="D340" s="215"/>
      <c r="E340" s="215"/>
      <c r="F340" s="215"/>
      <c r="G340" s="215"/>
      <c r="H340" s="215"/>
      <c r="I340" s="215"/>
      <c r="J340" s="215"/>
      <c r="K340" s="215"/>
      <c r="L340" s="215"/>
      <c r="M340" s="215"/>
      <c r="N340" s="215"/>
      <c r="O340" s="215"/>
      <c r="P340" s="215"/>
      <c r="Q340" s="215"/>
      <c r="R340" s="215"/>
      <c r="S340" s="215"/>
      <c r="T340" s="215"/>
      <c r="U340" s="215"/>
      <c r="V340" s="215"/>
      <c r="W340" s="215"/>
      <c r="X340" s="215"/>
      <c r="AD340" s="196"/>
    </row>
    <row r="341" spans="3:30" s="195" customFormat="1" ht="15">
      <c r="C341" s="215"/>
      <c r="D341" s="215"/>
      <c r="E341" s="215"/>
      <c r="F341" s="215"/>
      <c r="G341" s="215"/>
      <c r="H341" s="215"/>
      <c r="I341" s="215"/>
      <c r="J341" s="215"/>
      <c r="K341" s="215"/>
      <c r="L341" s="215"/>
      <c r="M341" s="215"/>
      <c r="N341" s="215"/>
      <c r="O341" s="215"/>
      <c r="P341" s="215"/>
      <c r="Q341" s="215"/>
      <c r="R341" s="215"/>
      <c r="S341" s="215"/>
      <c r="T341" s="215"/>
      <c r="U341" s="215"/>
      <c r="V341" s="215"/>
      <c r="W341" s="215"/>
      <c r="X341" s="215"/>
      <c r="AD341" s="196"/>
    </row>
    <row r="342" spans="3:30" s="195" customFormat="1" ht="15">
      <c r="C342" s="215"/>
      <c r="D342" s="215"/>
      <c r="E342" s="215"/>
      <c r="F342" s="215"/>
      <c r="G342" s="215"/>
      <c r="H342" s="215"/>
      <c r="I342" s="215"/>
      <c r="J342" s="215"/>
      <c r="K342" s="215"/>
      <c r="L342" s="215"/>
      <c r="M342" s="215"/>
      <c r="N342" s="215"/>
      <c r="O342" s="215"/>
      <c r="P342" s="215"/>
      <c r="Q342" s="215"/>
      <c r="R342" s="215"/>
      <c r="S342" s="215"/>
      <c r="T342" s="215"/>
      <c r="U342" s="215"/>
      <c r="V342" s="215"/>
      <c r="W342" s="215"/>
      <c r="X342" s="215"/>
      <c r="AD342" s="196"/>
    </row>
    <row r="343" spans="3:30" s="195" customFormat="1" ht="15">
      <c r="C343" s="215"/>
      <c r="D343" s="215"/>
      <c r="E343" s="215"/>
      <c r="F343" s="215"/>
      <c r="G343" s="215"/>
      <c r="H343" s="215"/>
      <c r="I343" s="215"/>
      <c r="J343" s="215"/>
      <c r="K343" s="215"/>
      <c r="L343" s="215"/>
      <c r="M343" s="215"/>
      <c r="N343" s="215"/>
      <c r="O343" s="215"/>
      <c r="P343" s="215"/>
      <c r="Q343" s="215"/>
      <c r="R343" s="215"/>
      <c r="S343" s="215"/>
      <c r="T343" s="215"/>
      <c r="U343" s="215"/>
      <c r="V343" s="215"/>
      <c r="W343" s="215"/>
      <c r="X343" s="215"/>
      <c r="AD343" s="196"/>
    </row>
    <row r="344" spans="3:30" s="195" customFormat="1" ht="15">
      <c r="C344" s="215"/>
      <c r="D344" s="215"/>
      <c r="E344" s="215"/>
      <c r="F344" s="215"/>
      <c r="G344" s="215"/>
      <c r="H344" s="215"/>
      <c r="I344" s="215"/>
      <c r="J344" s="215"/>
      <c r="K344" s="215"/>
      <c r="L344" s="215"/>
      <c r="M344" s="215"/>
      <c r="N344" s="215"/>
      <c r="O344" s="215"/>
      <c r="P344" s="215"/>
      <c r="Q344" s="215"/>
      <c r="R344" s="215"/>
      <c r="S344" s="215"/>
      <c r="T344" s="215"/>
      <c r="U344" s="215"/>
      <c r="V344" s="215"/>
      <c r="W344" s="215"/>
      <c r="X344" s="215"/>
      <c r="AD344" s="196"/>
    </row>
    <row r="345" spans="3:30" s="195" customFormat="1" ht="15">
      <c r="C345" s="215"/>
      <c r="D345" s="215"/>
      <c r="E345" s="215"/>
      <c r="F345" s="215"/>
      <c r="G345" s="215"/>
      <c r="H345" s="215"/>
      <c r="I345" s="215"/>
      <c r="J345" s="215"/>
      <c r="K345" s="215"/>
      <c r="L345" s="215"/>
      <c r="M345" s="215"/>
      <c r="N345" s="215"/>
      <c r="O345" s="215"/>
      <c r="P345" s="215"/>
      <c r="Q345" s="215"/>
      <c r="R345" s="215"/>
      <c r="S345" s="215"/>
      <c r="T345" s="215"/>
      <c r="U345" s="215"/>
      <c r="V345" s="215"/>
      <c r="W345" s="215"/>
      <c r="X345" s="215"/>
      <c r="AD345" s="196"/>
    </row>
    <row r="346" spans="3:30" s="195" customFormat="1" ht="15">
      <c r="C346" s="215"/>
      <c r="D346" s="215"/>
      <c r="E346" s="215"/>
      <c r="F346" s="215"/>
      <c r="G346" s="215"/>
      <c r="H346" s="215"/>
      <c r="I346" s="215"/>
      <c r="J346" s="215"/>
      <c r="K346" s="215"/>
      <c r="L346" s="215"/>
      <c r="M346" s="215"/>
      <c r="N346" s="215"/>
      <c r="O346" s="215"/>
      <c r="P346" s="215"/>
      <c r="Q346" s="215"/>
      <c r="R346" s="215"/>
      <c r="S346" s="215"/>
      <c r="T346" s="215"/>
      <c r="U346" s="215"/>
      <c r="V346" s="215"/>
      <c r="W346" s="215"/>
      <c r="X346" s="215"/>
      <c r="AD346" s="196"/>
    </row>
    <row r="347" spans="3:30" s="195" customFormat="1" ht="15">
      <c r="C347" s="215"/>
      <c r="D347" s="215"/>
      <c r="E347" s="215"/>
      <c r="F347" s="215"/>
      <c r="G347" s="215"/>
      <c r="H347" s="215"/>
      <c r="I347" s="215"/>
      <c r="J347" s="215"/>
      <c r="K347" s="215"/>
      <c r="L347" s="215"/>
      <c r="M347" s="215"/>
      <c r="N347" s="215"/>
      <c r="O347" s="215"/>
      <c r="P347" s="215"/>
      <c r="Q347" s="215"/>
      <c r="R347" s="215"/>
      <c r="S347" s="215"/>
      <c r="T347" s="215"/>
      <c r="U347" s="215"/>
      <c r="V347" s="215"/>
      <c r="W347" s="215"/>
      <c r="X347" s="215"/>
      <c r="AD347" s="196"/>
    </row>
    <row r="348" spans="3:30" s="195" customFormat="1" ht="15">
      <c r="C348" s="215"/>
      <c r="D348" s="215"/>
      <c r="E348" s="215"/>
      <c r="F348" s="215"/>
      <c r="G348" s="215"/>
      <c r="H348" s="215"/>
      <c r="I348" s="215"/>
      <c r="J348" s="215"/>
      <c r="K348" s="215"/>
      <c r="L348" s="215"/>
      <c r="M348" s="215"/>
      <c r="N348" s="215"/>
      <c r="O348" s="215"/>
      <c r="P348" s="215"/>
      <c r="Q348" s="215"/>
      <c r="R348" s="215"/>
      <c r="S348" s="215"/>
      <c r="T348" s="215"/>
      <c r="U348" s="215"/>
      <c r="V348" s="215"/>
      <c r="W348" s="215"/>
      <c r="X348" s="215"/>
      <c r="AD348" s="196"/>
    </row>
    <row r="349" spans="3:30" s="195" customFormat="1" ht="15">
      <c r="C349" s="215"/>
      <c r="D349" s="215"/>
      <c r="E349" s="215"/>
      <c r="F349" s="215"/>
      <c r="G349" s="215"/>
      <c r="H349" s="215"/>
      <c r="I349" s="215"/>
      <c r="J349" s="215"/>
      <c r="K349" s="215"/>
      <c r="L349" s="215"/>
      <c r="M349" s="215"/>
      <c r="N349" s="215"/>
      <c r="O349" s="215"/>
      <c r="P349" s="215"/>
      <c r="Q349" s="215"/>
      <c r="R349" s="215"/>
      <c r="S349" s="215"/>
      <c r="T349" s="215"/>
      <c r="U349" s="215"/>
      <c r="V349" s="215"/>
      <c r="W349" s="215"/>
      <c r="X349" s="215"/>
      <c r="AD349" s="196"/>
    </row>
    <row r="350" spans="3:30" s="195" customFormat="1" ht="15">
      <c r="C350" s="215"/>
      <c r="D350" s="215"/>
      <c r="E350" s="215"/>
      <c r="F350" s="215"/>
      <c r="G350" s="215"/>
      <c r="H350" s="215"/>
      <c r="I350" s="215"/>
      <c r="J350" s="215"/>
      <c r="K350" s="215"/>
      <c r="L350" s="215"/>
      <c r="M350" s="215"/>
      <c r="N350" s="215"/>
      <c r="O350" s="215"/>
      <c r="P350" s="215"/>
      <c r="Q350" s="215"/>
      <c r="R350" s="215"/>
      <c r="S350" s="215"/>
      <c r="T350" s="215"/>
      <c r="U350" s="215"/>
      <c r="V350" s="215"/>
      <c r="W350" s="215"/>
      <c r="X350" s="215"/>
      <c r="AD350" s="196"/>
    </row>
    <row r="351" spans="3:30" s="195" customFormat="1" ht="15">
      <c r="C351" s="215"/>
      <c r="D351" s="215"/>
      <c r="E351" s="215"/>
      <c r="F351" s="215"/>
      <c r="G351" s="215"/>
      <c r="H351" s="215"/>
      <c r="I351" s="215"/>
      <c r="J351" s="215"/>
      <c r="K351" s="215"/>
      <c r="L351" s="215"/>
      <c r="M351" s="215"/>
      <c r="N351" s="215"/>
      <c r="O351" s="215"/>
      <c r="P351" s="215"/>
      <c r="Q351" s="215"/>
      <c r="R351" s="215"/>
      <c r="S351" s="215"/>
      <c r="T351" s="215"/>
      <c r="U351" s="215"/>
      <c r="V351" s="215"/>
      <c r="W351" s="215"/>
      <c r="X351" s="215"/>
      <c r="AD351" s="196"/>
    </row>
    <row r="352" spans="3:30" s="195" customFormat="1" ht="15">
      <c r="C352" s="215"/>
      <c r="D352" s="215"/>
      <c r="E352" s="215"/>
      <c r="F352" s="215"/>
      <c r="G352" s="215"/>
      <c r="H352" s="215"/>
      <c r="I352" s="215"/>
      <c r="J352" s="215"/>
      <c r="K352" s="215"/>
      <c r="L352" s="215"/>
      <c r="M352" s="215"/>
      <c r="N352" s="215"/>
      <c r="O352" s="215"/>
      <c r="P352" s="215"/>
      <c r="Q352" s="215"/>
      <c r="R352" s="215"/>
      <c r="S352" s="215"/>
      <c r="T352" s="215"/>
      <c r="U352" s="215"/>
      <c r="V352" s="215"/>
      <c r="W352" s="215"/>
      <c r="X352" s="215"/>
      <c r="AD352" s="196"/>
    </row>
    <row r="353" spans="3:30" s="195" customFormat="1" ht="15">
      <c r="C353" s="215"/>
      <c r="D353" s="215"/>
      <c r="E353" s="215"/>
      <c r="F353" s="215"/>
      <c r="G353" s="215"/>
      <c r="H353" s="215"/>
      <c r="I353" s="215"/>
      <c r="J353" s="215"/>
      <c r="K353" s="215"/>
      <c r="L353" s="215"/>
      <c r="M353" s="215"/>
      <c r="N353" s="215"/>
      <c r="O353" s="215"/>
      <c r="P353" s="215"/>
      <c r="Q353" s="215"/>
      <c r="R353" s="215"/>
      <c r="S353" s="215"/>
      <c r="T353" s="215"/>
      <c r="U353" s="215"/>
      <c r="V353" s="215"/>
      <c r="W353" s="215"/>
      <c r="X353" s="215"/>
      <c r="AD353" s="196"/>
    </row>
    <row r="354" spans="3:30" s="195" customFormat="1" ht="15">
      <c r="C354" s="215"/>
      <c r="D354" s="215"/>
      <c r="E354" s="215"/>
      <c r="F354" s="215"/>
      <c r="G354" s="215"/>
      <c r="H354" s="215"/>
      <c r="I354" s="215"/>
      <c r="J354" s="215"/>
      <c r="K354" s="215"/>
      <c r="L354" s="215"/>
      <c r="M354" s="215"/>
      <c r="N354" s="215"/>
      <c r="O354" s="215"/>
      <c r="P354" s="215"/>
      <c r="Q354" s="215"/>
      <c r="R354" s="215"/>
      <c r="S354" s="215"/>
      <c r="T354" s="215"/>
      <c r="U354" s="215"/>
      <c r="V354" s="215"/>
      <c r="W354" s="215"/>
      <c r="X354" s="215"/>
      <c r="AD354" s="196"/>
    </row>
    <row r="355" spans="3:30" s="195" customFormat="1" ht="15">
      <c r="C355" s="215"/>
      <c r="D355" s="215"/>
      <c r="E355" s="215"/>
      <c r="F355" s="215"/>
      <c r="G355" s="215"/>
      <c r="H355" s="215"/>
      <c r="I355" s="215"/>
      <c r="J355" s="215"/>
      <c r="K355" s="215"/>
      <c r="L355" s="215"/>
      <c r="M355" s="215"/>
      <c r="N355" s="215"/>
      <c r="O355" s="215"/>
      <c r="P355" s="215"/>
      <c r="Q355" s="215"/>
      <c r="R355" s="215"/>
      <c r="S355" s="215"/>
      <c r="T355" s="215"/>
      <c r="U355" s="215"/>
      <c r="V355" s="215"/>
      <c r="W355" s="215"/>
      <c r="X355" s="215"/>
      <c r="AD355" s="196"/>
    </row>
    <row r="356" spans="3:30" s="195" customFormat="1" ht="15">
      <c r="C356" s="215"/>
      <c r="D356" s="215"/>
      <c r="E356" s="215"/>
      <c r="F356" s="215"/>
      <c r="G356" s="215"/>
      <c r="H356" s="215"/>
      <c r="I356" s="215"/>
      <c r="J356" s="215"/>
      <c r="K356" s="215"/>
      <c r="L356" s="215"/>
      <c r="M356" s="215"/>
      <c r="N356" s="215"/>
      <c r="O356" s="215"/>
      <c r="P356" s="215"/>
      <c r="Q356" s="215"/>
      <c r="R356" s="215"/>
      <c r="S356" s="215"/>
      <c r="T356" s="215"/>
      <c r="U356" s="215"/>
      <c r="V356" s="215"/>
      <c r="W356" s="215"/>
      <c r="X356" s="215"/>
      <c r="AD356" s="196"/>
    </row>
    <row r="357" spans="3:30" s="195" customFormat="1" ht="15">
      <c r="C357" s="215"/>
      <c r="D357" s="215"/>
      <c r="E357" s="215"/>
      <c r="F357" s="215"/>
      <c r="G357" s="215"/>
      <c r="H357" s="215"/>
      <c r="I357" s="215"/>
      <c r="J357" s="215"/>
      <c r="K357" s="215"/>
      <c r="L357" s="215"/>
      <c r="M357" s="215"/>
      <c r="N357" s="215"/>
      <c r="O357" s="215"/>
      <c r="P357" s="215"/>
      <c r="Q357" s="215"/>
      <c r="R357" s="215"/>
      <c r="S357" s="215"/>
      <c r="T357" s="215"/>
      <c r="U357" s="215"/>
      <c r="V357" s="215"/>
      <c r="W357" s="215"/>
      <c r="X357" s="215"/>
      <c r="AD357" s="196"/>
    </row>
    <row r="358" spans="3:30" s="195" customFormat="1" ht="15">
      <c r="C358" s="215"/>
      <c r="D358" s="215"/>
      <c r="E358" s="215"/>
      <c r="F358" s="215"/>
      <c r="G358" s="215"/>
      <c r="H358" s="215"/>
      <c r="I358" s="215"/>
      <c r="J358" s="215"/>
      <c r="K358" s="215"/>
      <c r="L358" s="215"/>
      <c r="M358" s="215"/>
      <c r="N358" s="215"/>
      <c r="O358" s="215"/>
      <c r="P358" s="215"/>
      <c r="Q358" s="215"/>
      <c r="R358" s="215"/>
      <c r="S358" s="215"/>
      <c r="T358" s="215"/>
      <c r="U358" s="215"/>
      <c r="V358" s="215"/>
      <c r="W358" s="215"/>
      <c r="X358" s="215"/>
      <c r="AD358" s="196"/>
    </row>
    <row r="359" spans="3:30" s="195" customFormat="1" ht="15">
      <c r="C359" s="215"/>
      <c r="D359" s="215"/>
      <c r="E359" s="215"/>
      <c r="F359" s="215"/>
      <c r="G359" s="215"/>
      <c r="H359" s="215"/>
      <c r="I359" s="215"/>
      <c r="J359" s="215"/>
      <c r="K359" s="215"/>
      <c r="L359" s="215"/>
      <c r="M359" s="215"/>
      <c r="N359" s="215"/>
      <c r="O359" s="215"/>
      <c r="P359" s="215"/>
      <c r="Q359" s="215"/>
      <c r="R359" s="215"/>
      <c r="S359" s="215"/>
      <c r="T359" s="215"/>
      <c r="U359" s="215"/>
      <c r="V359" s="215"/>
      <c r="W359" s="215"/>
      <c r="X359" s="215"/>
      <c r="AD359" s="196"/>
    </row>
    <row r="360" spans="3:30" s="195" customFormat="1" ht="15">
      <c r="C360" s="215"/>
      <c r="D360" s="215"/>
      <c r="E360" s="215"/>
      <c r="F360" s="215"/>
      <c r="G360" s="215"/>
      <c r="H360" s="215"/>
      <c r="I360" s="215"/>
      <c r="J360" s="215"/>
      <c r="K360" s="215"/>
      <c r="L360" s="215"/>
      <c r="M360" s="215"/>
      <c r="N360" s="215"/>
      <c r="O360" s="215"/>
      <c r="P360" s="215"/>
      <c r="Q360" s="215"/>
      <c r="R360" s="215"/>
      <c r="S360" s="215"/>
      <c r="T360" s="215"/>
      <c r="U360" s="215"/>
      <c r="V360" s="215"/>
      <c r="W360" s="215"/>
      <c r="X360" s="215"/>
      <c r="AD360" s="196"/>
    </row>
    <row r="361" spans="3:30" s="195" customFormat="1" ht="15">
      <c r="C361" s="215"/>
      <c r="D361" s="215"/>
      <c r="E361" s="215"/>
      <c r="F361" s="215"/>
      <c r="G361" s="215"/>
      <c r="H361" s="215"/>
      <c r="I361" s="215"/>
      <c r="J361" s="215"/>
      <c r="K361" s="215"/>
      <c r="L361" s="215"/>
      <c r="M361" s="215"/>
      <c r="N361" s="215"/>
      <c r="O361" s="215"/>
      <c r="P361" s="215"/>
      <c r="Q361" s="215"/>
      <c r="R361" s="215"/>
      <c r="S361" s="215"/>
      <c r="T361" s="215"/>
      <c r="U361" s="215"/>
      <c r="V361" s="215"/>
      <c r="W361" s="215"/>
      <c r="X361" s="215"/>
      <c r="AD361" s="196"/>
    </row>
    <row r="362" spans="3:30" s="195" customFormat="1" ht="15">
      <c r="C362" s="215"/>
      <c r="D362" s="215"/>
      <c r="E362" s="215"/>
      <c r="F362" s="215"/>
      <c r="G362" s="215"/>
      <c r="H362" s="215"/>
      <c r="I362" s="215"/>
      <c r="J362" s="215"/>
      <c r="K362" s="215"/>
      <c r="L362" s="215"/>
      <c r="M362" s="215"/>
      <c r="N362" s="215"/>
      <c r="O362" s="215"/>
      <c r="P362" s="215"/>
      <c r="Q362" s="215"/>
      <c r="R362" s="215"/>
      <c r="S362" s="215"/>
      <c r="T362" s="215"/>
      <c r="U362" s="215"/>
      <c r="V362" s="215"/>
      <c r="W362" s="215"/>
      <c r="X362" s="215"/>
      <c r="AD362" s="196"/>
    </row>
    <row r="363" spans="3:30" s="195" customFormat="1" ht="15">
      <c r="C363" s="215"/>
      <c r="D363" s="215"/>
      <c r="E363" s="215"/>
      <c r="F363" s="215"/>
      <c r="G363" s="215"/>
      <c r="H363" s="215"/>
      <c r="I363" s="215"/>
      <c r="J363" s="215"/>
      <c r="K363" s="215"/>
      <c r="L363" s="215"/>
      <c r="M363" s="215"/>
      <c r="N363" s="215"/>
      <c r="O363" s="215"/>
      <c r="P363" s="215"/>
      <c r="Q363" s="215"/>
      <c r="R363" s="215"/>
      <c r="S363" s="215"/>
      <c r="T363" s="215"/>
      <c r="U363" s="215"/>
      <c r="V363" s="215"/>
      <c r="W363" s="215"/>
      <c r="X363" s="215"/>
      <c r="AD363" s="196"/>
    </row>
    <row r="364" spans="3:30" s="195" customFormat="1" ht="15">
      <c r="C364" s="215"/>
      <c r="D364" s="215"/>
      <c r="E364" s="215"/>
      <c r="F364" s="215"/>
      <c r="G364" s="215"/>
      <c r="H364" s="215"/>
      <c r="I364" s="215"/>
      <c r="J364" s="215"/>
      <c r="K364" s="215"/>
      <c r="L364" s="215"/>
      <c r="M364" s="215"/>
      <c r="N364" s="215"/>
      <c r="O364" s="215"/>
      <c r="P364" s="215"/>
      <c r="Q364" s="215"/>
      <c r="R364" s="215"/>
      <c r="S364" s="215"/>
      <c r="T364" s="215"/>
      <c r="U364" s="215"/>
      <c r="V364" s="215"/>
      <c r="W364" s="215"/>
      <c r="X364" s="215"/>
      <c r="AD364" s="196"/>
    </row>
    <row r="365" spans="3:30" s="195" customFormat="1" ht="15">
      <c r="C365" s="215"/>
      <c r="D365" s="215"/>
      <c r="E365" s="215"/>
      <c r="F365" s="215"/>
      <c r="G365" s="215"/>
      <c r="H365" s="215"/>
      <c r="I365" s="215"/>
      <c r="J365" s="215"/>
      <c r="K365" s="215"/>
      <c r="L365" s="215"/>
      <c r="M365" s="215"/>
      <c r="N365" s="215"/>
      <c r="O365" s="215"/>
      <c r="P365" s="215"/>
      <c r="Q365" s="215"/>
      <c r="R365" s="215"/>
      <c r="S365" s="215"/>
      <c r="T365" s="215"/>
      <c r="U365" s="215"/>
      <c r="V365" s="215"/>
      <c r="W365" s="215"/>
      <c r="X365" s="215"/>
      <c r="AD365" s="196"/>
    </row>
    <row r="366" spans="3:30" s="195" customFormat="1" ht="15">
      <c r="C366" s="215"/>
      <c r="D366" s="215"/>
      <c r="E366" s="215"/>
      <c r="F366" s="215"/>
      <c r="G366" s="215"/>
      <c r="H366" s="215"/>
      <c r="I366" s="215"/>
      <c r="J366" s="215"/>
      <c r="K366" s="215"/>
      <c r="L366" s="215"/>
      <c r="M366" s="215"/>
      <c r="N366" s="215"/>
      <c r="O366" s="215"/>
      <c r="P366" s="215"/>
      <c r="Q366" s="215"/>
      <c r="R366" s="215"/>
      <c r="S366" s="215"/>
      <c r="T366" s="215"/>
      <c r="U366" s="215"/>
      <c r="V366" s="215"/>
      <c r="W366" s="215"/>
      <c r="X366" s="215"/>
      <c r="AD366" s="196"/>
    </row>
    <row r="367" spans="3:30" s="195" customFormat="1" ht="15">
      <c r="C367" s="215"/>
      <c r="D367" s="215"/>
      <c r="E367" s="215"/>
      <c r="F367" s="215"/>
      <c r="G367" s="215"/>
      <c r="H367" s="215"/>
      <c r="I367" s="215"/>
      <c r="J367" s="215"/>
      <c r="K367" s="215"/>
      <c r="L367" s="215"/>
      <c r="M367" s="215"/>
      <c r="N367" s="215"/>
      <c r="O367" s="215"/>
      <c r="P367" s="215"/>
      <c r="Q367" s="215"/>
      <c r="R367" s="215"/>
      <c r="S367" s="215"/>
      <c r="T367" s="215"/>
      <c r="U367" s="215"/>
      <c r="V367" s="215"/>
      <c r="W367" s="215"/>
      <c r="X367" s="215"/>
      <c r="AD367" s="196"/>
    </row>
    <row r="368" spans="3:30" s="195" customFormat="1" ht="15">
      <c r="C368" s="215"/>
      <c r="D368" s="215"/>
      <c r="E368" s="215"/>
      <c r="F368" s="215"/>
      <c r="G368" s="215"/>
      <c r="H368" s="215"/>
      <c r="I368" s="215"/>
      <c r="J368" s="215"/>
      <c r="K368" s="215"/>
      <c r="L368" s="215"/>
      <c r="M368" s="215"/>
      <c r="N368" s="215"/>
      <c r="O368" s="215"/>
      <c r="P368" s="215"/>
      <c r="Q368" s="215"/>
      <c r="R368" s="215"/>
      <c r="S368" s="215"/>
      <c r="T368" s="215"/>
      <c r="U368" s="215"/>
      <c r="V368" s="215"/>
      <c r="W368" s="215"/>
      <c r="X368" s="215"/>
      <c r="AD368" s="196"/>
    </row>
    <row r="369" spans="3:30" s="195" customFormat="1" ht="15">
      <c r="C369" s="215"/>
      <c r="D369" s="215"/>
      <c r="E369" s="215"/>
      <c r="F369" s="215"/>
      <c r="G369" s="215"/>
      <c r="H369" s="215"/>
      <c r="I369" s="215"/>
      <c r="J369" s="215"/>
      <c r="K369" s="215"/>
      <c r="L369" s="215"/>
      <c r="M369" s="215"/>
      <c r="N369" s="215"/>
      <c r="O369" s="215"/>
      <c r="P369" s="215"/>
      <c r="Q369" s="215"/>
      <c r="R369" s="215"/>
      <c r="S369" s="215"/>
      <c r="T369" s="215"/>
      <c r="U369" s="215"/>
      <c r="V369" s="215"/>
      <c r="W369" s="215"/>
      <c r="X369" s="215"/>
      <c r="AD369" s="196"/>
    </row>
    <row r="370" spans="3:30" s="195" customFormat="1" ht="15">
      <c r="C370" s="215"/>
      <c r="D370" s="215"/>
      <c r="E370" s="215"/>
      <c r="F370" s="215"/>
      <c r="G370" s="215"/>
      <c r="H370" s="215"/>
      <c r="I370" s="215"/>
      <c r="J370" s="215"/>
      <c r="K370" s="215"/>
      <c r="L370" s="215"/>
      <c r="M370" s="215"/>
      <c r="N370" s="215"/>
      <c r="O370" s="215"/>
      <c r="P370" s="215"/>
      <c r="Q370" s="215"/>
      <c r="R370" s="215"/>
      <c r="S370" s="215"/>
      <c r="T370" s="215"/>
      <c r="U370" s="215"/>
      <c r="V370" s="215"/>
      <c r="W370" s="215"/>
      <c r="X370" s="215"/>
      <c r="AD370" s="196"/>
    </row>
    <row r="371" spans="3:30" s="195" customFormat="1" ht="15">
      <c r="C371" s="215"/>
      <c r="D371" s="215"/>
      <c r="E371" s="215"/>
      <c r="F371" s="215"/>
      <c r="G371" s="215"/>
      <c r="H371" s="215"/>
      <c r="I371" s="215"/>
      <c r="J371" s="215"/>
      <c r="K371" s="215"/>
      <c r="L371" s="215"/>
      <c r="M371" s="215"/>
      <c r="N371" s="215"/>
      <c r="O371" s="215"/>
      <c r="P371" s="215"/>
      <c r="Q371" s="215"/>
      <c r="R371" s="215"/>
      <c r="S371" s="215"/>
      <c r="T371" s="215"/>
      <c r="U371" s="215"/>
      <c r="V371" s="215"/>
      <c r="W371" s="215"/>
      <c r="X371" s="215"/>
      <c r="AD371" s="196"/>
    </row>
    <row r="372" spans="3:30" s="195" customFormat="1" ht="15">
      <c r="C372" s="215"/>
      <c r="D372" s="215"/>
      <c r="E372" s="215"/>
      <c r="F372" s="215"/>
      <c r="G372" s="215"/>
      <c r="H372" s="215"/>
      <c r="I372" s="215"/>
      <c r="J372" s="215"/>
      <c r="K372" s="215"/>
      <c r="L372" s="215"/>
      <c r="M372" s="215"/>
      <c r="N372" s="215"/>
      <c r="O372" s="215"/>
      <c r="P372" s="215"/>
      <c r="Q372" s="215"/>
      <c r="R372" s="215"/>
      <c r="S372" s="215"/>
      <c r="T372" s="215"/>
      <c r="U372" s="215"/>
      <c r="V372" s="215"/>
      <c r="W372" s="215"/>
      <c r="X372" s="215"/>
      <c r="AD372" s="196"/>
    </row>
    <row r="373" spans="3:30" s="195" customFormat="1" ht="15">
      <c r="C373" s="215"/>
      <c r="D373" s="215"/>
      <c r="E373" s="215"/>
      <c r="F373" s="215"/>
      <c r="G373" s="215"/>
      <c r="H373" s="215"/>
      <c r="I373" s="215"/>
      <c r="J373" s="215"/>
      <c r="K373" s="215"/>
      <c r="L373" s="215"/>
      <c r="M373" s="215"/>
      <c r="N373" s="215"/>
      <c r="O373" s="215"/>
      <c r="P373" s="215"/>
      <c r="Q373" s="215"/>
      <c r="R373" s="215"/>
      <c r="S373" s="215"/>
      <c r="T373" s="215"/>
      <c r="U373" s="215"/>
      <c r="V373" s="215"/>
      <c r="W373" s="215"/>
      <c r="X373" s="215"/>
      <c r="AD373" s="196"/>
    </row>
    <row r="374" spans="3:30" s="195" customFormat="1" ht="15">
      <c r="C374" s="215"/>
      <c r="D374" s="215"/>
      <c r="E374" s="215"/>
      <c r="F374" s="215"/>
      <c r="G374" s="215"/>
      <c r="H374" s="215"/>
      <c r="I374" s="215"/>
      <c r="J374" s="215"/>
      <c r="K374" s="215"/>
      <c r="L374" s="215"/>
      <c r="M374" s="215"/>
      <c r="N374" s="215"/>
      <c r="O374" s="215"/>
      <c r="P374" s="215"/>
      <c r="Q374" s="215"/>
      <c r="R374" s="215"/>
      <c r="S374" s="215"/>
      <c r="T374" s="215"/>
      <c r="U374" s="215"/>
      <c r="V374" s="215"/>
      <c r="W374" s="215"/>
      <c r="X374" s="215"/>
      <c r="AD374" s="196"/>
    </row>
    <row r="375" spans="3:30" s="195" customFormat="1" ht="15">
      <c r="C375" s="215"/>
      <c r="D375" s="215"/>
      <c r="E375" s="215"/>
      <c r="F375" s="215"/>
      <c r="G375" s="215"/>
      <c r="H375" s="215"/>
      <c r="I375" s="215"/>
      <c r="J375" s="215"/>
      <c r="K375" s="215"/>
      <c r="L375" s="215"/>
      <c r="M375" s="215"/>
      <c r="N375" s="215"/>
      <c r="O375" s="215"/>
      <c r="P375" s="215"/>
      <c r="Q375" s="215"/>
      <c r="R375" s="215"/>
      <c r="S375" s="215"/>
      <c r="T375" s="215"/>
      <c r="U375" s="215"/>
      <c r="V375" s="215"/>
      <c r="W375" s="215"/>
      <c r="X375" s="215"/>
      <c r="AD375" s="196"/>
    </row>
    <row r="376" spans="3:30" s="195" customFormat="1" ht="15">
      <c r="C376" s="215"/>
      <c r="D376" s="215"/>
      <c r="E376" s="215"/>
      <c r="F376" s="215"/>
      <c r="G376" s="215"/>
      <c r="H376" s="215"/>
      <c r="I376" s="215"/>
      <c r="J376" s="215"/>
      <c r="K376" s="215"/>
      <c r="L376" s="215"/>
      <c r="M376" s="215"/>
      <c r="N376" s="215"/>
      <c r="O376" s="215"/>
      <c r="P376" s="215"/>
      <c r="Q376" s="215"/>
      <c r="R376" s="215"/>
      <c r="S376" s="215"/>
      <c r="T376" s="215"/>
      <c r="U376" s="215"/>
      <c r="V376" s="215"/>
      <c r="W376" s="215"/>
      <c r="X376" s="215"/>
      <c r="AD376" s="196"/>
    </row>
    <row r="377" spans="3:30" s="195" customFormat="1" ht="15">
      <c r="C377" s="215"/>
      <c r="D377" s="215"/>
      <c r="E377" s="215"/>
      <c r="F377" s="215"/>
      <c r="G377" s="215"/>
      <c r="H377" s="215"/>
      <c r="I377" s="215"/>
      <c r="J377" s="215"/>
      <c r="K377" s="215"/>
      <c r="L377" s="215"/>
      <c r="M377" s="215"/>
      <c r="N377" s="215"/>
      <c r="O377" s="215"/>
      <c r="P377" s="215"/>
      <c r="Q377" s="215"/>
      <c r="R377" s="215"/>
      <c r="S377" s="215"/>
      <c r="T377" s="215"/>
      <c r="U377" s="215"/>
      <c r="V377" s="215"/>
      <c r="W377" s="215"/>
      <c r="X377" s="215"/>
      <c r="AD377" s="196"/>
    </row>
    <row r="378" spans="3:30" s="195" customFormat="1" ht="15">
      <c r="C378" s="215"/>
      <c r="D378" s="215"/>
      <c r="E378" s="215"/>
      <c r="F378" s="215"/>
      <c r="G378" s="215"/>
      <c r="H378" s="215"/>
      <c r="I378" s="215"/>
      <c r="J378" s="215"/>
      <c r="K378" s="215"/>
      <c r="L378" s="215"/>
      <c r="M378" s="215"/>
      <c r="N378" s="215"/>
      <c r="O378" s="215"/>
      <c r="P378" s="215"/>
      <c r="Q378" s="215"/>
      <c r="R378" s="215"/>
      <c r="S378" s="215"/>
      <c r="T378" s="215"/>
      <c r="U378" s="215"/>
      <c r="V378" s="215"/>
      <c r="W378" s="215"/>
      <c r="X378" s="215"/>
      <c r="AD378" s="196"/>
    </row>
    <row r="379" spans="3:30" s="195" customFormat="1" ht="15">
      <c r="C379" s="215"/>
      <c r="D379" s="215"/>
      <c r="E379" s="215"/>
      <c r="F379" s="215"/>
      <c r="G379" s="215"/>
      <c r="H379" s="215"/>
      <c r="I379" s="215"/>
      <c r="J379" s="215"/>
      <c r="K379" s="215"/>
      <c r="L379" s="215"/>
      <c r="M379" s="215"/>
      <c r="N379" s="215"/>
      <c r="O379" s="215"/>
      <c r="P379" s="215"/>
      <c r="Q379" s="215"/>
      <c r="R379" s="215"/>
      <c r="S379" s="215"/>
      <c r="T379" s="215"/>
      <c r="U379" s="215"/>
      <c r="V379" s="215"/>
      <c r="W379" s="215"/>
      <c r="X379" s="215"/>
      <c r="AD379" s="196"/>
    </row>
    <row r="380" spans="3:30" s="195" customFormat="1" ht="15">
      <c r="C380" s="215"/>
      <c r="D380" s="215"/>
      <c r="E380" s="215"/>
      <c r="F380" s="215"/>
      <c r="G380" s="215"/>
      <c r="H380" s="215"/>
      <c r="I380" s="215"/>
      <c r="J380" s="215"/>
      <c r="K380" s="215"/>
      <c r="L380" s="215"/>
      <c r="M380" s="215"/>
      <c r="N380" s="215"/>
      <c r="O380" s="215"/>
      <c r="P380" s="215"/>
      <c r="Q380" s="215"/>
      <c r="R380" s="215"/>
      <c r="S380" s="215"/>
      <c r="T380" s="215"/>
      <c r="U380" s="215"/>
      <c r="V380" s="215"/>
      <c r="W380" s="215"/>
      <c r="X380" s="215"/>
      <c r="AD380" s="196"/>
    </row>
    <row r="381" spans="3:30" s="195" customFormat="1" ht="15">
      <c r="C381" s="215"/>
      <c r="D381" s="215"/>
      <c r="E381" s="215"/>
      <c r="F381" s="215"/>
      <c r="G381" s="215"/>
      <c r="H381" s="215"/>
      <c r="I381" s="215"/>
      <c r="J381" s="215"/>
      <c r="K381" s="215"/>
      <c r="L381" s="215"/>
      <c r="M381" s="215"/>
      <c r="N381" s="215"/>
      <c r="O381" s="215"/>
      <c r="P381" s="215"/>
      <c r="Q381" s="215"/>
      <c r="R381" s="215"/>
      <c r="S381" s="215"/>
      <c r="T381" s="215"/>
      <c r="U381" s="215"/>
      <c r="V381" s="215"/>
      <c r="W381" s="215"/>
      <c r="X381" s="215"/>
      <c r="AD381" s="196"/>
    </row>
    <row r="382" spans="3:30" s="195" customFormat="1" ht="15">
      <c r="C382" s="215"/>
      <c r="D382" s="215"/>
      <c r="E382" s="215"/>
      <c r="F382" s="215"/>
      <c r="G382" s="215"/>
      <c r="H382" s="215"/>
      <c r="I382" s="215"/>
      <c r="J382" s="215"/>
      <c r="K382" s="215"/>
      <c r="L382" s="215"/>
      <c r="M382" s="215"/>
      <c r="N382" s="215"/>
      <c r="O382" s="215"/>
      <c r="P382" s="215"/>
      <c r="Q382" s="215"/>
      <c r="R382" s="215"/>
      <c r="S382" s="215"/>
      <c r="T382" s="215"/>
      <c r="U382" s="215"/>
      <c r="V382" s="215"/>
      <c r="W382" s="215"/>
      <c r="X382" s="215"/>
      <c r="AD382" s="196"/>
    </row>
    <row r="383" spans="3:30" s="195" customFormat="1" ht="15">
      <c r="C383" s="215"/>
      <c r="D383" s="215"/>
      <c r="E383" s="215"/>
      <c r="F383" s="215"/>
      <c r="G383" s="215"/>
      <c r="H383" s="215"/>
      <c r="I383" s="215"/>
      <c r="J383" s="215"/>
      <c r="K383" s="215"/>
      <c r="L383" s="215"/>
      <c r="M383" s="215"/>
      <c r="N383" s="215"/>
      <c r="O383" s="215"/>
      <c r="P383" s="215"/>
      <c r="Q383" s="215"/>
      <c r="R383" s="215"/>
      <c r="S383" s="215"/>
      <c r="T383" s="215"/>
      <c r="U383" s="215"/>
      <c r="V383" s="215"/>
      <c r="W383" s="215"/>
      <c r="X383" s="215"/>
      <c r="AD383" s="196"/>
    </row>
    <row r="384" spans="3:30" s="195" customFormat="1" ht="15">
      <c r="C384" s="215"/>
      <c r="D384" s="215"/>
      <c r="E384" s="215"/>
      <c r="F384" s="215"/>
      <c r="G384" s="215"/>
      <c r="H384" s="215"/>
      <c r="I384" s="215"/>
      <c r="J384" s="215"/>
      <c r="K384" s="215"/>
      <c r="L384" s="215"/>
      <c r="M384" s="215"/>
      <c r="N384" s="215"/>
      <c r="O384" s="215"/>
      <c r="P384" s="215"/>
      <c r="Q384" s="215"/>
      <c r="R384" s="215"/>
      <c r="S384" s="215"/>
      <c r="T384" s="215"/>
      <c r="U384" s="215"/>
      <c r="V384" s="215"/>
      <c r="W384" s="215"/>
      <c r="X384" s="215"/>
      <c r="AD384" s="196"/>
    </row>
    <row r="385" spans="3:30" s="195" customFormat="1" ht="15">
      <c r="C385" s="215"/>
      <c r="D385" s="215"/>
      <c r="E385" s="215"/>
      <c r="F385" s="215"/>
      <c r="G385" s="215"/>
      <c r="H385" s="215"/>
      <c r="I385" s="215"/>
      <c r="J385" s="215"/>
      <c r="K385" s="215"/>
      <c r="L385" s="215"/>
      <c r="M385" s="215"/>
      <c r="N385" s="215"/>
      <c r="O385" s="215"/>
      <c r="P385" s="215"/>
      <c r="Q385" s="215"/>
      <c r="R385" s="215"/>
      <c r="S385" s="215"/>
      <c r="T385" s="215"/>
      <c r="U385" s="215"/>
      <c r="V385" s="215"/>
      <c r="W385" s="215"/>
      <c r="X385" s="215"/>
      <c r="AD385" s="196"/>
    </row>
    <row r="386" spans="3:30" s="195" customFormat="1" ht="15">
      <c r="C386" s="215"/>
      <c r="D386" s="215"/>
      <c r="E386" s="215"/>
      <c r="F386" s="215"/>
      <c r="G386" s="215"/>
      <c r="H386" s="215"/>
      <c r="I386" s="215"/>
      <c r="J386" s="215"/>
      <c r="K386" s="215"/>
      <c r="L386" s="215"/>
      <c r="M386" s="215"/>
      <c r="N386" s="215"/>
      <c r="O386" s="215"/>
      <c r="P386" s="215"/>
      <c r="Q386" s="215"/>
      <c r="R386" s="215"/>
      <c r="S386" s="215"/>
      <c r="T386" s="215"/>
      <c r="U386" s="215"/>
      <c r="V386" s="215"/>
      <c r="W386" s="215"/>
      <c r="X386" s="215"/>
      <c r="AD386" s="196"/>
    </row>
    <row r="387" spans="3:30" s="195" customFormat="1" ht="15">
      <c r="C387" s="215"/>
      <c r="D387" s="215"/>
      <c r="E387" s="215"/>
      <c r="F387" s="215"/>
      <c r="G387" s="215"/>
      <c r="H387" s="215"/>
      <c r="I387" s="215"/>
      <c r="J387" s="215"/>
      <c r="K387" s="215"/>
      <c r="L387" s="215"/>
      <c r="M387" s="215"/>
      <c r="N387" s="215"/>
      <c r="O387" s="215"/>
      <c r="P387" s="215"/>
      <c r="Q387" s="215"/>
      <c r="R387" s="215"/>
      <c r="S387" s="215"/>
      <c r="T387" s="215"/>
      <c r="U387" s="215"/>
      <c r="V387" s="215"/>
      <c r="W387" s="215"/>
      <c r="X387" s="215"/>
      <c r="AD387" s="196"/>
    </row>
    <row r="388" spans="3:30" s="195" customFormat="1" ht="15">
      <c r="C388" s="215"/>
      <c r="D388" s="215"/>
      <c r="E388" s="215"/>
      <c r="F388" s="215"/>
      <c r="G388" s="215"/>
      <c r="H388" s="215"/>
      <c r="I388" s="215"/>
      <c r="J388" s="215"/>
      <c r="K388" s="215"/>
      <c r="L388" s="215"/>
      <c r="M388" s="215"/>
      <c r="N388" s="215"/>
      <c r="O388" s="215"/>
      <c r="P388" s="215"/>
      <c r="Q388" s="215"/>
      <c r="R388" s="215"/>
      <c r="S388" s="215"/>
      <c r="T388" s="215"/>
      <c r="U388" s="215"/>
      <c r="V388" s="215"/>
      <c r="W388" s="215"/>
      <c r="X388" s="215"/>
      <c r="AD388" s="196"/>
    </row>
    <row r="389" spans="3:30" s="195" customFormat="1" ht="15">
      <c r="C389" s="215"/>
      <c r="D389" s="215"/>
      <c r="E389" s="215"/>
      <c r="F389" s="215"/>
      <c r="G389" s="215"/>
      <c r="H389" s="215"/>
      <c r="I389" s="215"/>
      <c r="J389" s="215"/>
      <c r="K389" s="215"/>
      <c r="L389" s="215"/>
      <c r="M389" s="215"/>
      <c r="N389" s="215"/>
      <c r="O389" s="215"/>
      <c r="P389" s="215"/>
      <c r="Q389" s="215"/>
      <c r="R389" s="215"/>
      <c r="S389" s="215"/>
      <c r="T389" s="215"/>
      <c r="U389" s="215"/>
      <c r="V389" s="215"/>
      <c r="W389" s="215"/>
      <c r="X389" s="215"/>
      <c r="AD389" s="196"/>
    </row>
    <row r="390" spans="3:30" s="195" customFormat="1" ht="15">
      <c r="C390" s="215"/>
      <c r="D390" s="215"/>
      <c r="E390" s="215"/>
      <c r="F390" s="215"/>
      <c r="G390" s="215"/>
      <c r="H390" s="215"/>
      <c r="I390" s="215"/>
      <c r="J390" s="215"/>
      <c r="K390" s="215"/>
      <c r="L390" s="215"/>
      <c r="M390" s="215"/>
      <c r="N390" s="215"/>
      <c r="O390" s="215"/>
      <c r="P390" s="215"/>
      <c r="Q390" s="215"/>
      <c r="R390" s="215"/>
      <c r="S390" s="215"/>
      <c r="T390" s="215"/>
      <c r="U390" s="215"/>
      <c r="V390" s="215"/>
      <c r="W390" s="215"/>
      <c r="X390" s="215"/>
      <c r="AD390" s="196"/>
    </row>
    <row r="391" spans="3:30" s="195" customFormat="1" ht="15">
      <c r="C391" s="215"/>
      <c r="D391" s="215"/>
      <c r="E391" s="215"/>
      <c r="F391" s="215"/>
      <c r="G391" s="215"/>
      <c r="H391" s="215"/>
      <c r="I391" s="215"/>
      <c r="J391" s="215"/>
      <c r="K391" s="215"/>
      <c r="L391" s="215"/>
      <c r="M391" s="215"/>
      <c r="N391" s="215"/>
      <c r="O391" s="215"/>
      <c r="P391" s="215"/>
      <c r="Q391" s="215"/>
      <c r="R391" s="215"/>
      <c r="S391" s="215"/>
      <c r="T391" s="215"/>
      <c r="U391" s="215"/>
      <c r="V391" s="215"/>
      <c r="W391" s="215"/>
      <c r="X391" s="215"/>
      <c r="AD391" s="196"/>
    </row>
    <row r="392" spans="3:30" s="195" customFormat="1" ht="15">
      <c r="C392" s="215"/>
      <c r="D392" s="215"/>
      <c r="E392" s="215"/>
      <c r="F392" s="215"/>
      <c r="G392" s="215"/>
      <c r="H392" s="215"/>
      <c r="I392" s="215"/>
      <c r="J392" s="215"/>
      <c r="K392" s="215"/>
      <c r="L392" s="215"/>
      <c r="M392" s="215"/>
      <c r="N392" s="215"/>
      <c r="O392" s="215"/>
      <c r="P392" s="215"/>
      <c r="Q392" s="215"/>
      <c r="R392" s="215"/>
      <c r="S392" s="215"/>
      <c r="T392" s="215"/>
      <c r="U392" s="215"/>
      <c r="V392" s="215"/>
      <c r="W392" s="215"/>
      <c r="X392" s="215"/>
      <c r="AD392" s="196"/>
    </row>
    <row r="393" spans="3:30" s="195" customFormat="1" ht="15">
      <c r="C393" s="215"/>
      <c r="D393" s="215"/>
      <c r="E393" s="215"/>
      <c r="F393" s="215"/>
      <c r="G393" s="215"/>
      <c r="H393" s="215"/>
      <c r="I393" s="215"/>
      <c r="J393" s="215"/>
      <c r="K393" s="215"/>
      <c r="L393" s="215"/>
      <c r="M393" s="215"/>
      <c r="N393" s="215"/>
      <c r="O393" s="215"/>
      <c r="P393" s="215"/>
      <c r="Q393" s="215"/>
      <c r="R393" s="215"/>
      <c r="S393" s="215"/>
      <c r="T393" s="215"/>
      <c r="U393" s="215"/>
      <c r="V393" s="215"/>
      <c r="W393" s="215"/>
      <c r="X393" s="215"/>
      <c r="AD393" s="196"/>
    </row>
    <row r="394" spans="3:30" s="195" customFormat="1" ht="15">
      <c r="C394" s="215"/>
      <c r="D394" s="215"/>
      <c r="E394" s="215"/>
      <c r="F394" s="215"/>
      <c r="G394" s="215"/>
      <c r="H394" s="215"/>
      <c r="I394" s="215"/>
      <c r="J394" s="215"/>
      <c r="K394" s="215"/>
      <c r="L394" s="215"/>
      <c r="M394" s="215"/>
      <c r="N394" s="215"/>
      <c r="O394" s="215"/>
      <c r="P394" s="215"/>
      <c r="Q394" s="215"/>
      <c r="R394" s="215"/>
      <c r="S394" s="215"/>
      <c r="T394" s="215"/>
      <c r="U394" s="215"/>
      <c r="V394" s="215"/>
      <c r="W394" s="215"/>
      <c r="X394" s="215"/>
      <c r="AD394" s="196"/>
    </row>
    <row r="395" spans="3:30" s="195" customFormat="1" ht="15">
      <c r="C395" s="215"/>
      <c r="D395" s="215"/>
      <c r="E395" s="215"/>
      <c r="F395" s="215"/>
      <c r="G395" s="215"/>
      <c r="H395" s="215"/>
      <c r="I395" s="215"/>
      <c r="J395" s="215"/>
      <c r="K395" s="215"/>
      <c r="L395" s="215"/>
      <c r="M395" s="215"/>
      <c r="N395" s="215"/>
      <c r="O395" s="215"/>
      <c r="P395" s="215"/>
      <c r="Q395" s="215"/>
      <c r="R395" s="215"/>
      <c r="S395" s="215"/>
      <c r="T395" s="215"/>
      <c r="U395" s="215"/>
      <c r="V395" s="215"/>
      <c r="W395" s="215"/>
      <c r="X395" s="215"/>
      <c r="AD395" s="196"/>
    </row>
    <row r="396" spans="3:30" s="195" customFormat="1" ht="15">
      <c r="C396" s="215"/>
      <c r="D396" s="215"/>
      <c r="E396" s="215"/>
      <c r="F396" s="215"/>
      <c r="G396" s="215"/>
      <c r="H396" s="215"/>
      <c r="I396" s="215"/>
      <c r="J396" s="215"/>
      <c r="K396" s="215"/>
      <c r="L396" s="215"/>
      <c r="M396" s="215"/>
      <c r="N396" s="215"/>
      <c r="O396" s="215"/>
      <c r="P396" s="215"/>
      <c r="Q396" s="215"/>
      <c r="R396" s="215"/>
      <c r="S396" s="215"/>
      <c r="T396" s="215"/>
      <c r="U396" s="215"/>
      <c r="V396" s="215"/>
      <c r="W396" s="215"/>
      <c r="X396" s="215"/>
      <c r="AD396" s="196"/>
    </row>
    <row r="397" spans="3:30" s="195" customFormat="1" ht="15">
      <c r="C397" s="215"/>
      <c r="D397" s="215"/>
      <c r="E397" s="215"/>
      <c r="F397" s="215"/>
      <c r="G397" s="215"/>
      <c r="H397" s="215"/>
      <c r="I397" s="215"/>
      <c r="J397" s="215"/>
      <c r="K397" s="215"/>
      <c r="L397" s="215"/>
      <c r="M397" s="215"/>
      <c r="N397" s="215"/>
      <c r="O397" s="215"/>
      <c r="P397" s="215"/>
      <c r="Q397" s="215"/>
      <c r="R397" s="215"/>
      <c r="S397" s="215"/>
      <c r="T397" s="215"/>
      <c r="U397" s="215"/>
      <c r="V397" s="215"/>
      <c r="W397" s="215"/>
      <c r="X397" s="215"/>
      <c r="AD397" s="196"/>
    </row>
    <row r="398" spans="3:30" s="195" customFormat="1" ht="15">
      <c r="C398" s="215"/>
      <c r="D398" s="215"/>
      <c r="E398" s="215"/>
      <c r="F398" s="215"/>
      <c r="G398" s="215"/>
      <c r="H398" s="215"/>
      <c r="I398" s="215"/>
      <c r="J398" s="215"/>
      <c r="K398" s="215"/>
      <c r="L398" s="215"/>
      <c r="M398" s="215"/>
      <c r="N398" s="215"/>
      <c r="O398" s="215"/>
      <c r="P398" s="215"/>
      <c r="Q398" s="215"/>
      <c r="R398" s="215"/>
      <c r="S398" s="215"/>
      <c r="T398" s="215"/>
      <c r="U398" s="215"/>
      <c r="V398" s="215"/>
      <c r="W398" s="215"/>
      <c r="X398" s="215"/>
      <c r="AD398" s="196"/>
    </row>
    <row r="399" spans="3:30" s="195" customFormat="1" ht="15">
      <c r="C399" s="215"/>
      <c r="D399" s="215"/>
      <c r="E399" s="215"/>
      <c r="F399" s="215"/>
      <c r="G399" s="215"/>
      <c r="H399" s="215"/>
      <c r="I399" s="215"/>
      <c r="J399" s="215"/>
      <c r="K399" s="215"/>
      <c r="L399" s="215"/>
      <c r="M399" s="215"/>
      <c r="N399" s="215"/>
      <c r="O399" s="215"/>
      <c r="P399" s="215"/>
      <c r="Q399" s="215"/>
      <c r="R399" s="215"/>
      <c r="S399" s="215"/>
      <c r="T399" s="215"/>
      <c r="U399" s="215"/>
      <c r="V399" s="215"/>
      <c r="W399" s="215"/>
      <c r="X399" s="215"/>
      <c r="AD399" s="196"/>
    </row>
    <row r="400" spans="3:30" s="195" customFormat="1" ht="15">
      <c r="C400" s="215"/>
      <c r="D400" s="215"/>
      <c r="E400" s="215"/>
      <c r="F400" s="215"/>
      <c r="G400" s="215"/>
      <c r="H400" s="215"/>
      <c r="I400" s="215"/>
      <c r="J400" s="215"/>
      <c r="K400" s="215"/>
      <c r="L400" s="215"/>
      <c r="M400" s="215"/>
      <c r="N400" s="215"/>
      <c r="O400" s="215"/>
      <c r="P400" s="215"/>
      <c r="Q400" s="215"/>
      <c r="R400" s="215"/>
      <c r="S400" s="215"/>
      <c r="T400" s="215"/>
      <c r="U400" s="215"/>
      <c r="V400" s="215"/>
      <c r="W400" s="215"/>
      <c r="X400" s="215"/>
      <c r="AD400" s="196"/>
    </row>
    <row r="401" spans="3:30" s="195" customFormat="1" ht="15">
      <c r="C401" s="215"/>
      <c r="D401" s="215"/>
      <c r="E401" s="215"/>
      <c r="F401" s="215"/>
      <c r="G401" s="215"/>
      <c r="H401" s="215"/>
      <c r="I401" s="215"/>
      <c r="J401" s="215"/>
      <c r="K401" s="215"/>
      <c r="L401" s="215"/>
      <c r="M401" s="215"/>
      <c r="N401" s="215"/>
      <c r="O401" s="215"/>
      <c r="P401" s="215"/>
      <c r="Q401" s="215"/>
      <c r="R401" s="215"/>
      <c r="S401" s="215"/>
      <c r="T401" s="215"/>
      <c r="U401" s="215"/>
      <c r="V401" s="215"/>
      <c r="W401" s="215"/>
      <c r="X401" s="215"/>
      <c r="AD401" s="196"/>
    </row>
    <row r="402" spans="3:30" s="195" customFormat="1" ht="15">
      <c r="C402" s="215"/>
      <c r="D402" s="215"/>
      <c r="E402" s="215"/>
      <c r="F402" s="215"/>
      <c r="G402" s="215"/>
      <c r="H402" s="215"/>
      <c r="I402" s="215"/>
      <c r="J402" s="215"/>
      <c r="K402" s="215"/>
      <c r="L402" s="215"/>
      <c r="M402" s="215"/>
      <c r="N402" s="215"/>
      <c r="O402" s="215"/>
      <c r="P402" s="215"/>
      <c r="Q402" s="215"/>
      <c r="R402" s="215"/>
      <c r="S402" s="215"/>
      <c r="T402" s="215"/>
      <c r="U402" s="215"/>
      <c r="V402" s="215"/>
      <c r="W402" s="215"/>
      <c r="X402" s="215"/>
      <c r="AD402" s="196"/>
    </row>
    <row r="403" spans="3:30" s="195" customFormat="1" ht="15">
      <c r="C403" s="215"/>
      <c r="D403" s="215"/>
      <c r="E403" s="215"/>
      <c r="F403" s="215"/>
      <c r="G403" s="215"/>
      <c r="H403" s="215"/>
      <c r="I403" s="215"/>
      <c r="J403" s="215"/>
      <c r="K403" s="215"/>
      <c r="L403" s="215"/>
      <c r="M403" s="215"/>
      <c r="N403" s="215"/>
      <c r="O403" s="215"/>
      <c r="P403" s="215"/>
      <c r="Q403" s="215"/>
      <c r="R403" s="215"/>
      <c r="S403" s="215"/>
      <c r="T403" s="215"/>
      <c r="U403" s="215"/>
      <c r="V403" s="215"/>
      <c r="W403" s="215"/>
      <c r="X403" s="215"/>
      <c r="AD403" s="196"/>
    </row>
    <row r="404" spans="3:30" s="195" customFormat="1" ht="15">
      <c r="C404" s="215"/>
      <c r="D404" s="215"/>
      <c r="E404" s="215"/>
      <c r="F404" s="215"/>
      <c r="G404" s="215"/>
      <c r="H404" s="215"/>
      <c r="I404" s="215"/>
      <c r="J404" s="215"/>
      <c r="K404" s="215"/>
      <c r="L404" s="215"/>
      <c r="M404" s="215"/>
      <c r="N404" s="215"/>
      <c r="O404" s="215"/>
      <c r="P404" s="215"/>
      <c r="Q404" s="215"/>
      <c r="R404" s="215"/>
      <c r="S404" s="215"/>
      <c r="T404" s="215"/>
      <c r="U404" s="215"/>
      <c r="V404" s="215"/>
      <c r="W404" s="215"/>
      <c r="X404" s="215"/>
      <c r="AD404" s="196"/>
    </row>
    <row r="405" spans="3:30" s="195" customFormat="1" ht="15">
      <c r="C405" s="215"/>
      <c r="D405" s="215"/>
      <c r="E405" s="215"/>
      <c r="F405" s="215"/>
      <c r="G405" s="215"/>
      <c r="H405" s="215"/>
      <c r="I405" s="215"/>
      <c r="J405" s="215"/>
      <c r="K405" s="215"/>
      <c r="L405" s="215"/>
      <c r="M405" s="215"/>
      <c r="N405" s="215"/>
      <c r="O405" s="215"/>
      <c r="P405" s="215"/>
      <c r="Q405" s="215"/>
      <c r="R405" s="215"/>
      <c r="S405" s="215"/>
      <c r="T405" s="215"/>
      <c r="U405" s="215"/>
      <c r="V405" s="215"/>
      <c r="W405" s="215"/>
      <c r="X405" s="215"/>
      <c r="AD405" s="196"/>
    </row>
    <row r="406" spans="3:30" s="195" customFormat="1" ht="15">
      <c r="C406" s="215"/>
      <c r="D406" s="215"/>
      <c r="E406" s="215"/>
      <c r="F406" s="215"/>
      <c r="G406" s="215"/>
      <c r="H406" s="215"/>
      <c r="I406" s="215"/>
      <c r="J406" s="215"/>
      <c r="K406" s="215"/>
      <c r="L406" s="215"/>
      <c r="M406" s="215"/>
      <c r="N406" s="215"/>
      <c r="O406" s="215"/>
      <c r="P406" s="215"/>
      <c r="Q406" s="215"/>
      <c r="R406" s="215"/>
      <c r="S406" s="215"/>
      <c r="T406" s="215"/>
      <c r="U406" s="215"/>
      <c r="V406" s="215"/>
      <c r="W406" s="215"/>
      <c r="X406" s="215"/>
      <c r="AD406" s="196"/>
    </row>
    <row r="407" spans="3:30" s="195" customFormat="1" ht="15">
      <c r="C407" s="215"/>
      <c r="D407" s="215"/>
      <c r="E407" s="215"/>
      <c r="F407" s="215"/>
      <c r="G407" s="215"/>
      <c r="H407" s="215"/>
      <c r="I407" s="215"/>
      <c r="J407" s="215"/>
      <c r="K407" s="215"/>
      <c r="L407" s="215"/>
      <c r="M407" s="215"/>
      <c r="N407" s="215"/>
      <c r="O407" s="215"/>
      <c r="P407" s="215"/>
      <c r="Q407" s="215"/>
      <c r="R407" s="215"/>
      <c r="S407" s="215"/>
      <c r="T407" s="215"/>
      <c r="U407" s="215"/>
      <c r="V407" s="215"/>
      <c r="W407" s="215"/>
      <c r="X407" s="215"/>
      <c r="AD407" s="196"/>
    </row>
    <row r="408" spans="3:30" s="195" customFormat="1" ht="15">
      <c r="C408" s="215"/>
      <c r="D408" s="215"/>
      <c r="E408" s="215"/>
      <c r="F408" s="215"/>
      <c r="G408" s="215"/>
      <c r="H408" s="215"/>
      <c r="I408" s="215"/>
      <c r="J408" s="215"/>
      <c r="K408" s="215"/>
      <c r="L408" s="215"/>
      <c r="M408" s="215"/>
      <c r="N408" s="215"/>
      <c r="O408" s="215"/>
      <c r="P408" s="215"/>
      <c r="Q408" s="215"/>
      <c r="R408" s="215"/>
      <c r="S408" s="215"/>
      <c r="T408" s="215"/>
      <c r="U408" s="215"/>
      <c r="V408" s="215"/>
      <c r="W408" s="215"/>
      <c r="X408" s="215"/>
      <c r="AD408" s="196"/>
    </row>
    <row r="409" spans="3:30" s="195" customFormat="1" ht="15">
      <c r="C409" s="215"/>
      <c r="D409" s="215"/>
      <c r="E409" s="215"/>
      <c r="F409" s="215"/>
      <c r="G409" s="215"/>
      <c r="H409" s="215"/>
      <c r="I409" s="215"/>
      <c r="J409" s="215"/>
      <c r="K409" s="215"/>
      <c r="L409" s="215"/>
      <c r="M409" s="215"/>
      <c r="N409" s="215"/>
      <c r="O409" s="215"/>
      <c r="P409" s="215"/>
      <c r="Q409" s="215"/>
      <c r="R409" s="215"/>
      <c r="S409" s="215"/>
      <c r="T409" s="215"/>
      <c r="U409" s="215"/>
      <c r="V409" s="215"/>
      <c r="W409" s="215"/>
      <c r="X409" s="215"/>
      <c r="AD409" s="196"/>
    </row>
    <row r="410" spans="3:30" s="195" customFormat="1" ht="15">
      <c r="C410" s="215"/>
      <c r="D410" s="215"/>
      <c r="E410" s="215"/>
      <c r="F410" s="215"/>
      <c r="G410" s="215"/>
      <c r="H410" s="215"/>
      <c r="I410" s="215"/>
      <c r="J410" s="215"/>
      <c r="K410" s="215"/>
      <c r="L410" s="215"/>
      <c r="M410" s="215"/>
      <c r="N410" s="215"/>
      <c r="O410" s="215"/>
      <c r="P410" s="215"/>
      <c r="Q410" s="215"/>
      <c r="R410" s="215"/>
      <c r="S410" s="215"/>
      <c r="T410" s="215"/>
      <c r="U410" s="215"/>
      <c r="V410" s="215"/>
      <c r="W410" s="215"/>
      <c r="X410" s="215"/>
      <c r="AD410" s="196"/>
    </row>
    <row r="411" spans="3:30" s="195" customFormat="1" ht="15">
      <c r="C411" s="215"/>
      <c r="D411" s="215"/>
      <c r="E411" s="215"/>
      <c r="F411" s="215"/>
      <c r="G411" s="215"/>
      <c r="H411" s="215"/>
      <c r="I411" s="215"/>
      <c r="J411" s="215"/>
      <c r="K411" s="215"/>
      <c r="L411" s="215"/>
      <c r="M411" s="215"/>
      <c r="N411" s="215"/>
      <c r="O411" s="215"/>
      <c r="P411" s="215"/>
      <c r="Q411" s="215"/>
      <c r="R411" s="215"/>
      <c r="S411" s="215"/>
      <c r="T411" s="215"/>
      <c r="U411" s="215"/>
      <c r="V411" s="215"/>
      <c r="W411" s="215"/>
      <c r="X411" s="215"/>
      <c r="AD411" s="196"/>
    </row>
    <row r="412" spans="3:30" s="195" customFormat="1" ht="15">
      <c r="C412" s="215"/>
      <c r="D412" s="215"/>
      <c r="E412" s="215"/>
      <c r="F412" s="215"/>
      <c r="G412" s="215"/>
      <c r="H412" s="215"/>
      <c r="I412" s="215"/>
      <c r="J412" s="215"/>
      <c r="K412" s="215"/>
      <c r="L412" s="215"/>
      <c r="M412" s="215"/>
      <c r="N412" s="215"/>
      <c r="O412" s="215"/>
      <c r="P412" s="215"/>
      <c r="Q412" s="215"/>
      <c r="R412" s="215"/>
      <c r="S412" s="215"/>
      <c r="T412" s="215"/>
      <c r="U412" s="215"/>
      <c r="V412" s="215"/>
      <c r="W412" s="215"/>
      <c r="X412" s="215"/>
      <c r="AD412" s="196"/>
    </row>
    <row r="413" spans="3:30" s="195" customFormat="1" ht="15">
      <c r="C413" s="215"/>
      <c r="D413" s="215"/>
      <c r="E413" s="215"/>
      <c r="F413" s="215"/>
      <c r="G413" s="215"/>
      <c r="H413" s="215"/>
      <c r="I413" s="215"/>
      <c r="J413" s="215"/>
      <c r="K413" s="215"/>
      <c r="L413" s="215"/>
      <c r="M413" s="215"/>
      <c r="N413" s="215"/>
      <c r="O413" s="215"/>
      <c r="P413" s="215"/>
      <c r="Q413" s="215"/>
      <c r="R413" s="215"/>
      <c r="S413" s="215"/>
      <c r="T413" s="215"/>
      <c r="U413" s="215"/>
      <c r="V413" s="215"/>
      <c r="W413" s="215"/>
      <c r="X413" s="215"/>
      <c r="AD413" s="196"/>
    </row>
    <row r="414" spans="3:30" s="195" customFormat="1" ht="15">
      <c r="C414" s="215"/>
      <c r="D414" s="215"/>
      <c r="E414" s="215"/>
      <c r="F414" s="215"/>
      <c r="G414" s="215"/>
      <c r="H414" s="215"/>
      <c r="I414" s="215"/>
      <c r="J414" s="215"/>
      <c r="K414" s="215"/>
      <c r="L414" s="215"/>
      <c r="M414" s="215"/>
      <c r="N414" s="215"/>
      <c r="O414" s="215"/>
      <c r="P414" s="215"/>
      <c r="Q414" s="215"/>
      <c r="R414" s="215"/>
      <c r="S414" s="215"/>
      <c r="T414" s="215"/>
      <c r="U414" s="215"/>
      <c r="V414" s="215"/>
      <c r="W414" s="215"/>
      <c r="X414" s="215"/>
      <c r="AD414" s="196"/>
    </row>
    <row r="415" spans="3:30" s="195" customFormat="1" ht="15">
      <c r="C415" s="215"/>
      <c r="D415" s="215"/>
      <c r="E415" s="215"/>
      <c r="F415" s="215"/>
      <c r="G415" s="215"/>
      <c r="H415" s="215"/>
      <c r="I415" s="215"/>
      <c r="J415" s="215"/>
      <c r="K415" s="215"/>
      <c r="L415" s="215"/>
      <c r="M415" s="215"/>
      <c r="N415" s="215"/>
      <c r="O415" s="215"/>
      <c r="P415" s="215"/>
      <c r="Q415" s="215"/>
      <c r="R415" s="215"/>
      <c r="S415" s="215"/>
      <c r="T415" s="215"/>
      <c r="U415" s="215"/>
      <c r="V415" s="215"/>
      <c r="W415" s="215"/>
      <c r="X415" s="215"/>
      <c r="AD415" s="196"/>
    </row>
    <row r="416" spans="3:30" s="195" customFormat="1" ht="15">
      <c r="C416" s="215"/>
      <c r="D416" s="215"/>
      <c r="E416" s="215"/>
      <c r="F416" s="215"/>
      <c r="G416" s="215"/>
      <c r="H416" s="215"/>
      <c r="I416" s="215"/>
      <c r="J416" s="215"/>
      <c r="K416" s="215"/>
      <c r="L416" s="215"/>
      <c r="M416" s="215"/>
      <c r="N416" s="215"/>
      <c r="O416" s="215"/>
      <c r="P416" s="215"/>
      <c r="Q416" s="215"/>
      <c r="R416" s="215"/>
      <c r="S416" s="215"/>
      <c r="T416" s="215"/>
      <c r="U416" s="215"/>
      <c r="V416" s="215"/>
      <c r="W416" s="215"/>
      <c r="X416" s="215"/>
      <c r="AD416" s="196"/>
    </row>
    <row r="417" spans="3:30" s="195" customFormat="1" ht="15">
      <c r="C417" s="215"/>
      <c r="D417" s="215"/>
      <c r="E417" s="215"/>
      <c r="F417" s="215"/>
      <c r="G417" s="215"/>
      <c r="H417" s="215"/>
      <c r="I417" s="215"/>
      <c r="J417" s="215"/>
      <c r="K417" s="215"/>
      <c r="L417" s="215"/>
      <c r="M417" s="215"/>
      <c r="N417" s="215"/>
      <c r="O417" s="215"/>
      <c r="P417" s="215"/>
      <c r="Q417" s="215"/>
      <c r="R417" s="215"/>
      <c r="S417" s="215"/>
      <c r="T417" s="215"/>
      <c r="U417" s="215"/>
      <c r="V417" s="215"/>
      <c r="W417" s="215"/>
      <c r="X417" s="215"/>
      <c r="AD417" s="196"/>
    </row>
    <row r="418" spans="3:30" s="195" customFormat="1" ht="15">
      <c r="C418" s="215"/>
      <c r="D418" s="215"/>
      <c r="E418" s="215"/>
      <c r="F418" s="215"/>
      <c r="G418" s="215"/>
      <c r="H418" s="215"/>
      <c r="I418" s="215"/>
      <c r="J418" s="215"/>
      <c r="K418" s="215"/>
      <c r="L418" s="215"/>
      <c r="M418" s="215"/>
      <c r="N418" s="215"/>
      <c r="O418" s="215"/>
      <c r="P418" s="215"/>
      <c r="Q418" s="215"/>
      <c r="R418" s="215"/>
      <c r="S418" s="215"/>
      <c r="T418" s="215"/>
      <c r="U418" s="215"/>
      <c r="V418" s="215"/>
      <c r="W418" s="215"/>
      <c r="X418" s="215"/>
      <c r="AD418" s="196"/>
    </row>
    <row r="419" spans="3:30" s="195" customFormat="1" ht="15">
      <c r="C419" s="215"/>
      <c r="D419" s="215"/>
      <c r="E419" s="215"/>
      <c r="F419" s="215"/>
      <c r="G419" s="215"/>
      <c r="H419" s="215"/>
      <c r="I419" s="215"/>
      <c r="J419" s="215"/>
      <c r="K419" s="215"/>
      <c r="L419" s="215"/>
      <c r="M419" s="215"/>
      <c r="N419" s="215"/>
      <c r="O419" s="215"/>
      <c r="P419" s="215"/>
      <c r="Q419" s="215"/>
      <c r="R419" s="215"/>
      <c r="S419" s="215"/>
      <c r="T419" s="215"/>
      <c r="U419" s="215"/>
      <c r="V419" s="215"/>
      <c r="W419" s="215"/>
      <c r="X419" s="215"/>
      <c r="AD419" s="196"/>
    </row>
    <row r="420" spans="3:30" s="195" customFormat="1" ht="15">
      <c r="C420" s="215"/>
      <c r="D420" s="215"/>
      <c r="E420" s="215"/>
      <c r="F420" s="215"/>
      <c r="G420" s="215"/>
      <c r="H420" s="215"/>
      <c r="I420" s="215"/>
      <c r="J420" s="215"/>
      <c r="K420" s="215"/>
      <c r="L420" s="215"/>
      <c r="M420" s="215"/>
      <c r="N420" s="215"/>
      <c r="O420" s="215"/>
      <c r="P420" s="215"/>
      <c r="Q420" s="215"/>
      <c r="R420" s="215"/>
      <c r="S420" s="215"/>
      <c r="T420" s="215"/>
      <c r="U420" s="215"/>
      <c r="V420" s="215"/>
      <c r="W420" s="215"/>
      <c r="X420" s="215"/>
      <c r="AD420" s="196"/>
    </row>
    <row r="421" spans="3:30" s="195" customFormat="1" ht="15">
      <c r="C421" s="215"/>
      <c r="D421" s="215"/>
      <c r="E421" s="215"/>
      <c r="F421" s="215"/>
      <c r="G421" s="215"/>
      <c r="H421" s="215"/>
      <c r="I421" s="215"/>
      <c r="J421" s="215"/>
      <c r="K421" s="215"/>
      <c r="L421" s="215"/>
      <c r="M421" s="215"/>
      <c r="N421" s="215"/>
      <c r="O421" s="215"/>
      <c r="P421" s="215"/>
      <c r="Q421" s="215"/>
      <c r="R421" s="215"/>
      <c r="S421" s="215"/>
      <c r="T421" s="215"/>
      <c r="U421" s="215"/>
      <c r="V421" s="215"/>
      <c r="W421" s="215"/>
      <c r="X421" s="215"/>
      <c r="AD421" s="196"/>
    </row>
    <row r="422" spans="3:30" s="195" customFormat="1" ht="15">
      <c r="C422" s="215"/>
      <c r="D422" s="215"/>
      <c r="E422" s="215"/>
      <c r="F422" s="215"/>
      <c r="G422" s="215"/>
      <c r="H422" s="215"/>
      <c r="I422" s="215"/>
      <c r="J422" s="215"/>
      <c r="K422" s="215"/>
      <c r="L422" s="215"/>
      <c r="M422" s="215"/>
      <c r="N422" s="215"/>
      <c r="O422" s="215"/>
      <c r="P422" s="215"/>
      <c r="Q422" s="215"/>
      <c r="R422" s="215"/>
      <c r="S422" s="215"/>
      <c r="T422" s="215"/>
      <c r="U422" s="215"/>
      <c r="V422" s="215"/>
      <c r="W422" s="215"/>
      <c r="X422" s="215"/>
      <c r="AD422" s="196"/>
    </row>
    <row r="423" spans="3:30" s="195" customFormat="1" ht="15">
      <c r="C423" s="215"/>
      <c r="D423" s="215"/>
      <c r="E423" s="215"/>
      <c r="F423" s="215"/>
      <c r="G423" s="215"/>
      <c r="H423" s="215"/>
      <c r="I423" s="215"/>
      <c r="J423" s="215"/>
      <c r="K423" s="215"/>
      <c r="L423" s="215"/>
      <c r="M423" s="215"/>
      <c r="N423" s="215"/>
      <c r="O423" s="215"/>
      <c r="P423" s="215"/>
      <c r="Q423" s="215"/>
      <c r="R423" s="215"/>
      <c r="S423" s="215"/>
      <c r="T423" s="215"/>
      <c r="U423" s="215"/>
      <c r="V423" s="215"/>
      <c r="W423" s="215"/>
      <c r="X423" s="215"/>
      <c r="AD423" s="196"/>
    </row>
    <row r="424" spans="3:30" s="195" customFormat="1" ht="15">
      <c r="C424" s="215"/>
      <c r="D424" s="215"/>
      <c r="E424" s="215"/>
      <c r="F424" s="215"/>
      <c r="G424" s="215"/>
      <c r="H424" s="215"/>
      <c r="I424" s="215"/>
      <c r="J424" s="215"/>
      <c r="K424" s="215"/>
      <c r="L424" s="215"/>
      <c r="M424" s="215"/>
      <c r="N424" s="215"/>
      <c r="O424" s="215"/>
      <c r="P424" s="215"/>
      <c r="Q424" s="215"/>
      <c r="R424" s="215"/>
      <c r="S424" s="215"/>
      <c r="T424" s="215"/>
      <c r="U424" s="215"/>
      <c r="V424" s="215"/>
      <c r="W424" s="215"/>
      <c r="X424" s="215"/>
      <c r="AD424" s="196"/>
    </row>
    <row r="425" spans="3:30" s="195" customFormat="1" ht="15">
      <c r="C425" s="215"/>
      <c r="D425" s="215"/>
      <c r="E425" s="215"/>
      <c r="F425" s="215"/>
      <c r="G425" s="215"/>
      <c r="H425" s="215"/>
      <c r="I425" s="215"/>
      <c r="J425" s="215"/>
      <c r="K425" s="215"/>
      <c r="L425" s="215"/>
      <c r="M425" s="215"/>
      <c r="N425" s="215"/>
      <c r="O425" s="215"/>
      <c r="P425" s="215"/>
      <c r="Q425" s="215"/>
      <c r="R425" s="215"/>
      <c r="S425" s="215"/>
      <c r="T425" s="215"/>
      <c r="U425" s="215"/>
      <c r="V425" s="215"/>
      <c r="W425" s="215"/>
      <c r="X425" s="215"/>
      <c r="AD425" s="196"/>
    </row>
    <row r="426" spans="3:30" s="195" customFormat="1" ht="15">
      <c r="C426" s="215"/>
      <c r="D426" s="215"/>
      <c r="E426" s="215"/>
      <c r="F426" s="215"/>
      <c r="G426" s="215"/>
      <c r="H426" s="215"/>
      <c r="I426" s="215"/>
      <c r="J426" s="215"/>
      <c r="K426" s="215"/>
      <c r="L426" s="215"/>
      <c r="M426" s="215"/>
      <c r="N426" s="215"/>
      <c r="O426" s="215"/>
      <c r="P426" s="215"/>
      <c r="Q426" s="215"/>
      <c r="R426" s="215"/>
      <c r="S426" s="215"/>
      <c r="T426" s="215"/>
      <c r="U426" s="215"/>
      <c r="V426" s="215"/>
      <c r="W426" s="215"/>
      <c r="X426" s="215"/>
      <c r="AD426" s="196"/>
    </row>
    <row r="427" spans="3:30" s="195" customFormat="1" ht="15">
      <c r="C427" s="215"/>
      <c r="D427" s="215"/>
      <c r="E427" s="215"/>
      <c r="F427" s="215"/>
      <c r="G427" s="215"/>
      <c r="H427" s="215"/>
      <c r="I427" s="215"/>
      <c r="J427" s="215"/>
      <c r="K427" s="215"/>
      <c r="L427" s="215"/>
      <c r="M427" s="215"/>
      <c r="N427" s="215"/>
      <c r="O427" s="215"/>
      <c r="P427" s="215"/>
      <c r="Q427" s="215"/>
      <c r="R427" s="215"/>
      <c r="S427" s="215"/>
      <c r="T427" s="215"/>
      <c r="U427" s="215"/>
      <c r="V427" s="215"/>
      <c r="W427" s="215"/>
      <c r="X427" s="215"/>
      <c r="AD427" s="196"/>
    </row>
    <row r="428" spans="3:30" s="195" customFormat="1" ht="15">
      <c r="C428" s="215"/>
      <c r="D428" s="215"/>
      <c r="E428" s="215"/>
      <c r="F428" s="215"/>
      <c r="G428" s="215"/>
      <c r="H428" s="215"/>
      <c r="I428" s="215"/>
      <c r="J428" s="215"/>
      <c r="K428" s="215"/>
      <c r="L428" s="215"/>
      <c r="M428" s="215"/>
      <c r="N428" s="215"/>
      <c r="O428" s="215"/>
      <c r="P428" s="215"/>
      <c r="Q428" s="215"/>
      <c r="R428" s="215"/>
      <c r="S428" s="215"/>
      <c r="T428" s="215"/>
      <c r="U428" s="215"/>
      <c r="V428" s="215"/>
      <c r="W428" s="215"/>
      <c r="X428" s="215"/>
      <c r="AD428" s="196"/>
    </row>
    <row r="429" spans="3:30" s="195" customFormat="1" ht="15">
      <c r="C429" s="215"/>
      <c r="D429" s="215"/>
      <c r="E429" s="215"/>
      <c r="F429" s="215"/>
      <c r="G429" s="215"/>
      <c r="H429" s="215"/>
      <c r="I429" s="215"/>
      <c r="J429" s="215"/>
      <c r="K429" s="215"/>
      <c r="L429" s="215"/>
      <c r="M429" s="215"/>
      <c r="N429" s="215"/>
      <c r="O429" s="215"/>
      <c r="P429" s="215"/>
      <c r="Q429" s="215"/>
      <c r="R429" s="215"/>
      <c r="S429" s="215"/>
      <c r="T429" s="215"/>
      <c r="U429" s="215"/>
      <c r="V429" s="215"/>
      <c r="W429" s="215"/>
      <c r="X429" s="215"/>
      <c r="AD429" s="196"/>
    </row>
    <row r="430" spans="3:30" s="195" customFormat="1" ht="15">
      <c r="C430" s="215"/>
      <c r="D430" s="215"/>
      <c r="E430" s="215"/>
      <c r="F430" s="215"/>
      <c r="G430" s="215"/>
      <c r="H430" s="215"/>
      <c r="I430" s="215"/>
      <c r="J430" s="215"/>
      <c r="K430" s="215"/>
      <c r="L430" s="215"/>
      <c r="M430" s="215"/>
      <c r="N430" s="215"/>
      <c r="O430" s="215"/>
      <c r="P430" s="215"/>
      <c r="Q430" s="215"/>
      <c r="R430" s="215"/>
      <c r="S430" s="215"/>
      <c r="T430" s="215"/>
      <c r="U430" s="215"/>
      <c r="V430" s="215"/>
      <c r="W430" s="215"/>
      <c r="X430" s="215"/>
      <c r="AD430" s="196"/>
    </row>
    <row r="431" spans="3:30" s="195" customFormat="1" ht="15">
      <c r="C431" s="215"/>
      <c r="D431" s="215"/>
      <c r="E431" s="215"/>
      <c r="F431" s="215"/>
      <c r="G431" s="215"/>
      <c r="H431" s="215"/>
      <c r="I431" s="215"/>
      <c r="J431" s="215"/>
      <c r="K431" s="215"/>
      <c r="L431" s="215"/>
      <c r="M431" s="215"/>
      <c r="N431" s="215"/>
      <c r="O431" s="215"/>
      <c r="P431" s="215"/>
      <c r="Q431" s="215"/>
      <c r="R431" s="215"/>
      <c r="S431" s="215"/>
      <c r="T431" s="215"/>
      <c r="U431" s="215"/>
      <c r="V431" s="215"/>
      <c r="W431" s="215"/>
      <c r="X431" s="215"/>
      <c r="AD431" s="196"/>
    </row>
    <row r="432" spans="3:30" s="195" customFormat="1" ht="15">
      <c r="C432" s="215"/>
      <c r="D432" s="215"/>
      <c r="E432" s="215"/>
      <c r="F432" s="215"/>
      <c r="G432" s="215"/>
      <c r="H432" s="215"/>
      <c r="I432" s="215"/>
      <c r="J432" s="215"/>
      <c r="K432" s="215"/>
      <c r="L432" s="215"/>
      <c r="M432" s="215"/>
      <c r="N432" s="215"/>
      <c r="O432" s="215"/>
      <c r="P432" s="215"/>
      <c r="Q432" s="215"/>
      <c r="R432" s="215"/>
      <c r="S432" s="215"/>
      <c r="T432" s="215"/>
      <c r="U432" s="215"/>
      <c r="V432" s="215"/>
      <c r="W432" s="215"/>
      <c r="X432" s="215"/>
      <c r="AD432" s="196"/>
    </row>
    <row r="433" spans="3:30" s="195" customFormat="1" ht="15">
      <c r="C433" s="215"/>
      <c r="D433" s="215"/>
      <c r="E433" s="215"/>
      <c r="F433" s="215"/>
      <c r="G433" s="215"/>
      <c r="H433" s="215"/>
      <c r="I433" s="215"/>
      <c r="J433" s="215"/>
      <c r="K433" s="215"/>
      <c r="L433" s="215"/>
      <c r="M433" s="215"/>
      <c r="N433" s="215"/>
      <c r="O433" s="215"/>
      <c r="P433" s="215"/>
      <c r="Q433" s="215"/>
      <c r="R433" s="215"/>
      <c r="S433" s="215"/>
      <c r="T433" s="215"/>
      <c r="U433" s="215"/>
      <c r="V433" s="215"/>
      <c r="W433" s="215"/>
      <c r="X433" s="215"/>
      <c r="AD433" s="196"/>
    </row>
    <row r="434" spans="3:30" s="195" customFormat="1" ht="15">
      <c r="C434" s="215"/>
      <c r="D434" s="215"/>
      <c r="E434" s="215"/>
      <c r="F434" s="215"/>
      <c r="G434" s="215"/>
      <c r="H434" s="215"/>
      <c r="I434" s="215"/>
      <c r="J434" s="215"/>
      <c r="K434" s="215"/>
      <c r="L434" s="215"/>
      <c r="M434" s="215"/>
      <c r="N434" s="215"/>
      <c r="O434" s="215"/>
      <c r="P434" s="215"/>
      <c r="Q434" s="215"/>
      <c r="R434" s="215"/>
      <c r="S434" s="215"/>
      <c r="T434" s="215"/>
      <c r="U434" s="215"/>
      <c r="V434" s="215"/>
      <c r="W434" s="215"/>
      <c r="X434" s="215"/>
      <c r="AD434" s="196"/>
    </row>
    <row r="435" spans="3:30" s="195" customFormat="1" ht="15">
      <c r="C435" s="215"/>
      <c r="D435" s="215"/>
      <c r="E435" s="215"/>
      <c r="F435" s="215"/>
      <c r="G435" s="215"/>
      <c r="H435" s="215"/>
      <c r="I435" s="215"/>
      <c r="J435" s="215"/>
      <c r="K435" s="215"/>
      <c r="L435" s="215"/>
      <c r="M435" s="215"/>
      <c r="N435" s="215"/>
      <c r="O435" s="215"/>
      <c r="P435" s="215"/>
      <c r="Q435" s="215"/>
      <c r="R435" s="215"/>
      <c r="S435" s="215"/>
      <c r="T435" s="215"/>
      <c r="U435" s="215"/>
      <c r="V435" s="215"/>
      <c r="W435" s="215"/>
      <c r="X435" s="215"/>
      <c r="AD435" s="196"/>
    </row>
    <row r="436" spans="3:30" s="195" customFormat="1" ht="15">
      <c r="C436" s="215"/>
      <c r="D436" s="215"/>
      <c r="E436" s="215"/>
      <c r="F436" s="215"/>
      <c r="G436" s="215"/>
      <c r="H436" s="215"/>
      <c r="I436" s="215"/>
      <c r="J436" s="215"/>
      <c r="K436" s="215"/>
      <c r="L436" s="215"/>
      <c r="M436" s="215"/>
      <c r="N436" s="215"/>
      <c r="O436" s="215"/>
      <c r="P436" s="215"/>
      <c r="Q436" s="215"/>
      <c r="R436" s="215"/>
      <c r="S436" s="215"/>
      <c r="T436" s="215"/>
      <c r="U436" s="215"/>
      <c r="V436" s="215"/>
      <c r="W436" s="215"/>
      <c r="X436" s="215"/>
      <c r="AD436" s="196"/>
    </row>
    <row r="437" spans="3:30" s="195" customFormat="1" ht="15">
      <c r="C437" s="215"/>
      <c r="D437" s="215"/>
      <c r="E437" s="215"/>
      <c r="F437" s="215"/>
      <c r="G437" s="215"/>
      <c r="H437" s="215"/>
      <c r="I437" s="215"/>
      <c r="J437" s="215"/>
      <c r="K437" s="215"/>
      <c r="L437" s="215"/>
      <c r="M437" s="215"/>
      <c r="N437" s="215"/>
      <c r="O437" s="215"/>
      <c r="P437" s="215"/>
      <c r="Q437" s="215"/>
      <c r="R437" s="215"/>
      <c r="S437" s="215"/>
      <c r="T437" s="215"/>
      <c r="U437" s="215"/>
      <c r="V437" s="215"/>
      <c r="W437" s="215"/>
      <c r="X437" s="215"/>
      <c r="AD437" s="196"/>
    </row>
    <row r="438" spans="3:30" s="195" customFormat="1" ht="15">
      <c r="C438" s="215"/>
      <c r="D438" s="215"/>
      <c r="E438" s="215"/>
      <c r="F438" s="215"/>
      <c r="G438" s="215"/>
      <c r="H438" s="215"/>
      <c r="I438" s="215"/>
      <c r="J438" s="215"/>
      <c r="K438" s="215"/>
      <c r="L438" s="215"/>
      <c r="M438" s="215"/>
      <c r="N438" s="215"/>
      <c r="O438" s="215"/>
      <c r="P438" s="215"/>
      <c r="Q438" s="215"/>
      <c r="R438" s="215"/>
      <c r="S438" s="215"/>
      <c r="T438" s="215"/>
      <c r="U438" s="215"/>
      <c r="V438" s="215"/>
      <c r="W438" s="215"/>
      <c r="X438" s="215"/>
      <c r="AD438" s="196"/>
    </row>
    <row r="439" spans="3:30" s="195" customFormat="1" ht="15">
      <c r="C439" s="215"/>
      <c r="D439" s="215"/>
      <c r="E439" s="215"/>
      <c r="F439" s="215"/>
      <c r="G439" s="215"/>
      <c r="H439" s="215"/>
      <c r="I439" s="215"/>
      <c r="J439" s="215"/>
      <c r="K439" s="215"/>
      <c r="L439" s="215"/>
      <c r="M439" s="215"/>
      <c r="N439" s="215"/>
      <c r="O439" s="215"/>
      <c r="P439" s="215"/>
      <c r="Q439" s="215"/>
      <c r="R439" s="215"/>
      <c r="S439" s="215"/>
      <c r="T439" s="215"/>
      <c r="U439" s="215"/>
      <c r="V439" s="215"/>
      <c r="W439" s="215"/>
      <c r="X439" s="215"/>
      <c r="AD439" s="196"/>
    </row>
    <row r="440" spans="3:30" s="195" customFormat="1" ht="15">
      <c r="C440" s="215"/>
      <c r="D440" s="215"/>
      <c r="E440" s="215"/>
      <c r="F440" s="215"/>
      <c r="G440" s="215"/>
      <c r="H440" s="215"/>
      <c r="I440" s="215"/>
      <c r="J440" s="215"/>
      <c r="K440" s="215"/>
      <c r="L440" s="215"/>
      <c r="M440" s="215"/>
      <c r="N440" s="215"/>
      <c r="O440" s="215"/>
      <c r="P440" s="215"/>
      <c r="Q440" s="215"/>
      <c r="R440" s="215"/>
      <c r="S440" s="215"/>
      <c r="T440" s="215"/>
      <c r="U440" s="215"/>
      <c r="V440" s="215"/>
      <c r="W440" s="215"/>
      <c r="X440" s="215"/>
      <c r="AD440" s="196"/>
    </row>
    <row r="441" spans="3:30" s="195" customFormat="1" ht="15">
      <c r="C441" s="215"/>
      <c r="D441" s="215"/>
      <c r="E441" s="215"/>
      <c r="F441" s="215"/>
      <c r="G441" s="215"/>
      <c r="H441" s="215"/>
      <c r="I441" s="215"/>
      <c r="J441" s="215"/>
      <c r="K441" s="215"/>
      <c r="L441" s="215"/>
      <c r="M441" s="215"/>
      <c r="N441" s="215"/>
      <c r="O441" s="215"/>
      <c r="P441" s="215"/>
      <c r="Q441" s="215"/>
      <c r="R441" s="215"/>
      <c r="S441" s="215"/>
      <c r="T441" s="215"/>
      <c r="U441" s="215"/>
      <c r="V441" s="215"/>
      <c r="W441" s="215"/>
      <c r="X441" s="215"/>
      <c r="AD441" s="196"/>
    </row>
    <row r="442" spans="3:30" s="195" customFormat="1" ht="15">
      <c r="C442" s="215"/>
      <c r="D442" s="215"/>
      <c r="E442" s="215"/>
      <c r="F442" s="215"/>
      <c r="G442" s="215"/>
      <c r="H442" s="215"/>
      <c r="I442" s="215"/>
      <c r="J442" s="215"/>
      <c r="K442" s="215"/>
      <c r="L442" s="215"/>
      <c r="M442" s="215"/>
      <c r="N442" s="215"/>
      <c r="O442" s="215"/>
      <c r="P442" s="215"/>
      <c r="Q442" s="215"/>
      <c r="R442" s="215"/>
      <c r="S442" s="215"/>
      <c r="T442" s="215"/>
      <c r="U442" s="215"/>
      <c r="V442" s="215"/>
      <c r="W442" s="215"/>
      <c r="X442" s="215"/>
      <c r="AD442" s="196"/>
    </row>
    <row r="443" spans="3:30" s="195" customFormat="1" ht="15">
      <c r="C443" s="215"/>
      <c r="D443" s="215"/>
      <c r="E443" s="215"/>
      <c r="F443" s="215"/>
      <c r="G443" s="215"/>
      <c r="H443" s="215"/>
      <c r="I443" s="215"/>
      <c r="J443" s="215"/>
      <c r="K443" s="215"/>
      <c r="L443" s="215"/>
      <c r="M443" s="215"/>
      <c r="N443" s="215"/>
      <c r="O443" s="215"/>
      <c r="P443" s="215"/>
      <c r="Q443" s="215"/>
      <c r="R443" s="215"/>
      <c r="S443" s="215"/>
      <c r="T443" s="215"/>
      <c r="U443" s="215"/>
      <c r="V443" s="215"/>
      <c r="W443" s="215"/>
      <c r="X443" s="215"/>
      <c r="AD443" s="196"/>
    </row>
    <row r="444" spans="3:30" s="195" customFormat="1" ht="15">
      <c r="C444" s="215"/>
      <c r="D444" s="215"/>
      <c r="E444" s="215"/>
      <c r="F444" s="215"/>
      <c r="G444" s="215"/>
      <c r="H444" s="215"/>
      <c r="I444" s="215"/>
      <c r="J444" s="215"/>
      <c r="K444" s="215"/>
      <c r="L444" s="215"/>
      <c r="M444" s="215"/>
      <c r="N444" s="215"/>
      <c r="O444" s="215"/>
      <c r="P444" s="215"/>
      <c r="Q444" s="215"/>
      <c r="R444" s="215"/>
      <c r="S444" s="215"/>
      <c r="T444" s="215"/>
      <c r="U444" s="215"/>
      <c r="V444" s="215"/>
      <c r="W444" s="215"/>
      <c r="X444" s="215"/>
      <c r="AD444" s="196"/>
    </row>
    <row r="445" spans="3:30" s="195" customFormat="1" ht="15">
      <c r="C445" s="215"/>
      <c r="D445" s="215"/>
      <c r="E445" s="215"/>
      <c r="F445" s="215"/>
      <c r="G445" s="215"/>
      <c r="H445" s="215"/>
      <c r="I445" s="215"/>
      <c r="J445" s="215"/>
      <c r="K445" s="215"/>
      <c r="L445" s="215"/>
      <c r="M445" s="215"/>
      <c r="N445" s="215"/>
      <c r="O445" s="215"/>
      <c r="P445" s="215"/>
      <c r="Q445" s="215"/>
      <c r="R445" s="215"/>
      <c r="S445" s="215"/>
      <c r="T445" s="215"/>
      <c r="U445" s="215"/>
      <c r="V445" s="215"/>
      <c r="W445" s="215"/>
      <c r="X445" s="215"/>
      <c r="AD445" s="196"/>
    </row>
    <row r="446" spans="3:30" s="195" customFormat="1" ht="15">
      <c r="C446" s="215"/>
      <c r="D446" s="215"/>
      <c r="E446" s="215"/>
      <c r="F446" s="215"/>
      <c r="G446" s="215"/>
      <c r="H446" s="215"/>
      <c r="I446" s="215"/>
      <c r="J446" s="215"/>
      <c r="K446" s="215"/>
      <c r="L446" s="215"/>
      <c r="M446" s="215"/>
      <c r="N446" s="215"/>
      <c r="O446" s="215"/>
      <c r="P446" s="215"/>
      <c r="Q446" s="215"/>
      <c r="R446" s="215"/>
      <c r="S446" s="215"/>
      <c r="T446" s="215"/>
      <c r="U446" s="215"/>
      <c r="V446" s="215"/>
      <c r="W446" s="215"/>
      <c r="X446" s="215"/>
      <c r="AD446" s="196"/>
    </row>
    <row r="447" spans="3:30" s="195" customFormat="1" ht="15">
      <c r="C447" s="215"/>
      <c r="D447" s="215"/>
      <c r="E447" s="215"/>
      <c r="F447" s="215"/>
      <c r="G447" s="215"/>
      <c r="H447" s="215"/>
      <c r="I447" s="215"/>
      <c r="J447" s="215"/>
      <c r="K447" s="215"/>
      <c r="L447" s="215"/>
      <c r="M447" s="215"/>
      <c r="N447" s="215"/>
      <c r="O447" s="215"/>
      <c r="P447" s="215"/>
      <c r="Q447" s="215"/>
      <c r="R447" s="215"/>
      <c r="S447" s="215"/>
      <c r="T447" s="215"/>
      <c r="U447" s="215"/>
      <c r="V447" s="215"/>
      <c r="W447" s="215"/>
      <c r="X447" s="215"/>
      <c r="AD447" s="196"/>
    </row>
    <row r="448" spans="3:30" s="195" customFormat="1" ht="15">
      <c r="C448" s="215"/>
      <c r="D448" s="215"/>
      <c r="E448" s="215"/>
      <c r="F448" s="215"/>
      <c r="G448" s="215"/>
      <c r="H448" s="215"/>
      <c r="I448" s="215"/>
      <c r="J448" s="215"/>
      <c r="K448" s="215"/>
      <c r="L448" s="215"/>
      <c r="M448" s="215"/>
      <c r="N448" s="215"/>
      <c r="O448" s="215"/>
      <c r="P448" s="215"/>
      <c r="Q448" s="215"/>
      <c r="R448" s="215"/>
      <c r="S448" s="215"/>
      <c r="T448" s="215"/>
      <c r="U448" s="215"/>
      <c r="V448" s="215"/>
      <c r="W448" s="215"/>
      <c r="X448" s="215"/>
      <c r="AD448" s="196"/>
    </row>
    <row r="449" spans="3:30" s="195" customFormat="1" ht="15">
      <c r="C449" s="215"/>
      <c r="D449" s="215"/>
      <c r="E449" s="215"/>
      <c r="F449" s="215"/>
      <c r="G449" s="215"/>
      <c r="H449" s="215"/>
      <c r="I449" s="215"/>
      <c r="J449" s="215"/>
      <c r="K449" s="215"/>
      <c r="L449" s="215"/>
      <c r="M449" s="215"/>
      <c r="N449" s="215"/>
      <c r="O449" s="215"/>
      <c r="P449" s="215"/>
      <c r="Q449" s="215"/>
      <c r="R449" s="215"/>
      <c r="S449" s="215"/>
      <c r="T449" s="215"/>
      <c r="U449" s="215"/>
      <c r="V449" s="215"/>
      <c r="W449" s="215"/>
      <c r="X449" s="215"/>
      <c r="AD449" s="196"/>
    </row>
    <row r="450" spans="3:30" s="195" customFormat="1" ht="15">
      <c r="C450" s="215"/>
      <c r="D450" s="215"/>
      <c r="E450" s="215"/>
      <c r="F450" s="215"/>
      <c r="G450" s="215"/>
      <c r="H450" s="215"/>
      <c r="I450" s="215"/>
      <c r="J450" s="215"/>
      <c r="K450" s="215"/>
      <c r="L450" s="215"/>
      <c r="M450" s="215"/>
      <c r="N450" s="215"/>
      <c r="O450" s="215"/>
      <c r="P450" s="215"/>
      <c r="Q450" s="215"/>
      <c r="R450" s="215"/>
      <c r="S450" s="215"/>
      <c r="T450" s="215"/>
      <c r="U450" s="215"/>
      <c r="V450" s="215"/>
      <c r="W450" s="215"/>
      <c r="X450" s="215"/>
      <c r="AD450" s="196"/>
    </row>
    <row r="451" spans="3:30" s="195" customFormat="1" ht="15">
      <c r="C451" s="215"/>
      <c r="D451" s="215"/>
      <c r="E451" s="215"/>
      <c r="F451" s="215"/>
      <c r="G451" s="215"/>
      <c r="H451" s="215"/>
      <c r="I451" s="215"/>
      <c r="J451" s="215"/>
      <c r="K451" s="215"/>
      <c r="L451" s="215"/>
      <c r="M451" s="215"/>
      <c r="N451" s="215"/>
      <c r="O451" s="215"/>
      <c r="P451" s="215"/>
      <c r="Q451" s="215"/>
      <c r="R451" s="215"/>
      <c r="S451" s="215"/>
      <c r="T451" s="215"/>
      <c r="U451" s="215"/>
      <c r="V451" s="215"/>
      <c r="W451" s="215"/>
      <c r="X451" s="215"/>
      <c r="AD451" s="196"/>
    </row>
    <row r="452" spans="3:30" s="195" customFormat="1" ht="15">
      <c r="C452" s="215"/>
      <c r="D452" s="215"/>
      <c r="E452" s="215"/>
      <c r="F452" s="215"/>
      <c r="G452" s="215"/>
      <c r="H452" s="215"/>
      <c r="I452" s="215"/>
      <c r="J452" s="215"/>
      <c r="K452" s="215"/>
      <c r="L452" s="215"/>
      <c r="M452" s="215"/>
      <c r="N452" s="215"/>
      <c r="O452" s="215"/>
      <c r="P452" s="215"/>
      <c r="Q452" s="215"/>
      <c r="R452" s="215"/>
      <c r="S452" s="215"/>
      <c r="T452" s="215"/>
      <c r="U452" s="215"/>
      <c r="V452" s="215"/>
      <c r="W452" s="215"/>
      <c r="X452" s="215"/>
      <c r="AD452" s="196"/>
    </row>
    <row r="453" spans="3:30" s="195" customFormat="1" ht="15">
      <c r="C453" s="215"/>
      <c r="D453" s="215"/>
      <c r="E453" s="215"/>
      <c r="F453" s="215"/>
      <c r="G453" s="215"/>
      <c r="H453" s="215"/>
      <c r="I453" s="215"/>
      <c r="J453" s="215"/>
      <c r="K453" s="215"/>
      <c r="L453" s="215"/>
      <c r="M453" s="215"/>
      <c r="N453" s="215"/>
      <c r="O453" s="215"/>
      <c r="P453" s="215"/>
      <c r="Q453" s="215"/>
      <c r="R453" s="215"/>
      <c r="S453" s="215"/>
      <c r="T453" s="215"/>
      <c r="U453" s="215"/>
      <c r="V453" s="215"/>
      <c r="W453" s="215"/>
      <c r="X453" s="215"/>
      <c r="AD453" s="196"/>
    </row>
    <row r="454" spans="3:30" s="195" customFormat="1" ht="15">
      <c r="C454" s="215"/>
      <c r="D454" s="215"/>
      <c r="E454" s="215"/>
      <c r="F454" s="215"/>
      <c r="G454" s="215"/>
      <c r="H454" s="215"/>
      <c r="I454" s="215"/>
      <c r="J454" s="215"/>
      <c r="K454" s="215"/>
      <c r="L454" s="215"/>
      <c r="M454" s="215"/>
      <c r="N454" s="215"/>
      <c r="O454" s="215"/>
      <c r="P454" s="215"/>
      <c r="Q454" s="215"/>
      <c r="R454" s="215"/>
      <c r="S454" s="215"/>
      <c r="T454" s="215"/>
      <c r="U454" s="215"/>
      <c r="V454" s="215"/>
      <c r="W454" s="215"/>
      <c r="X454" s="215"/>
      <c r="AD454" s="196"/>
    </row>
    <row r="455" spans="3:30" s="195" customFormat="1" ht="15">
      <c r="C455" s="215"/>
      <c r="D455" s="215"/>
      <c r="E455" s="215"/>
      <c r="F455" s="215"/>
      <c r="G455" s="215"/>
      <c r="H455" s="215"/>
      <c r="I455" s="215"/>
      <c r="J455" s="215"/>
      <c r="K455" s="215"/>
      <c r="L455" s="215"/>
      <c r="M455" s="215"/>
      <c r="N455" s="215"/>
      <c r="O455" s="215"/>
      <c r="P455" s="215"/>
      <c r="Q455" s="215"/>
      <c r="R455" s="215"/>
      <c r="S455" s="215"/>
      <c r="T455" s="215"/>
      <c r="U455" s="215"/>
      <c r="V455" s="215"/>
      <c r="W455" s="215"/>
      <c r="X455" s="215"/>
      <c r="AD455" s="196"/>
    </row>
    <row r="456" spans="3:30" s="195" customFormat="1" ht="15">
      <c r="C456" s="215"/>
      <c r="D456" s="215"/>
      <c r="E456" s="215"/>
      <c r="F456" s="215"/>
      <c r="G456" s="215"/>
      <c r="H456" s="215"/>
      <c r="I456" s="215"/>
      <c r="J456" s="215"/>
      <c r="K456" s="215"/>
      <c r="L456" s="215"/>
      <c r="M456" s="215"/>
      <c r="N456" s="215"/>
      <c r="O456" s="215"/>
      <c r="P456" s="215"/>
      <c r="Q456" s="215"/>
      <c r="R456" s="215"/>
      <c r="S456" s="215"/>
      <c r="T456" s="215"/>
      <c r="U456" s="215"/>
      <c r="V456" s="215"/>
      <c r="W456" s="215"/>
      <c r="X456" s="215"/>
      <c r="AD456" s="196"/>
    </row>
    <row r="457" spans="3:30" s="195" customFormat="1" ht="15">
      <c r="C457" s="215"/>
      <c r="D457" s="215"/>
      <c r="E457" s="215"/>
      <c r="F457" s="215"/>
      <c r="G457" s="215"/>
      <c r="H457" s="215"/>
      <c r="I457" s="215"/>
      <c r="J457" s="215"/>
      <c r="K457" s="215"/>
      <c r="L457" s="215"/>
      <c r="M457" s="215"/>
      <c r="N457" s="215"/>
      <c r="O457" s="215"/>
      <c r="P457" s="215"/>
      <c r="Q457" s="215"/>
      <c r="R457" s="215"/>
      <c r="S457" s="215"/>
      <c r="T457" s="215"/>
      <c r="U457" s="215"/>
      <c r="V457" s="215"/>
      <c r="W457" s="215"/>
      <c r="X457" s="215"/>
      <c r="AD457" s="196"/>
    </row>
    <row r="458" spans="3:30" s="195" customFormat="1" ht="15">
      <c r="C458" s="215"/>
      <c r="D458" s="215"/>
      <c r="E458" s="215"/>
      <c r="F458" s="215"/>
      <c r="G458" s="215"/>
      <c r="H458" s="215"/>
      <c r="I458" s="215"/>
      <c r="J458" s="215"/>
      <c r="K458" s="215"/>
      <c r="L458" s="215"/>
      <c r="M458" s="215"/>
      <c r="N458" s="215"/>
      <c r="O458" s="215"/>
      <c r="P458" s="215"/>
      <c r="Q458" s="215"/>
      <c r="R458" s="215"/>
      <c r="S458" s="215"/>
      <c r="T458" s="215"/>
      <c r="U458" s="215"/>
      <c r="V458" s="215"/>
      <c r="W458" s="215"/>
      <c r="X458" s="215"/>
      <c r="AD458" s="196"/>
    </row>
    <row r="459" spans="3:30" s="195" customFormat="1" ht="15">
      <c r="C459" s="215"/>
      <c r="D459" s="215"/>
      <c r="E459" s="215"/>
      <c r="F459" s="215"/>
      <c r="G459" s="215"/>
      <c r="H459" s="215"/>
      <c r="I459" s="215"/>
      <c r="J459" s="215"/>
      <c r="K459" s="215"/>
      <c r="L459" s="215"/>
      <c r="M459" s="215"/>
      <c r="N459" s="215"/>
      <c r="O459" s="215"/>
      <c r="P459" s="215"/>
      <c r="Q459" s="215"/>
      <c r="R459" s="215"/>
      <c r="S459" s="215"/>
      <c r="T459" s="215"/>
      <c r="U459" s="215"/>
      <c r="V459" s="215"/>
      <c r="W459" s="215"/>
      <c r="X459" s="215"/>
      <c r="AD459" s="196"/>
    </row>
    <row r="460" spans="3:30" s="195" customFormat="1" ht="15">
      <c r="C460" s="215"/>
      <c r="D460" s="215"/>
      <c r="E460" s="215"/>
      <c r="F460" s="215"/>
      <c r="G460" s="215"/>
      <c r="H460" s="215"/>
      <c r="I460" s="215"/>
      <c r="J460" s="215"/>
      <c r="K460" s="215"/>
      <c r="L460" s="215"/>
      <c r="M460" s="215"/>
      <c r="N460" s="215"/>
      <c r="O460" s="215"/>
      <c r="P460" s="215"/>
      <c r="Q460" s="215"/>
      <c r="R460" s="215"/>
      <c r="S460" s="215"/>
      <c r="T460" s="215"/>
      <c r="U460" s="215"/>
      <c r="V460" s="215"/>
      <c r="W460" s="215"/>
      <c r="X460" s="215"/>
      <c r="AD460" s="196"/>
    </row>
    <row r="461" spans="3:30" s="195" customFormat="1" ht="15">
      <c r="C461" s="215"/>
      <c r="D461" s="215"/>
      <c r="E461" s="215"/>
      <c r="F461" s="215"/>
      <c r="G461" s="215"/>
      <c r="H461" s="215"/>
      <c r="I461" s="215"/>
      <c r="J461" s="215"/>
      <c r="K461" s="215"/>
      <c r="L461" s="215"/>
      <c r="M461" s="215"/>
      <c r="N461" s="215"/>
      <c r="O461" s="215"/>
      <c r="P461" s="215"/>
      <c r="Q461" s="215"/>
      <c r="R461" s="215"/>
      <c r="S461" s="215"/>
      <c r="T461" s="215"/>
      <c r="U461" s="215"/>
      <c r="V461" s="215"/>
      <c r="W461" s="215"/>
      <c r="X461" s="215"/>
      <c r="AD461" s="196"/>
    </row>
    <row r="462" spans="3:30" s="195" customFormat="1" ht="15">
      <c r="C462" s="215"/>
      <c r="D462" s="215"/>
      <c r="E462" s="215"/>
      <c r="F462" s="215"/>
      <c r="G462" s="215"/>
      <c r="H462" s="215"/>
      <c r="I462" s="215"/>
      <c r="J462" s="215"/>
      <c r="K462" s="215"/>
      <c r="L462" s="215"/>
      <c r="M462" s="215"/>
      <c r="N462" s="215"/>
      <c r="O462" s="215"/>
      <c r="P462" s="215"/>
      <c r="Q462" s="215"/>
      <c r="R462" s="215"/>
      <c r="S462" s="215"/>
      <c r="T462" s="215"/>
      <c r="U462" s="215"/>
      <c r="V462" s="215"/>
      <c r="W462" s="215"/>
      <c r="X462" s="215"/>
      <c r="AD462" s="196"/>
    </row>
    <row r="463" spans="3:30" s="195" customFormat="1" ht="15">
      <c r="C463" s="215"/>
      <c r="D463" s="215"/>
      <c r="E463" s="215"/>
      <c r="F463" s="215"/>
      <c r="G463" s="215"/>
      <c r="H463" s="215"/>
      <c r="I463" s="215"/>
      <c r="J463" s="215"/>
      <c r="K463" s="215"/>
      <c r="L463" s="215"/>
      <c r="M463" s="215"/>
      <c r="N463" s="215"/>
      <c r="O463" s="215"/>
      <c r="P463" s="215"/>
      <c r="Q463" s="215"/>
      <c r="R463" s="215"/>
      <c r="S463" s="215"/>
      <c r="T463" s="215"/>
      <c r="U463" s="215"/>
      <c r="V463" s="215"/>
      <c r="W463" s="215"/>
      <c r="X463" s="215"/>
      <c r="AD463" s="196"/>
    </row>
    <row r="464" spans="3:30" s="195" customFormat="1" ht="15">
      <c r="C464" s="215"/>
      <c r="D464" s="215"/>
      <c r="E464" s="215"/>
      <c r="F464" s="215"/>
      <c r="G464" s="215"/>
      <c r="H464" s="215"/>
      <c r="I464" s="215"/>
      <c r="J464" s="215"/>
      <c r="K464" s="215"/>
      <c r="L464" s="215"/>
      <c r="M464" s="215"/>
      <c r="N464" s="215"/>
      <c r="O464" s="215"/>
      <c r="P464" s="215"/>
      <c r="Q464" s="215"/>
      <c r="R464" s="215"/>
      <c r="S464" s="215"/>
      <c r="T464" s="215"/>
      <c r="U464" s="215"/>
      <c r="V464" s="215"/>
      <c r="W464" s="215"/>
      <c r="X464" s="215"/>
      <c r="AD464" s="196"/>
    </row>
    <row r="465" spans="3:30" s="195" customFormat="1" ht="15">
      <c r="C465" s="215"/>
      <c r="D465" s="215"/>
      <c r="E465" s="215"/>
      <c r="F465" s="215"/>
      <c r="G465" s="215"/>
      <c r="H465" s="215"/>
      <c r="I465" s="215"/>
      <c r="J465" s="215"/>
      <c r="K465" s="215"/>
      <c r="L465" s="215"/>
      <c r="M465" s="215"/>
      <c r="N465" s="215"/>
      <c r="O465" s="215"/>
      <c r="P465" s="215"/>
      <c r="Q465" s="215"/>
      <c r="R465" s="215"/>
      <c r="S465" s="215"/>
      <c r="T465" s="215"/>
      <c r="U465" s="215"/>
      <c r="V465" s="215"/>
      <c r="W465" s="215"/>
      <c r="X465" s="215"/>
      <c r="AD465" s="196"/>
    </row>
    <row r="466" spans="3:30" s="195" customFormat="1" ht="15">
      <c r="C466" s="215"/>
      <c r="D466" s="215"/>
      <c r="E466" s="215"/>
      <c r="F466" s="215"/>
      <c r="G466" s="215"/>
      <c r="H466" s="215"/>
      <c r="I466" s="215"/>
      <c r="J466" s="215"/>
      <c r="K466" s="215"/>
      <c r="L466" s="215"/>
      <c r="M466" s="215"/>
      <c r="N466" s="215"/>
      <c r="O466" s="215"/>
      <c r="P466" s="215"/>
      <c r="Q466" s="215"/>
      <c r="R466" s="215"/>
      <c r="S466" s="215"/>
      <c r="T466" s="215"/>
      <c r="U466" s="215"/>
      <c r="V466" s="215"/>
      <c r="W466" s="215"/>
      <c r="X466" s="215"/>
      <c r="AD466" s="196"/>
    </row>
    <row r="467" spans="3:30" s="195" customFormat="1" ht="15">
      <c r="C467" s="215"/>
      <c r="D467" s="215"/>
      <c r="E467" s="215"/>
      <c r="F467" s="215"/>
      <c r="G467" s="215"/>
      <c r="H467" s="215"/>
      <c r="I467" s="215"/>
      <c r="J467" s="215"/>
      <c r="K467" s="215"/>
      <c r="L467" s="215"/>
      <c r="M467" s="215"/>
      <c r="N467" s="215"/>
      <c r="O467" s="215"/>
      <c r="P467" s="215"/>
      <c r="Q467" s="215"/>
      <c r="R467" s="215"/>
      <c r="S467" s="215"/>
      <c r="T467" s="215"/>
      <c r="U467" s="215"/>
      <c r="V467" s="215"/>
      <c r="W467" s="215"/>
      <c r="X467" s="215"/>
      <c r="AD467" s="196"/>
    </row>
    <row r="468" spans="3:30" s="195" customFormat="1" ht="15">
      <c r="C468" s="215"/>
      <c r="D468" s="215"/>
      <c r="E468" s="215"/>
      <c r="F468" s="215"/>
      <c r="G468" s="215"/>
      <c r="H468" s="215"/>
      <c r="I468" s="215"/>
      <c r="J468" s="215"/>
      <c r="K468" s="215"/>
      <c r="L468" s="215"/>
      <c r="M468" s="215"/>
      <c r="N468" s="215"/>
      <c r="O468" s="215"/>
      <c r="P468" s="215"/>
      <c r="Q468" s="215"/>
      <c r="R468" s="215"/>
      <c r="S468" s="215"/>
      <c r="T468" s="215"/>
      <c r="U468" s="215"/>
      <c r="V468" s="215"/>
      <c r="W468" s="215"/>
      <c r="X468" s="215"/>
      <c r="AD468" s="196"/>
    </row>
    <row r="469" spans="3:30" s="195" customFormat="1" ht="15">
      <c r="C469" s="215"/>
      <c r="D469" s="215"/>
      <c r="E469" s="215"/>
      <c r="F469" s="215"/>
      <c r="G469" s="215"/>
      <c r="H469" s="215"/>
      <c r="I469" s="215"/>
      <c r="J469" s="215"/>
      <c r="K469" s="215"/>
      <c r="L469" s="215"/>
      <c r="M469" s="215"/>
      <c r="N469" s="215"/>
      <c r="O469" s="215"/>
      <c r="P469" s="215"/>
      <c r="Q469" s="215"/>
      <c r="R469" s="215"/>
      <c r="S469" s="215"/>
      <c r="T469" s="215"/>
      <c r="U469" s="215"/>
      <c r="V469" s="215"/>
      <c r="W469" s="215"/>
      <c r="X469" s="215"/>
      <c r="AD469" s="196"/>
    </row>
    <row r="470" spans="3:30" s="195" customFormat="1" ht="15">
      <c r="C470" s="215"/>
      <c r="D470" s="215"/>
      <c r="E470" s="215"/>
      <c r="F470" s="215"/>
      <c r="G470" s="215"/>
      <c r="H470" s="215"/>
      <c r="I470" s="215"/>
      <c r="J470" s="215"/>
      <c r="K470" s="215"/>
      <c r="L470" s="215"/>
      <c r="M470" s="215"/>
      <c r="N470" s="215"/>
      <c r="O470" s="215"/>
      <c r="P470" s="215"/>
      <c r="Q470" s="215"/>
      <c r="R470" s="215"/>
      <c r="S470" s="215"/>
      <c r="T470" s="215"/>
      <c r="U470" s="215"/>
      <c r="V470" s="215"/>
      <c r="W470" s="215"/>
      <c r="X470" s="215"/>
      <c r="AD470" s="196"/>
    </row>
    <row r="471" spans="3:30" s="195" customFormat="1" ht="15">
      <c r="C471" s="215"/>
      <c r="D471" s="215"/>
      <c r="E471" s="215"/>
      <c r="F471" s="215"/>
      <c r="G471" s="215"/>
      <c r="H471" s="215"/>
      <c r="I471" s="215"/>
      <c r="J471" s="215"/>
      <c r="K471" s="215"/>
      <c r="L471" s="215"/>
      <c r="M471" s="215"/>
      <c r="N471" s="215"/>
      <c r="O471" s="215"/>
      <c r="P471" s="215"/>
      <c r="Q471" s="215"/>
      <c r="R471" s="215"/>
      <c r="S471" s="215"/>
      <c r="T471" s="215"/>
      <c r="U471" s="215"/>
      <c r="V471" s="215"/>
      <c r="W471" s="215"/>
      <c r="X471" s="215"/>
      <c r="AD471" s="196"/>
    </row>
    <row r="472" spans="3:30" s="195" customFormat="1" ht="15">
      <c r="C472" s="215"/>
      <c r="D472" s="215"/>
      <c r="E472" s="215"/>
      <c r="F472" s="215"/>
      <c r="G472" s="215"/>
      <c r="H472" s="215"/>
      <c r="I472" s="215"/>
      <c r="J472" s="215"/>
      <c r="K472" s="215"/>
      <c r="L472" s="215"/>
      <c r="M472" s="215"/>
      <c r="N472" s="215"/>
      <c r="O472" s="215"/>
      <c r="P472" s="215"/>
      <c r="Q472" s="215"/>
      <c r="R472" s="215"/>
      <c r="S472" s="215"/>
      <c r="T472" s="215"/>
      <c r="U472" s="215"/>
      <c r="V472" s="215"/>
      <c r="W472" s="215"/>
      <c r="X472" s="215"/>
      <c r="AD472" s="196"/>
    </row>
    <row r="473" spans="3:30" s="195" customFormat="1" ht="15">
      <c r="C473" s="215"/>
      <c r="D473" s="215"/>
      <c r="E473" s="215"/>
      <c r="F473" s="215"/>
      <c r="G473" s="215"/>
      <c r="H473" s="215"/>
      <c r="I473" s="215"/>
      <c r="J473" s="215"/>
      <c r="K473" s="215"/>
      <c r="L473" s="215"/>
      <c r="M473" s="215"/>
      <c r="N473" s="215"/>
      <c r="O473" s="215"/>
      <c r="P473" s="215"/>
      <c r="Q473" s="215"/>
      <c r="R473" s="215"/>
      <c r="S473" s="215"/>
      <c r="T473" s="215"/>
      <c r="U473" s="215"/>
      <c r="V473" s="215"/>
      <c r="W473" s="215"/>
      <c r="X473" s="215"/>
      <c r="AD473" s="196"/>
    </row>
    <row r="474" spans="3:30" s="195" customFormat="1" ht="15">
      <c r="C474" s="215"/>
      <c r="D474" s="215"/>
      <c r="E474" s="215"/>
      <c r="F474" s="215"/>
      <c r="G474" s="215"/>
      <c r="H474" s="215"/>
      <c r="I474" s="215"/>
      <c r="J474" s="215"/>
      <c r="K474" s="215"/>
      <c r="L474" s="215"/>
      <c r="M474" s="215"/>
      <c r="N474" s="215"/>
      <c r="O474" s="215"/>
      <c r="P474" s="215"/>
      <c r="Q474" s="215"/>
      <c r="R474" s="215"/>
      <c r="S474" s="215"/>
      <c r="T474" s="215"/>
      <c r="U474" s="215"/>
      <c r="V474" s="215"/>
      <c r="W474" s="215"/>
      <c r="X474" s="215"/>
      <c r="AD474" s="196"/>
    </row>
    <row r="475" spans="3:30" s="195" customFormat="1" ht="15">
      <c r="C475" s="215"/>
      <c r="D475" s="215"/>
      <c r="E475" s="215"/>
      <c r="F475" s="215"/>
      <c r="G475" s="215"/>
      <c r="H475" s="215"/>
      <c r="I475" s="215"/>
      <c r="J475" s="215"/>
      <c r="K475" s="215"/>
      <c r="L475" s="215"/>
      <c r="M475" s="215"/>
      <c r="N475" s="215"/>
      <c r="O475" s="215"/>
      <c r="P475" s="215"/>
      <c r="Q475" s="215"/>
      <c r="R475" s="215"/>
      <c r="S475" s="215"/>
      <c r="T475" s="215"/>
      <c r="U475" s="215"/>
      <c r="V475" s="215"/>
      <c r="W475" s="215"/>
      <c r="X475" s="215"/>
      <c r="AD475" s="196"/>
    </row>
    <row r="476" spans="3:30" s="195" customFormat="1" ht="15">
      <c r="C476" s="215"/>
      <c r="D476" s="215"/>
      <c r="E476" s="215"/>
      <c r="F476" s="215"/>
      <c r="G476" s="215"/>
      <c r="H476" s="215"/>
      <c r="I476" s="215"/>
      <c r="J476" s="215"/>
      <c r="K476" s="215"/>
      <c r="L476" s="215"/>
      <c r="M476" s="215"/>
      <c r="N476" s="215"/>
      <c r="O476" s="215"/>
      <c r="P476" s="215"/>
      <c r="Q476" s="215"/>
      <c r="R476" s="215"/>
      <c r="S476" s="215"/>
      <c r="T476" s="215"/>
      <c r="U476" s="215"/>
      <c r="V476" s="215"/>
      <c r="W476" s="215"/>
      <c r="X476" s="215"/>
      <c r="AD476" s="196"/>
    </row>
    <row r="477" spans="3:30" s="195" customFormat="1" ht="15">
      <c r="C477" s="215"/>
      <c r="D477" s="215"/>
      <c r="E477" s="215"/>
      <c r="F477" s="215"/>
      <c r="G477" s="215"/>
      <c r="H477" s="215"/>
      <c r="I477" s="215"/>
      <c r="J477" s="215"/>
      <c r="K477" s="215"/>
      <c r="L477" s="215"/>
      <c r="M477" s="215"/>
      <c r="N477" s="215"/>
      <c r="O477" s="215"/>
      <c r="P477" s="215"/>
      <c r="Q477" s="215"/>
      <c r="R477" s="215"/>
      <c r="S477" s="215"/>
      <c r="T477" s="215"/>
      <c r="U477" s="215"/>
      <c r="V477" s="215"/>
      <c r="W477" s="215"/>
      <c r="X477" s="215"/>
      <c r="AD477" s="196"/>
    </row>
    <row r="478" spans="3:30" s="195" customFormat="1" ht="15">
      <c r="C478" s="215"/>
      <c r="D478" s="215"/>
      <c r="E478" s="215"/>
      <c r="F478" s="215"/>
      <c r="G478" s="215"/>
      <c r="H478" s="215"/>
      <c r="I478" s="215"/>
      <c r="J478" s="215"/>
      <c r="K478" s="215"/>
      <c r="L478" s="215"/>
      <c r="M478" s="215"/>
      <c r="N478" s="215"/>
      <c r="O478" s="215"/>
      <c r="P478" s="215"/>
      <c r="Q478" s="215"/>
      <c r="R478" s="215"/>
      <c r="S478" s="215"/>
      <c r="T478" s="215"/>
      <c r="U478" s="215"/>
      <c r="V478" s="215"/>
      <c r="W478" s="215"/>
      <c r="X478" s="215"/>
      <c r="AD478" s="196"/>
    </row>
    <row r="479" spans="3:30" s="195" customFormat="1" ht="15">
      <c r="C479" s="215"/>
      <c r="D479" s="215"/>
      <c r="E479" s="215"/>
      <c r="F479" s="215"/>
      <c r="G479" s="215"/>
      <c r="H479" s="215"/>
      <c r="I479" s="215"/>
      <c r="J479" s="215"/>
      <c r="K479" s="215"/>
      <c r="L479" s="215"/>
      <c r="M479" s="215"/>
      <c r="N479" s="215"/>
      <c r="O479" s="215"/>
      <c r="P479" s="215"/>
      <c r="Q479" s="215"/>
      <c r="R479" s="215"/>
      <c r="S479" s="215"/>
      <c r="T479" s="215"/>
      <c r="U479" s="215"/>
      <c r="V479" s="215"/>
      <c r="W479" s="215"/>
      <c r="X479" s="215"/>
      <c r="AD479" s="196"/>
    </row>
    <row r="480" spans="3:30" s="195" customFormat="1" ht="15">
      <c r="C480" s="215"/>
      <c r="D480" s="215"/>
      <c r="E480" s="215"/>
      <c r="F480" s="215"/>
      <c r="G480" s="215"/>
      <c r="H480" s="215"/>
      <c r="I480" s="215"/>
      <c r="J480" s="215"/>
      <c r="K480" s="215"/>
      <c r="L480" s="215"/>
      <c r="M480" s="215"/>
      <c r="N480" s="215"/>
      <c r="O480" s="215"/>
      <c r="P480" s="215"/>
      <c r="Q480" s="215"/>
      <c r="R480" s="215"/>
      <c r="S480" s="215"/>
      <c r="T480" s="215"/>
      <c r="U480" s="215"/>
      <c r="V480" s="215"/>
      <c r="W480" s="215"/>
      <c r="X480" s="215"/>
      <c r="AD480" s="196"/>
    </row>
    <row r="481" spans="3:30" s="195" customFormat="1" ht="15">
      <c r="C481" s="215"/>
      <c r="D481" s="215"/>
      <c r="E481" s="215"/>
      <c r="F481" s="215"/>
      <c r="G481" s="215"/>
      <c r="H481" s="215"/>
      <c r="I481" s="215"/>
      <c r="J481" s="215"/>
      <c r="K481" s="215"/>
      <c r="L481" s="215"/>
      <c r="M481" s="215"/>
      <c r="N481" s="215"/>
      <c r="O481" s="215"/>
      <c r="P481" s="215"/>
      <c r="Q481" s="215"/>
      <c r="R481" s="215"/>
      <c r="S481" s="215"/>
      <c r="T481" s="215"/>
      <c r="U481" s="215"/>
      <c r="V481" s="215"/>
      <c r="W481" s="215"/>
      <c r="X481" s="215"/>
      <c r="AD481" s="196"/>
    </row>
    <row r="482" spans="3:30" s="195" customFormat="1" ht="15">
      <c r="C482" s="215"/>
      <c r="D482" s="215"/>
      <c r="E482" s="215"/>
      <c r="F482" s="215"/>
      <c r="G482" s="215"/>
      <c r="H482" s="215"/>
      <c r="I482" s="215"/>
      <c r="J482" s="215"/>
      <c r="K482" s="215"/>
      <c r="L482" s="215"/>
      <c r="M482" s="215"/>
      <c r="N482" s="215"/>
      <c r="O482" s="215"/>
      <c r="P482" s="215"/>
      <c r="Q482" s="215"/>
      <c r="R482" s="215"/>
      <c r="S482" s="215"/>
      <c r="T482" s="215"/>
      <c r="U482" s="215"/>
      <c r="V482" s="215"/>
      <c r="W482" s="215"/>
      <c r="X482" s="215"/>
      <c r="AD482" s="196"/>
    </row>
    <row r="483" spans="3:30" s="195" customFormat="1" ht="15">
      <c r="C483" s="215"/>
      <c r="D483" s="215"/>
      <c r="E483" s="215"/>
      <c r="F483" s="215"/>
      <c r="G483" s="215"/>
      <c r="H483" s="215"/>
      <c r="I483" s="215"/>
      <c r="J483" s="215"/>
      <c r="K483" s="215"/>
      <c r="L483" s="215"/>
      <c r="M483" s="215"/>
      <c r="N483" s="215"/>
      <c r="O483" s="215"/>
      <c r="P483" s="215"/>
      <c r="Q483" s="215"/>
      <c r="R483" s="215"/>
      <c r="S483" s="215"/>
      <c r="T483" s="215"/>
      <c r="U483" s="215"/>
      <c r="V483" s="215"/>
      <c r="W483" s="215"/>
      <c r="X483" s="215"/>
      <c r="AD483" s="196"/>
    </row>
    <row r="484" spans="3:30" s="195" customFormat="1" ht="15">
      <c r="C484" s="215"/>
      <c r="D484" s="215"/>
      <c r="E484" s="215"/>
      <c r="F484" s="215"/>
      <c r="G484" s="215"/>
      <c r="H484" s="215"/>
      <c r="I484" s="215"/>
      <c r="J484" s="215"/>
      <c r="K484" s="215"/>
      <c r="L484" s="215"/>
      <c r="M484" s="215"/>
      <c r="N484" s="215"/>
      <c r="O484" s="215"/>
      <c r="P484" s="215"/>
      <c r="Q484" s="215"/>
      <c r="R484" s="215"/>
      <c r="S484" s="215"/>
      <c r="T484" s="215"/>
      <c r="U484" s="215"/>
      <c r="V484" s="215"/>
      <c r="W484" s="215"/>
      <c r="X484" s="215"/>
      <c r="AD484" s="196"/>
    </row>
    <row r="485" spans="3:30" s="195" customFormat="1" ht="15">
      <c r="C485" s="215"/>
      <c r="D485" s="215"/>
      <c r="E485" s="215"/>
      <c r="F485" s="215"/>
      <c r="G485" s="215"/>
      <c r="H485" s="215"/>
      <c r="I485" s="215"/>
      <c r="J485" s="215"/>
      <c r="K485" s="215"/>
      <c r="L485" s="215"/>
      <c r="M485" s="215"/>
      <c r="N485" s="215"/>
      <c r="O485" s="215"/>
      <c r="P485" s="215"/>
      <c r="Q485" s="215"/>
      <c r="R485" s="215"/>
      <c r="S485" s="215"/>
      <c r="T485" s="215"/>
      <c r="U485" s="215"/>
      <c r="V485" s="215"/>
      <c r="W485" s="215"/>
      <c r="X485" s="215"/>
      <c r="AD485" s="196"/>
    </row>
    <row r="486" spans="3:30" s="195" customFormat="1" ht="15">
      <c r="C486" s="215"/>
      <c r="D486" s="215"/>
      <c r="E486" s="215"/>
      <c r="F486" s="215"/>
      <c r="G486" s="215"/>
      <c r="H486" s="215"/>
      <c r="I486" s="215"/>
      <c r="J486" s="215"/>
      <c r="K486" s="215"/>
      <c r="L486" s="215"/>
      <c r="M486" s="215"/>
      <c r="N486" s="215"/>
      <c r="O486" s="215"/>
      <c r="P486" s="215"/>
      <c r="Q486" s="215"/>
      <c r="R486" s="215"/>
      <c r="S486" s="215"/>
      <c r="T486" s="215"/>
      <c r="U486" s="215"/>
      <c r="V486" s="215"/>
      <c r="W486" s="215"/>
      <c r="X486" s="215"/>
      <c r="AD486" s="196"/>
    </row>
    <row r="487" spans="3:30" s="195" customFormat="1" ht="15">
      <c r="C487" s="215"/>
      <c r="D487" s="215"/>
      <c r="E487" s="215"/>
      <c r="F487" s="215"/>
      <c r="G487" s="215"/>
      <c r="H487" s="215"/>
      <c r="I487" s="215"/>
      <c r="J487" s="215"/>
      <c r="K487" s="215"/>
      <c r="L487" s="215"/>
      <c r="M487" s="215"/>
      <c r="N487" s="215"/>
      <c r="O487" s="215"/>
      <c r="P487" s="215"/>
      <c r="Q487" s="215"/>
      <c r="R487" s="215"/>
      <c r="S487" s="215"/>
      <c r="T487" s="215"/>
      <c r="U487" s="215"/>
      <c r="V487" s="215"/>
      <c r="W487" s="215"/>
      <c r="X487" s="215"/>
      <c r="AD487" s="196"/>
    </row>
    <row r="488" spans="3:30" s="195" customFormat="1" ht="15">
      <c r="C488" s="215"/>
      <c r="D488" s="215"/>
      <c r="E488" s="215"/>
      <c r="F488" s="215"/>
      <c r="G488" s="215"/>
      <c r="H488" s="215"/>
      <c r="I488" s="215"/>
      <c r="J488" s="215"/>
      <c r="K488" s="215"/>
      <c r="L488" s="215"/>
      <c r="M488" s="215"/>
      <c r="N488" s="215"/>
      <c r="O488" s="215"/>
      <c r="P488" s="215"/>
      <c r="Q488" s="215"/>
      <c r="R488" s="215"/>
      <c r="S488" s="215"/>
      <c r="T488" s="215"/>
      <c r="U488" s="215"/>
      <c r="V488" s="215"/>
      <c r="W488" s="215"/>
      <c r="X488" s="215"/>
      <c r="AD488" s="196"/>
    </row>
    <row r="489" spans="3:30" s="195" customFormat="1" ht="15">
      <c r="C489" s="215"/>
      <c r="D489" s="215"/>
      <c r="E489" s="215"/>
      <c r="F489" s="215"/>
      <c r="G489" s="215"/>
      <c r="H489" s="215"/>
      <c r="I489" s="215"/>
      <c r="J489" s="215"/>
      <c r="K489" s="215"/>
      <c r="L489" s="215"/>
      <c r="M489" s="215"/>
      <c r="N489" s="215"/>
      <c r="O489" s="215"/>
      <c r="P489" s="215"/>
      <c r="Q489" s="215"/>
      <c r="R489" s="215"/>
      <c r="S489" s="215"/>
      <c r="T489" s="215"/>
      <c r="U489" s="215"/>
      <c r="V489" s="215"/>
      <c r="W489" s="215"/>
      <c r="X489" s="215"/>
      <c r="AD489" s="196"/>
    </row>
    <row r="490" spans="3:30" s="195" customFormat="1" ht="15">
      <c r="C490" s="215"/>
      <c r="D490" s="215"/>
      <c r="E490" s="215"/>
      <c r="F490" s="215"/>
      <c r="G490" s="215"/>
      <c r="H490" s="215"/>
      <c r="I490" s="215"/>
      <c r="J490" s="215"/>
      <c r="K490" s="215"/>
      <c r="L490" s="215"/>
      <c r="M490" s="215"/>
      <c r="N490" s="215"/>
      <c r="O490" s="215"/>
      <c r="P490" s="215"/>
      <c r="Q490" s="215"/>
      <c r="R490" s="215"/>
      <c r="S490" s="215"/>
      <c r="T490" s="215"/>
      <c r="U490" s="215"/>
      <c r="V490" s="215"/>
      <c r="W490" s="215"/>
      <c r="X490" s="215"/>
      <c r="AD490" s="196"/>
    </row>
    <row r="491" spans="3:30" s="195" customFormat="1" ht="15">
      <c r="C491" s="215"/>
      <c r="D491" s="215"/>
      <c r="E491" s="215"/>
      <c r="F491" s="215"/>
      <c r="G491" s="215"/>
      <c r="H491" s="215"/>
      <c r="I491" s="215"/>
      <c r="J491" s="215"/>
      <c r="K491" s="215"/>
      <c r="L491" s="215"/>
      <c r="M491" s="215"/>
      <c r="N491" s="215"/>
      <c r="O491" s="215"/>
      <c r="P491" s="215"/>
      <c r="Q491" s="215"/>
      <c r="R491" s="215"/>
      <c r="S491" s="215"/>
      <c r="T491" s="215"/>
      <c r="U491" s="215"/>
      <c r="V491" s="215"/>
      <c r="W491" s="215"/>
      <c r="X491" s="215"/>
      <c r="AD491" s="196"/>
    </row>
    <row r="492" spans="3:30" s="195" customFormat="1" ht="15">
      <c r="C492" s="215"/>
      <c r="D492" s="215"/>
      <c r="E492" s="215"/>
      <c r="F492" s="215"/>
      <c r="G492" s="215"/>
      <c r="H492" s="215"/>
      <c r="I492" s="215"/>
      <c r="J492" s="215"/>
      <c r="K492" s="215"/>
      <c r="L492" s="215"/>
      <c r="M492" s="215"/>
      <c r="N492" s="215"/>
      <c r="O492" s="215"/>
      <c r="P492" s="215"/>
      <c r="Q492" s="215"/>
      <c r="R492" s="215"/>
      <c r="S492" s="215"/>
      <c r="T492" s="215"/>
      <c r="U492" s="215"/>
      <c r="V492" s="215"/>
      <c r="W492" s="215"/>
      <c r="X492" s="215"/>
      <c r="AD492" s="196"/>
    </row>
    <row r="493" spans="3:30" s="195" customFormat="1" ht="15">
      <c r="C493" s="215"/>
      <c r="D493" s="215"/>
      <c r="E493" s="215"/>
      <c r="F493" s="215"/>
      <c r="G493" s="215"/>
      <c r="H493" s="215"/>
      <c r="I493" s="215"/>
      <c r="J493" s="215"/>
      <c r="K493" s="215"/>
      <c r="L493" s="215"/>
      <c r="M493" s="215"/>
      <c r="N493" s="215"/>
      <c r="O493" s="215"/>
      <c r="P493" s="215"/>
      <c r="Q493" s="215"/>
      <c r="R493" s="215"/>
      <c r="S493" s="215"/>
      <c r="T493" s="215"/>
      <c r="U493" s="215"/>
      <c r="V493" s="215"/>
      <c r="W493" s="215"/>
      <c r="X493" s="215"/>
      <c r="AD493" s="196"/>
    </row>
    <row r="494" spans="3:30" s="195" customFormat="1" ht="15">
      <c r="C494" s="215"/>
      <c r="D494" s="215"/>
      <c r="E494" s="215"/>
      <c r="F494" s="215"/>
      <c r="G494" s="215"/>
      <c r="H494" s="215"/>
      <c r="I494" s="215"/>
      <c r="J494" s="215"/>
      <c r="K494" s="215"/>
      <c r="L494" s="215"/>
      <c r="M494" s="215"/>
      <c r="N494" s="215"/>
      <c r="O494" s="215"/>
      <c r="P494" s="215"/>
      <c r="Q494" s="215"/>
      <c r="R494" s="215"/>
      <c r="S494" s="215"/>
      <c r="T494" s="215"/>
      <c r="U494" s="215"/>
      <c r="V494" s="215"/>
      <c r="W494" s="215"/>
      <c r="X494" s="215"/>
      <c r="AD494" s="196"/>
    </row>
    <row r="495" spans="3:30" s="195" customFormat="1" ht="15">
      <c r="C495" s="215"/>
      <c r="D495" s="215"/>
      <c r="E495" s="215"/>
      <c r="F495" s="215"/>
      <c r="G495" s="215"/>
      <c r="H495" s="215"/>
      <c r="I495" s="215"/>
      <c r="J495" s="215"/>
      <c r="K495" s="215"/>
      <c r="L495" s="215"/>
      <c r="M495" s="215"/>
      <c r="N495" s="215"/>
      <c r="O495" s="215"/>
      <c r="P495" s="215"/>
      <c r="Q495" s="215"/>
      <c r="R495" s="215"/>
      <c r="S495" s="215"/>
      <c r="T495" s="215"/>
      <c r="U495" s="215"/>
      <c r="V495" s="215"/>
      <c r="W495" s="215"/>
      <c r="X495" s="215"/>
      <c r="AD495" s="196"/>
    </row>
    <row r="496" spans="3:30" s="195" customFormat="1" ht="15">
      <c r="C496" s="215"/>
      <c r="D496" s="215"/>
      <c r="E496" s="215"/>
      <c r="F496" s="215"/>
      <c r="G496" s="215"/>
      <c r="H496" s="215"/>
      <c r="I496" s="215"/>
      <c r="J496" s="215"/>
      <c r="K496" s="215"/>
      <c r="L496" s="215"/>
      <c r="M496" s="215"/>
      <c r="N496" s="215"/>
      <c r="O496" s="215"/>
      <c r="P496" s="215"/>
      <c r="Q496" s="215"/>
      <c r="R496" s="215"/>
      <c r="S496" s="215"/>
      <c r="T496" s="215"/>
      <c r="U496" s="215"/>
      <c r="V496" s="215"/>
      <c r="W496" s="215"/>
      <c r="X496" s="215"/>
      <c r="AD496" s="196"/>
    </row>
    <row r="497" spans="3:30" s="195" customFormat="1" ht="15">
      <c r="C497" s="215"/>
      <c r="D497" s="215"/>
      <c r="E497" s="215"/>
      <c r="F497" s="215"/>
      <c r="G497" s="215"/>
      <c r="H497" s="215"/>
      <c r="I497" s="215"/>
      <c r="J497" s="215"/>
      <c r="K497" s="215"/>
      <c r="L497" s="215"/>
      <c r="M497" s="215"/>
      <c r="N497" s="215"/>
      <c r="O497" s="215"/>
      <c r="P497" s="215"/>
      <c r="Q497" s="215"/>
      <c r="R497" s="215"/>
      <c r="S497" s="215"/>
      <c r="T497" s="215"/>
      <c r="U497" s="215"/>
      <c r="V497" s="215"/>
      <c r="W497" s="215"/>
      <c r="X497" s="215"/>
      <c r="AD497" s="196"/>
    </row>
    <row r="498" spans="3:30" s="195" customFormat="1" ht="15">
      <c r="C498" s="215"/>
      <c r="D498" s="215"/>
      <c r="E498" s="215"/>
      <c r="F498" s="215"/>
      <c r="G498" s="215"/>
      <c r="H498" s="215"/>
      <c r="I498" s="215"/>
      <c r="J498" s="215"/>
      <c r="K498" s="215"/>
      <c r="L498" s="215"/>
      <c r="M498" s="215"/>
      <c r="N498" s="215"/>
      <c r="O498" s="215"/>
      <c r="P498" s="215"/>
      <c r="Q498" s="215"/>
      <c r="R498" s="215"/>
      <c r="S498" s="215"/>
      <c r="T498" s="215"/>
      <c r="U498" s="215"/>
      <c r="V498" s="215"/>
      <c r="W498" s="215"/>
      <c r="X498" s="215"/>
      <c r="AD498" s="196"/>
    </row>
    <row r="499" spans="3:30" s="195" customFormat="1" ht="15">
      <c r="C499" s="215"/>
      <c r="D499" s="215"/>
      <c r="E499" s="215"/>
      <c r="F499" s="215"/>
      <c r="G499" s="215"/>
      <c r="H499" s="215"/>
      <c r="I499" s="215"/>
      <c r="J499" s="215"/>
      <c r="K499" s="215"/>
      <c r="L499" s="215"/>
      <c r="M499" s="215"/>
      <c r="N499" s="215"/>
      <c r="O499" s="215"/>
      <c r="P499" s="215"/>
      <c r="Q499" s="215"/>
      <c r="R499" s="215"/>
      <c r="S499" s="215"/>
      <c r="T499" s="215"/>
      <c r="U499" s="215"/>
      <c r="V499" s="215"/>
      <c r="W499" s="215"/>
      <c r="X499" s="215"/>
      <c r="AD499" s="196"/>
    </row>
    <row r="500" spans="3:30" s="195" customFormat="1" ht="15">
      <c r="C500" s="215"/>
      <c r="D500" s="215"/>
      <c r="E500" s="215"/>
      <c r="F500" s="215"/>
      <c r="G500" s="215"/>
      <c r="H500" s="215"/>
      <c r="I500" s="215"/>
      <c r="J500" s="215"/>
      <c r="K500" s="215"/>
      <c r="L500" s="215"/>
      <c r="M500" s="215"/>
      <c r="N500" s="215"/>
      <c r="O500" s="215"/>
      <c r="P500" s="215"/>
      <c r="Q500" s="215"/>
      <c r="R500" s="215"/>
      <c r="S500" s="215"/>
      <c r="T500" s="215"/>
      <c r="U500" s="215"/>
      <c r="V500" s="215"/>
      <c r="W500" s="215"/>
      <c r="X500" s="215"/>
      <c r="AD500" s="196"/>
    </row>
    <row r="501" spans="3:30" s="195" customFormat="1" ht="15">
      <c r="C501" s="215"/>
      <c r="D501" s="215"/>
      <c r="E501" s="215"/>
      <c r="F501" s="215"/>
      <c r="G501" s="215"/>
      <c r="H501" s="215"/>
      <c r="I501" s="215"/>
      <c r="J501" s="215"/>
      <c r="K501" s="215"/>
      <c r="L501" s="215"/>
      <c r="M501" s="215"/>
      <c r="N501" s="215"/>
      <c r="O501" s="215"/>
      <c r="P501" s="215"/>
      <c r="Q501" s="215"/>
      <c r="R501" s="215"/>
      <c r="S501" s="215"/>
      <c r="T501" s="215"/>
      <c r="U501" s="215"/>
      <c r="V501" s="215"/>
      <c r="W501" s="215"/>
      <c r="X501" s="215"/>
      <c r="AD501" s="196"/>
    </row>
    <row r="502" spans="3:30" s="195" customFormat="1" ht="15">
      <c r="C502" s="215"/>
      <c r="D502" s="215"/>
      <c r="E502" s="215"/>
      <c r="F502" s="215"/>
      <c r="G502" s="215"/>
      <c r="H502" s="215"/>
      <c r="I502" s="215"/>
      <c r="J502" s="215"/>
      <c r="K502" s="215"/>
      <c r="L502" s="215"/>
      <c r="M502" s="215"/>
      <c r="N502" s="215"/>
      <c r="O502" s="215"/>
      <c r="P502" s="215"/>
      <c r="Q502" s="215"/>
      <c r="R502" s="215"/>
      <c r="S502" s="215"/>
      <c r="T502" s="215"/>
      <c r="U502" s="215"/>
      <c r="V502" s="215"/>
      <c r="W502" s="215"/>
      <c r="X502" s="215"/>
      <c r="AD502" s="196"/>
    </row>
    <row r="503" spans="3:30" s="195" customFormat="1" ht="15">
      <c r="C503" s="215"/>
      <c r="D503" s="215"/>
      <c r="E503" s="215"/>
      <c r="F503" s="215"/>
      <c r="G503" s="215"/>
      <c r="H503" s="215"/>
      <c r="I503" s="215"/>
      <c r="J503" s="215"/>
      <c r="K503" s="215"/>
      <c r="L503" s="215"/>
      <c r="M503" s="215"/>
      <c r="N503" s="215"/>
      <c r="O503" s="215"/>
      <c r="P503" s="215"/>
      <c r="Q503" s="215"/>
      <c r="R503" s="215"/>
      <c r="S503" s="215"/>
      <c r="T503" s="215"/>
      <c r="U503" s="215"/>
      <c r="V503" s="215"/>
      <c r="W503" s="215"/>
      <c r="X503" s="215"/>
      <c r="AD503" s="196"/>
    </row>
    <row r="504" spans="3:30" s="195" customFormat="1" ht="15">
      <c r="C504" s="215"/>
      <c r="D504" s="215"/>
      <c r="E504" s="215"/>
      <c r="F504" s="215"/>
      <c r="G504" s="215"/>
      <c r="H504" s="215"/>
      <c r="I504" s="215"/>
      <c r="J504" s="215"/>
      <c r="K504" s="215"/>
      <c r="L504" s="215"/>
      <c r="M504" s="215"/>
      <c r="N504" s="215"/>
      <c r="O504" s="215"/>
      <c r="P504" s="215"/>
      <c r="Q504" s="215"/>
      <c r="R504" s="215"/>
      <c r="S504" s="215"/>
      <c r="T504" s="215"/>
      <c r="U504" s="215"/>
      <c r="V504" s="215"/>
      <c r="W504" s="215"/>
      <c r="X504" s="215"/>
      <c r="AD504" s="196"/>
    </row>
    <row r="505" spans="3:30" s="195" customFormat="1" ht="15">
      <c r="C505" s="215"/>
      <c r="D505" s="215"/>
      <c r="E505" s="215"/>
      <c r="F505" s="215"/>
      <c r="G505" s="215"/>
      <c r="H505" s="215"/>
      <c r="I505" s="215"/>
      <c r="J505" s="215"/>
      <c r="K505" s="215"/>
      <c r="L505" s="215"/>
      <c r="M505" s="215"/>
      <c r="N505" s="215"/>
      <c r="O505" s="215"/>
      <c r="P505" s="215"/>
      <c r="Q505" s="215"/>
      <c r="R505" s="215"/>
      <c r="S505" s="215"/>
      <c r="T505" s="215"/>
      <c r="U505" s="215"/>
      <c r="V505" s="215"/>
      <c r="W505" s="215"/>
      <c r="X505" s="215"/>
      <c r="AD505" s="196"/>
    </row>
    <row r="506" spans="3:30" s="195" customFormat="1" ht="15">
      <c r="C506" s="215"/>
      <c r="D506" s="215"/>
      <c r="E506" s="215"/>
      <c r="F506" s="215"/>
      <c r="G506" s="215"/>
      <c r="H506" s="215"/>
      <c r="I506" s="215"/>
      <c r="J506" s="215"/>
      <c r="K506" s="215"/>
      <c r="L506" s="215"/>
      <c r="M506" s="215"/>
      <c r="N506" s="215"/>
      <c r="O506" s="215"/>
      <c r="P506" s="215"/>
      <c r="Q506" s="215"/>
      <c r="R506" s="215"/>
      <c r="S506" s="215"/>
      <c r="T506" s="215"/>
      <c r="U506" s="215"/>
      <c r="V506" s="215"/>
      <c r="W506" s="215"/>
      <c r="X506" s="215"/>
      <c r="AD506" s="196"/>
    </row>
    <row r="507" spans="3:30" s="195" customFormat="1" ht="15">
      <c r="C507" s="215"/>
      <c r="D507" s="215"/>
      <c r="E507" s="215"/>
      <c r="F507" s="215"/>
      <c r="G507" s="215"/>
      <c r="H507" s="215"/>
      <c r="I507" s="215"/>
      <c r="J507" s="215"/>
      <c r="K507" s="215"/>
      <c r="L507" s="215"/>
      <c r="M507" s="215"/>
      <c r="N507" s="215"/>
      <c r="O507" s="215"/>
      <c r="P507" s="215"/>
      <c r="Q507" s="215"/>
      <c r="R507" s="215"/>
      <c r="S507" s="215"/>
      <c r="T507" s="215"/>
      <c r="U507" s="215"/>
      <c r="V507" s="215"/>
      <c r="W507" s="215"/>
      <c r="X507" s="215"/>
      <c r="AD507" s="196"/>
    </row>
    <row r="508" spans="3:30" s="195" customFormat="1" ht="15">
      <c r="C508" s="215"/>
      <c r="D508" s="215"/>
      <c r="E508" s="215"/>
      <c r="F508" s="215"/>
      <c r="G508" s="215"/>
      <c r="H508" s="215"/>
      <c r="I508" s="215"/>
      <c r="J508" s="215"/>
      <c r="K508" s="215"/>
      <c r="L508" s="215"/>
      <c r="M508" s="215"/>
      <c r="N508" s="215"/>
      <c r="O508" s="215"/>
      <c r="P508" s="215"/>
      <c r="Q508" s="215"/>
      <c r="R508" s="215"/>
      <c r="S508" s="215"/>
      <c r="T508" s="215"/>
      <c r="U508" s="215"/>
      <c r="V508" s="215"/>
      <c r="W508" s="215"/>
      <c r="X508" s="215"/>
      <c r="AD508" s="196"/>
    </row>
    <row r="509" spans="3:30" s="195" customFormat="1" ht="15">
      <c r="C509" s="215"/>
      <c r="D509" s="215"/>
      <c r="E509" s="215"/>
      <c r="F509" s="215"/>
      <c r="G509" s="215"/>
      <c r="H509" s="215"/>
      <c r="I509" s="215"/>
      <c r="J509" s="215"/>
      <c r="K509" s="215"/>
      <c r="L509" s="215"/>
      <c r="M509" s="215"/>
      <c r="N509" s="215"/>
      <c r="O509" s="215"/>
      <c r="P509" s="215"/>
      <c r="Q509" s="215"/>
      <c r="R509" s="215"/>
      <c r="S509" s="215"/>
      <c r="T509" s="215"/>
      <c r="U509" s="215"/>
      <c r="V509" s="215"/>
      <c r="W509" s="215"/>
      <c r="X509" s="215"/>
      <c r="AD509" s="196"/>
    </row>
    <row r="510" spans="3:30" s="195" customFormat="1" ht="15">
      <c r="C510" s="215"/>
      <c r="D510" s="215"/>
      <c r="E510" s="215"/>
      <c r="F510" s="215"/>
      <c r="G510" s="215"/>
      <c r="H510" s="215"/>
      <c r="I510" s="215"/>
      <c r="J510" s="215"/>
      <c r="K510" s="215"/>
      <c r="L510" s="215"/>
      <c r="M510" s="215"/>
      <c r="N510" s="215"/>
      <c r="O510" s="215"/>
      <c r="P510" s="215"/>
      <c r="Q510" s="215"/>
      <c r="R510" s="215"/>
      <c r="S510" s="215"/>
      <c r="T510" s="215"/>
      <c r="U510" s="215"/>
      <c r="V510" s="215"/>
      <c r="W510" s="215"/>
      <c r="X510" s="215"/>
      <c r="AD510" s="196"/>
    </row>
    <row r="511" spans="3:30" s="195" customFormat="1" ht="15">
      <c r="C511" s="215"/>
      <c r="D511" s="215"/>
      <c r="E511" s="215"/>
      <c r="F511" s="215"/>
      <c r="G511" s="215"/>
      <c r="H511" s="215"/>
      <c r="I511" s="215"/>
      <c r="J511" s="215"/>
      <c r="K511" s="215"/>
      <c r="L511" s="215"/>
      <c r="M511" s="215"/>
      <c r="N511" s="215"/>
      <c r="O511" s="215"/>
      <c r="P511" s="215"/>
      <c r="Q511" s="215"/>
      <c r="R511" s="215"/>
      <c r="S511" s="215"/>
      <c r="T511" s="215"/>
      <c r="U511" s="215"/>
      <c r="V511" s="215"/>
      <c r="W511" s="215"/>
      <c r="X511" s="215"/>
      <c r="AD511" s="196"/>
    </row>
    <row r="512" spans="3:30" s="195" customFormat="1" ht="15">
      <c r="C512" s="215"/>
      <c r="D512" s="215"/>
      <c r="E512" s="215"/>
      <c r="F512" s="215"/>
      <c r="G512" s="215"/>
      <c r="H512" s="215"/>
      <c r="I512" s="215"/>
      <c r="J512" s="215"/>
      <c r="K512" s="215"/>
      <c r="L512" s="215"/>
      <c r="M512" s="215"/>
      <c r="N512" s="215"/>
      <c r="O512" s="215"/>
      <c r="P512" s="215"/>
      <c r="Q512" s="215"/>
      <c r="R512" s="215"/>
      <c r="S512" s="215"/>
      <c r="T512" s="215"/>
      <c r="U512" s="215"/>
      <c r="V512" s="215"/>
      <c r="W512" s="215"/>
      <c r="X512" s="215"/>
      <c r="AD512" s="196"/>
    </row>
    <row r="513" spans="3:30" s="195" customFormat="1" ht="15">
      <c r="C513" s="215"/>
      <c r="D513" s="215"/>
      <c r="E513" s="215"/>
      <c r="F513" s="215"/>
      <c r="G513" s="215"/>
      <c r="H513" s="215"/>
      <c r="I513" s="215"/>
      <c r="J513" s="215"/>
      <c r="K513" s="215"/>
      <c r="L513" s="215"/>
      <c r="M513" s="215"/>
      <c r="N513" s="215"/>
      <c r="O513" s="215"/>
      <c r="P513" s="215"/>
      <c r="Q513" s="215"/>
      <c r="R513" s="215"/>
      <c r="S513" s="215"/>
      <c r="T513" s="215"/>
      <c r="U513" s="215"/>
      <c r="V513" s="215"/>
      <c r="W513" s="215"/>
      <c r="X513" s="215"/>
      <c r="AD513" s="196"/>
    </row>
    <row r="514" spans="3:30" s="195" customFormat="1" ht="15">
      <c r="C514" s="215"/>
      <c r="D514" s="215"/>
      <c r="E514" s="215"/>
      <c r="F514" s="215"/>
      <c r="G514" s="215"/>
      <c r="H514" s="215"/>
      <c r="I514" s="215"/>
      <c r="J514" s="215"/>
      <c r="K514" s="215"/>
      <c r="L514" s="215"/>
      <c r="M514" s="215"/>
      <c r="N514" s="215"/>
      <c r="O514" s="215"/>
      <c r="P514" s="215"/>
      <c r="Q514" s="215"/>
      <c r="R514" s="215"/>
      <c r="S514" s="215"/>
      <c r="T514" s="215"/>
      <c r="U514" s="215"/>
      <c r="V514" s="215"/>
      <c r="W514" s="215"/>
      <c r="X514" s="215"/>
      <c r="AD514" s="196"/>
    </row>
    <row r="515" spans="3:30" s="195" customFormat="1" ht="15">
      <c r="C515" s="215"/>
      <c r="D515" s="215"/>
      <c r="E515" s="215"/>
      <c r="F515" s="215"/>
      <c r="G515" s="215"/>
      <c r="H515" s="215"/>
      <c r="I515" s="215"/>
      <c r="J515" s="215"/>
      <c r="K515" s="215"/>
      <c r="L515" s="215"/>
      <c r="M515" s="215"/>
      <c r="N515" s="215"/>
      <c r="O515" s="215"/>
      <c r="P515" s="215"/>
      <c r="Q515" s="215"/>
      <c r="R515" s="215"/>
      <c r="S515" s="215"/>
      <c r="T515" s="215"/>
      <c r="U515" s="215"/>
      <c r="V515" s="215"/>
      <c r="W515" s="215"/>
      <c r="X515" s="215"/>
      <c r="AD515" s="196"/>
    </row>
    <row r="516" spans="3:30" s="195" customFormat="1" ht="15">
      <c r="C516" s="215"/>
      <c r="D516" s="215"/>
      <c r="E516" s="215"/>
      <c r="F516" s="215"/>
      <c r="G516" s="215"/>
      <c r="H516" s="215"/>
      <c r="I516" s="215"/>
      <c r="J516" s="215"/>
      <c r="K516" s="215"/>
      <c r="L516" s="215"/>
      <c r="M516" s="215"/>
      <c r="N516" s="215"/>
      <c r="O516" s="215"/>
      <c r="P516" s="215"/>
      <c r="Q516" s="215"/>
      <c r="R516" s="215"/>
      <c r="S516" s="215"/>
      <c r="T516" s="215"/>
      <c r="U516" s="215"/>
      <c r="V516" s="215"/>
      <c r="W516" s="215"/>
      <c r="X516" s="215"/>
      <c r="AD516" s="196"/>
    </row>
    <row r="517" spans="3:30" s="195" customFormat="1" ht="15">
      <c r="C517" s="215"/>
      <c r="D517" s="215"/>
      <c r="E517" s="215"/>
      <c r="F517" s="215"/>
      <c r="G517" s="215"/>
      <c r="H517" s="215"/>
      <c r="I517" s="215"/>
      <c r="J517" s="215"/>
      <c r="K517" s="215"/>
      <c r="L517" s="215"/>
      <c r="M517" s="215"/>
      <c r="N517" s="215"/>
      <c r="O517" s="215"/>
      <c r="P517" s="215"/>
      <c r="Q517" s="215"/>
      <c r="R517" s="215"/>
      <c r="S517" s="215"/>
      <c r="T517" s="215"/>
      <c r="U517" s="215"/>
      <c r="V517" s="215"/>
      <c r="W517" s="215"/>
      <c r="X517" s="215"/>
      <c r="AD517" s="196"/>
    </row>
    <row r="518" spans="3:30" s="195" customFormat="1" ht="15">
      <c r="C518" s="215"/>
      <c r="D518" s="215"/>
      <c r="E518" s="215"/>
      <c r="F518" s="215"/>
      <c r="G518" s="215"/>
      <c r="H518" s="215"/>
      <c r="I518" s="215"/>
      <c r="J518" s="215"/>
      <c r="K518" s="215"/>
      <c r="L518" s="215"/>
      <c r="M518" s="215"/>
      <c r="N518" s="215"/>
      <c r="O518" s="215"/>
      <c r="P518" s="215"/>
      <c r="Q518" s="215"/>
      <c r="R518" s="215"/>
      <c r="S518" s="215"/>
      <c r="T518" s="215"/>
      <c r="U518" s="215"/>
      <c r="V518" s="215"/>
      <c r="W518" s="215"/>
      <c r="X518" s="215"/>
      <c r="AD518" s="196"/>
    </row>
    <row r="519" spans="3:30" s="195" customFormat="1" ht="15">
      <c r="C519" s="215"/>
      <c r="D519" s="215"/>
      <c r="E519" s="215"/>
      <c r="F519" s="215"/>
      <c r="G519" s="215"/>
      <c r="H519" s="215"/>
      <c r="I519" s="215"/>
      <c r="J519" s="215"/>
      <c r="K519" s="215"/>
      <c r="L519" s="215"/>
      <c r="M519" s="215"/>
      <c r="N519" s="215"/>
      <c r="O519" s="215"/>
      <c r="P519" s="215"/>
      <c r="Q519" s="215"/>
      <c r="R519" s="215"/>
      <c r="S519" s="215"/>
      <c r="T519" s="215"/>
      <c r="U519" s="215"/>
      <c r="V519" s="215"/>
      <c r="W519" s="215"/>
      <c r="X519" s="215"/>
      <c r="AD519" s="196"/>
    </row>
    <row r="520" spans="3:30" s="195" customFormat="1" ht="15">
      <c r="C520" s="215"/>
      <c r="D520" s="215"/>
      <c r="E520" s="215"/>
      <c r="F520" s="215"/>
      <c r="G520" s="215"/>
      <c r="H520" s="215"/>
      <c r="I520" s="215"/>
      <c r="J520" s="215"/>
      <c r="K520" s="215"/>
      <c r="L520" s="215"/>
      <c r="M520" s="215"/>
      <c r="N520" s="215"/>
      <c r="O520" s="215"/>
      <c r="P520" s="215"/>
      <c r="Q520" s="215"/>
      <c r="R520" s="215"/>
      <c r="S520" s="215"/>
      <c r="T520" s="215"/>
      <c r="U520" s="215"/>
      <c r="V520" s="215"/>
      <c r="W520" s="215"/>
      <c r="X520" s="215"/>
      <c r="AD520" s="196"/>
    </row>
    <row r="521" spans="3:30" s="195" customFormat="1" ht="15">
      <c r="C521" s="215"/>
      <c r="D521" s="215"/>
      <c r="E521" s="215"/>
      <c r="F521" s="215"/>
      <c r="G521" s="215"/>
      <c r="H521" s="215"/>
      <c r="I521" s="215"/>
      <c r="J521" s="215"/>
      <c r="K521" s="215"/>
      <c r="L521" s="215"/>
      <c r="M521" s="215"/>
      <c r="N521" s="215"/>
      <c r="O521" s="215"/>
      <c r="P521" s="215"/>
      <c r="Q521" s="215"/>
      <c r="R521" s="215"/>
      <c r="S521" s="215"/>
      <c r="T521" s="215"/>
      <c r="U521" s="215"/>
      <c r="V521" s="215"/>
      <c r="W521" s="215"/>
      <c r="X521" s="215"/>
      <c r="AD521" s="196"/>
    </row>
    <row r="522" spans="3:30" s="195" customFormat="1" ht="15">
      <c r="C522" s="215"/>
      <c r="D522" s="215"/>
      <c r="E522" s="215"/>
      <c r="F522" s="215"/>
      <c r="G522" s="215"/>
      <c r="H522" s="215"/>
      <c r="I522" s="215"/>
      <c r="J522" s="215"/>
      <c r="K522" s="215"/>
      <c r="L522" s="215"/>
      <c r="M522" s="215"/>
      <c r="N522" s="215"/>
      <c r="O522" s="215"/>
      <c r="P522" s="215"/>
      <c r="Q522" s="215"/>
      <c r="R522" s="215"/>
      <c r="S522" s="215"/>
      <c r="T522" s="215"/>
      <c r="U522" s="215"/>
      <c r="V522" s="215"/>
      <c r="W522" s="215"/>
      <c r="X522" s="215"/>
      <c r="AD522" s="196"/>
    </row>
    <row r="523" spans="3:30" s="195" customFormat="1" ht="15">
      <c r="C523" s="215"/>
      <c r="D523" s="215"/>
      <c r="E523" s="215"/>
      <c r="F523" s="215"/>
      <c r="G523" s="215"/>
      <c r="H523" s="215"/>
      <c r="I523" s="215"/>
      <c r="J523" s="215"/>
      <c r="K523" s="215"/>
      <c r="L523" s="215"/>
      <c r="M523" s="215"/>
      <c r="N523" s="215"/>
      <c r="O523" s="215"/>
      <c r="P523" s="215"/>
      <c r="Q523" s="215"/>
      <c r="R523" s="215"/>
      <c r="S523" s="215"/>
      <c r="T523" s="215"/>
      <c r="U523" s="215"/>
      <c r="V523" s="215"/>
      <c r="W523" s="215"/>
      <c r="X523" s="215"/>
      <c r="AD523" s="196"/>
    </row>
    <row r="524" spans="3:30" s="195" customFormat="1" ht="15">
      <c r="C524" s="215"/>
      <c r="D524" s="215"/>
      <c r="E524" s="215"/>
      <c r="F524" s="215"/>
      <c r="G524" s="215"/>
      <c r="H524" s="215"/>
      <c r="I524" s="215"/>
      <c r="J524" s="215"/>
      <c r="K524" s="215"/>
      <c r="L524" s="215"/>
      <c r="M524" s="215"/>
      <c r="N524" s="215"/>
      <c r="O524" s="215"/>
      <c r="P524" s="215"/>
      <c r="Q524" s="215"/>
      <c r="R524" s="215"/>
      <c r="S524" s="215"/>
      <c r="T524" s="215"/>
      <c r="U524" s="215"/>
      <c r="V524" s="215"/>
      <c r="W524" s="215"/>
      <c r="X524" s="215"/>
      <c r="AD524" s="196"/>
    </row>
    <row r="525" spans="3:30" s="195" customFormat="1" ht="15">
      <c r="C525" s="215"/>
      <c r="D525" s="215"/>
      <c r="E525" s="215"/>
      <c r="F525" s="215"/>
      <c r="G525" s="215"/>
      <c r="H525" s="215"/>
      <c r="I525" s="215"/>
      <c r="J525" s="215"/>
      <c r="K525" s="215"/>
      <c r="L525" s="215"/>
      <c r="M525" s="215"/>
      <c r="N525" s="215"/>
      <c r="O525" s="215"/>
      <c r="P525" s="215"/>
      <c r="Q525" s="215"/>
      <c r="R525" s="215"/>
      <c r="S525" s="215"/>
      <c r="T525" s="215"/>
      <c r="U525" s="215"/>
      <c r="V525" s="215"/>
      <c r="W525" s="215"/>
      <c r="X525" s="215"/>
      <c r="AD525" s="196"/>
    </row>
    <row r="526" spans="3:30" s="195" customFormat="1" ht="15">
      <c r="C526" s="215"/>
      <c r="D526" s="215"/>
      <c r="E526" s="215"/>
      <c r="F526" s="215"/>
      <c r="G526" s="215"/>
      <c r="H526" s="215"/>
      <c r="I526" s="215"/>
      <c r="J526" s="215"/>
      <c r="K526" s="215"/>
      <c r="L526" s="215"/>
      <c r="M526" s="215"/>
      <c r="N526" s="215"/>
      <c r="O526" s="215"/>
      <c r="P526" s="215"/>
      <c r="Q526" s="215"/>
      <c r="R526" s="215"/>
      <c r="S526" s="215"/>
      <c r="T526" s="215"/>
      <c r="U526" s="215"/>
      <c r="V526" s="215"/>
      <c r="W526" s="215"/>
      <c r="X526" s="215"/>
      <c r="AD526" s="196"/>
    </row>
    <row r="527" spans="3:30" s="195" customFormat="1" ht="15">
      <c r="C527" s="215"/>
      <c r="D527" s="215"/>
      <c r="E527" s="215"/>
      <c r="F527" s="215"/>
      <c r="G527" s="215"/>
      <c r="H527" s="215"/>
      <c r="I527" s="215"/>
      <c r="J527" s="215"/>
      <c r="K527" s="215"/>
      <c r="L527" s="215"/>
      <c r="M527" s="215"/>
      <c r="N527" s="215"/>
      <c r="O527" s="215"/>
      <c r="P527" s="215"/>
      <c r="Q527" s="215"/>
      <c r="R527" s="215"/>
      <c r="S527" s="215"/>
      <c r="T527" s="215"/>
      <c r="U527" s="215"/>
      <c r="V527" s="215"/>
      <c r="W527" s="215"/>
      <c r="X527" s="215"/>
      <c r="AD527" s="196"/>
    </row>
    <row r="528" spans="3:30" s="195" customFormat="1" ht="15">
      <c r="C528" s="215"/>
      <c r="D528" s="215"/>
      <c r="E528" s="215"/>
      <c r="F528" s="215"/>
      <c r="G528" s="215"/>
      <c r="H528" s="215"/>
      <c r="I528" s="215"/>
      <c r="J528" s="215"/>
      <c r="K528" s="215"/>
      <c r="L528" s="215"/>
      <c r="M528" s="215"/>
      <c r="N528" s="215"/>
      <c r="O528" s="215"/>
      <c r="P528" s="215"/>
      <c r="Q528" s="215"/>
      <c r="R528" s="215"/>
      <c r="S528" s="215"/>
      <c r="T528" s="215"/>
      <c r="U528" s="215"/>
      <c r="V528" s="215"/>
      <c r="W528" s="215"/>
      <c r="X528" s="215"/>
      <c r="AD528" s="196"/>
    </row>
    <row r="529" spans="3:30" s="195" customFormat="1" ht="15">
      <c r="C529" s="215"/>
      <c r="D529" s="215"/>
      <c r="E529" s="215"/>
      <c r="F529" s="215"/>
      <c r="G529" s="215"/>
      <c r="H529" s="215"/>
      <c r="I529" s="215"/>
      <c r="J529" s="215"/>
      <c r="K529" s="215"/>
      <c r="L529" s="215"/>
      <c r="M529" s="215"/>
      <c r="N529" s="215"/>
      <c r="O529" s="215"/>
      <c r="P529" s="215"/>
      <c r="Q529" s="215"/>
      <c r="R529" s="215"/>
      <c r="S529" s="215"/>
      <c r="T529" s="215"/>
      <c r="U529" s="215"/>
      <c r="V529" s="215"/>
      <c r="W529" s="215"/>
      <c r="X529" s="215"/>
      <c r="AD529" s="196"/>
    </row>
    <row r="530" spans="3:30" s="195" customFormat="1" ht="15">
      <c r="C530" s="215"/>
      <c r="D530" s="215"/>
      <c r="E530" s="215"/>
      <c r="F530" s="215"/>
      <c r="G530" s="215"/>
      <c r="H530" s="215"/>
      <c r="I530" s="215"/>
      <c r="J530" s="215"/>
      <c r="K530" s="215"/>
      <c r="L530" s="215"/>
      <c r="M530" s="215"/>
      <c r="N530" s="215"/>
      <c r="O530" s="215"/>
      <c r="P530" s="215"/>
      <c r="Q530" s="215"/>
      <c r="R530" s="215"/>
      <c r="S530" s="215"/>
      <c r="T530" s="215"/>
      <c r="U530" s="215"/>
      <c r="V530" s="215"/>
      <c r="W530" s="215"/>
      <c r="X530" s="215"/>
      <c r="AD530" s="196"/>
    </row>
    <row r="531" spans="3:30" s="195" customFormat="1" ht="15">
      <c r="C531" s="215"/>
      <c r="D531" s="215"/>
      <c r="E531" s="215"/>
      <c r="F531" s="215"/>
      <c r="G531" s="215"/>
      <c r="H531" s="215"/>
      <c r="I531" s="215"/>
      <c r="J531" s="215"/>
      <c r="K531" s="215"/>
      <c r="L531" s="215"/>
      <c r="M531" s="215"/>
      <c r="N531" s="215"/>
      <c r="O531" s="215"/>
      <c r="P531" s="215"/>
      <c r="Q531" s="215"/>
      <c r="R531" s="215"/>
      <c r="S531" s="215"/>
      <c r="T531" s="215"/>
      <c r="U531" s="215"/>
      <c r="V531" s="215"/>
      <c r="W531" s="215"/>
      <c r="X531" s="215"/>
      <c r="AD531" s="196"/>
    </row>
    <row r="532" spans="3:30" s="195" customFormat="1" ht="15">
      <c r="C532" s="215"/>
      <c r="D532" s="215"/>
      <c r="E532" s="215"/>
      <c r="F532" s="215"/>
      <c r="G532" s="215"/>
      <c r="H532" s="215"/>
      <c r="I532" s="215"/>
      <c r="J532" s="215"/>
      <c r="K532" s="215"/>
      <c r="L532" s="215"/>
      <c r="M532" s="215"/>
      <c r="N532" s="215"/>
      <c r="O532" s="215"/>
      <c r="P532" s="215"/>
      <c r="Q532" s="215"/>
      <c r="R532" s="215"/>
      <c r="S532" s="215"/>
      <c r="T532" s="215"/>
      <c r="U532" s="215"/>
      <c r="V532" s="215"/>
      <c r="W532" s="215"/>
      <c r="X532" s="215"/>
      <c r="AD532" s="196"/>
    </row>
    <row r="533" spans="3:30" s="195" customFormat="1" ht="15">
      <c r="C533" s="215"/>
      <c r="D533" s="215"/>
      <c r="E533" s="215"/>
      <c r="F533" s="215"/>
      <c r="G533" s="215"/>
      <c r="H533" s="215"/>
      <c r="I533" s="215"/>
      <c r="J533" s="215"/>
      <c r="K533" s="215"/>
      <c r="L533" s="215"/>
      <c r="M533" s="215"/>
      <c r="N533" s="215"/>
      <c r="O533" s="215"/>
      <c r="P533" s="215"/>
      <c r="Q533" s="215"/>
      <c r="R533" s="215"/>
      <c r="S533" s="215"/>
      <c r="T533" s="215"/>
      <c r="U533" s="215"/>
      <c r="V533" s="215"/>
      <c r="W533" s="215"/>
      <c r="X533" s="215"/>
      <c r="AD533" s="196"/>
    </row>
    <row r="534" spans="3:30" s="195" customFormat="1" ht="15">
      <c r="C534" s="215"/>
      <c r="D534" s="215"/>
      <c r="E534" s="215"/>
      <c r="F534" s="215"/>
      <c r="G534" s="215"/>
      <c r="H534" s="215"/>
      <c r="I534" s="215"/>
      <c r="J534" s="215"/>
      <c r="K534" s="215"/>
      <c r="L534" s="215"/>
      <c r="M534" s="215"/>
      <c r="N534" s="215"/>
      <c r="O534" s="215"/>
      <c r="P534" s="215"/>
      <c r="Q534" s="215"/>
      <c r="R534" s="215"/>
      <c r="S534" s="215"/>
      <c r="T534" s="215"/>
      <c r="U534" s="215"/>
      <c r="V534" s="215"/>
      <c r="W534" s="215"/>
      <c r="X534" s="215"/>
      <c r="AD534" s="196"/>
    </row>
    <row r="535" spans="3:30" s="195" customFormat="1" ht="15">
      <c r="C535" s="215"/>
      <c r="D535" s="215"/>
      <c r="E535" s="215"/>
      <c r="F535" s="215"/>
      <c r="G535" s="215"/>
      <c r="H535" s="215"/>
      <c r="I535" s="215"/>
      <c r="J535" s="215"/>
      <c r="K535" s="215"/>
      <c r="L535" s="215"/>
      <c r="M535" s="215"/>
      <c r="N535" s="215"/>
      <c r="O535" s="215"/>
      <c r="P535" s="215"/>
      <c r="Q535" s="215"/>
      <c r="R535" s="215"/>
      <c r="S535" s="215"/>
      <c r="T535" s="215"/>
      <c r="U535" s="215"/>
      <c r="V535" s="215"/>
      <c r="W535" s="215"/>
      <c r="X535" s="215"/>
      <c r="AD535" s="196"/>
    </row>
    <row r="536" spans="3:30" s="195" customFormat="1" ht="15">
      <c r="C536" s="215"/>
      <c r="D536" s="215"/>
      <c r="E536" s="215"/>
      <c r="F536" s="215"/>
      <c r="G536" s="215"/>
      <c r="H536" s="215"/>
      <c r="I536" s="215"/>
      <c r="J536" s="215"/>
      <c r="K536" s="215"/>
      <c r="L536" s="215"/>
      <c r="M536" s="215"/>
      <c r="N536" s="215"/>
      <c r="O536" s="215"/>
      <c r="P536" s="215"/>
      <c r="Q536" s="215"/>
      <c r="R536" s="215"/>
      <c r="S536" s="215"/>
      <c r="T536" s="215"/>
      <c r="U536" s="215"/>
      <c r="V536" s="215"/>
      <c r="W536" s="215"/>
      <c r="X536" s="215"/>
      <c r="AD536" s="196"/>
    </row>
    <row r="537" spans="3:30" s="195" customFormat="1" ht="15">
      <c r="C537" s="215"/>
      <c r="D537" s="215"/>
      <c r="E537" s="215"/>
      <c r="F537" s="215"/>
      <c r="G537" s="215"/>
      <c r="H537" s="215"/>
      <c r="I537" s="215"/>
      <c r="J537" s="215"/>
      <c r="K537" s="215"/>
      <c r="L537" s="215"/>
      <c r="M537" s="215"/>
      <c r="N537" s="215"/>
      <c r="O537" s="215"/>
      <c r="P537" s="215"/>
      <c r="Q537" s="215"/>
      <c r="R537" s="215"/>
      <c r="S537" s="215"/>
      <c r="T537" s="215"/>
      <c r="U537" s="215"/>
      <c r="V537" s="215"/>
      <c r="W537" s="215"/>
      <c r="X537" s="215"/>
      <c r="AD537" s="196"/>
    </row>
    <row r="538" spans="3:30" s="195" customFormat="1" ht="15">
      <c r="C538" s="215"/>
      <c r="D538" s="215"/>
      <c r="E538" s="215"/>
      <c r="F538" s="215"/>
      <c r="G538" s="215"/>
      <c r="H538" s="215"/>
      <c r="I538" s="215"/>
      <c r="J538" s="215"/>
      <c r="K538" s="215"/>
      <c r="L538" s="215"/>
      <c r="M538" s="215"/>
      <c r="N538" s="215"/>
      <c r="O538" s="215"/>
      <c r="P538" s="215"/>
      <c r="Q538" s="215"/>
      <c r="R538" s="215"/>
      <c r="S538" s="215"/>
      <c r="T538" s="215"/>
      <c r="U538" s="215"/>
      <c r="V538" s="215"/>
      <c r="W538" s="215"/>
      <c r="X538" s="215"/>
      <c r="AD538" s="196"/>
    </row>
    <row r="539" spans="3:30" s="195" customFormat="1" ht="15">
      <c r="C539" s="215"/>
      <c r="D539" s="215"/>
      <c r="E539" s="215"/>
      <c r="F539" s="215"/>
      <c r="G539" s="215"/>
      <c r="H539" s="215"/>
      <c r="I539" s="215"/>
      <c r="J539" s="215"/>
      <c r="K539" s="215"/>
      <c r="L539" s="215"/>
      <c r="M539" s="215"/>
      <c r="N539" s="215"/>
      <c r="O539" s="215"/>
      <c r="P539" s="215"/>
      <c r="Q539" s="215"/>
      <c r="R539" s="215"/>
      <c r="S539" s="215"/>
      <c r="T539" s="215"/>
      <c r="U539" s="215"/>
      <c r="V539" s="215"/>
      <c r="W539" s="215"/>
      <c r="X539" s="215"/>
      <c r="AD539" s="196"/>
    </row>
    <row r="540" spans="3:30" s="195" customFormat="1" ht="15">
      <c r="C540" s="215"/>
      <c r="D540" s="215"/>
      <c r="E540" s="215"/>
      <c r="F540" s="215"/>
      <c r="G540" s="215"/>
      <c r="H540" s="215"/>
      <c r="I540" s="215"/>
      <c r="J540" s="215"/>
      <c r="K540" s="215"/>
      <c r="L540" s="215"/>
      <c r="M540" s="215"/>
      <c r="N540" s="215"/>
      <c r="O540" s="215"/>
      <c r="P540" s="215"/>
      <c r="Q540" s="215"/>
      <c r="R540" s="215"/>
      <c r="S540" s="215"/>
      <c r="T540" s="215"/>
      <c r="U540" s="215"/>
      <c r="V540" s="215"/>
      <c r="W540" s="215"/>
      <c r="X540" s="215"/>
      <c r="AD540" s="196"/>
    </row>
    <row r="541" spans="3:30" s="195" customFormat="1" ht="15">
      <c r="C541" s="215"/>
      <c r="D541" s="215"/>
      <c r="E541" s="215"/>
      <c r="F541" s="215"/>
      <c r="G541" s="215"/>
      <c r="H541" s="215"/>
      <c r="I541" s="215"/>
      <c r="J541" s="215"/>
      <c r="K541" s="215"/>
      <c r="L541" s="215"/>
      <c r="M541" s="215"/>
      <c r="N541" s="215"/>
      <c r="O541" s="215"/>
      <c r="P541" s="215"/>
      <c r="Q541" s="215"/>
      <c r="R541" s="215"/>
      <c r="S541" s="215"/>
      <c r="T541" s="215"/>
      <c r="U541" s="215"/>
      <c r="V541" s="215"/>
      <c r="W541" s="215"/>
      <c r="X541" s="215"/>
      <c r="AD541" s="196"/>
    </row>
    <row r="542" spans="3:30" s="195" customFormat="1" ht="15">
      <c r="C542" s="215"/>
      <c r="D542" s="215"/>
      <c r="E542" s="215"/>
      <c r="F542" s="215"/>
      <c r="G542" s="215"/>
      <c r="H542" s="215"/>
      <c r="I542" s="215"/>
      <c r="J542" s="215"/>
      <c r="K542" s="215"/>
      <c r="L542" s="215"/>
      <c r="M542" s="215"/>
      <c r="N542" s="215"/>
      <c r="O542" s="215"/>
      <c r="P542" s="215"/>
      <c r="Q542" s="215"/>
      <c r="R542" s="215"/>
      <c r="S542" s="215"/>
      <c r="T542" s="215"/>
      <c r="U542" s="215"/>
      <c r="V542" s="215"/>
      <c r="W542" s="215"/>
      <c r="X542" s="215"/>
      <c r="AD542" s="196"/>
    </row>
    <row r="543" spans="3:30" s="195" customFormat="1" ht="15">
      <c r="C543" s="215"/>
      <c r="D543" s="215"/>
      <c r="E543" s="215"/>
      <c r="F543" s="215"/>
      <c r="G543" s="215"/>
      <c r="H543" s="215"/>
      <c r="I543" s="215"/>
      <c r="J543" s="215"/>
      <c r="K543" s="215"/>
      <c r="L543" s="215"/>
      <c r="M543" s="215"/>
      <c r="N543" s="215"/>
      <c r="O543" s="215"/>
      <c r="P543" s="215"/>
      <c r="Q543" s="215"/>
      <c r="R543" s="215"/>
      <c r="S543" s="215"/>
      <c r="T543" s="215"/>
      <c r="U543" s="215"/>
      <c r="V543" s="215"/>
      <c r="W543" s="215"/>
      <c r="X543" s="215"/>
      <c r="AD543" s="196"/>
    </row>
    <row r="544" spans="3:30" s="195" customFormat="1" ht="15">
      <c r="C544" s="215"/>
      <c r="D544" s="215"/>
      <c r="E544" s="215"/>
      <c r="F544" s="215"/>
      <c r="G544" s="215"/>
      <c r="H544" s="215"/>
      <c r="I544" s="215"/>
      <c r="J544" s="215"/>
      <c r="K544" s="215"/>
      <c r="L544" s="215"/>
      <c r="M544" s="215"/>
      <c r="N544" s="215"/>
      <c r="O544" s="215"/>
      <c r="P544" s="215"/>
      <c r="Q544" s="215"/>
      <c r="R544" s="215"/>
      <c r="S544" s="215"/>
      <c r="T544" s="215"/>
      <c r="U544" s="215"/>
      <c r="V544" s="215"/>
      <c r="W544" s="215"/>
      <c r="X544" s="215"/>
      <c r="AD544" s="196"/>
    </row>
    <row r="545" spans="3:30" s="195" customFormat="1" ht="15">
      <c r="C545" s="215"/>
      <c r="D545" s="215"/>
      <c r="E545" s="215"/>
      <c r="F545" s="215"/>
      <c r="G545" s="215"/>
      <c r="H545" s="215"/>
      <c r="I545" s="215"/>
      <c r="J545" s="215"/>
      <c r="K545" s="215"/>
      <c r="L545" s="215"/>
      <c r="M545" s="215"/>
      <c r="N545" s="215"/>
      <c r="O545" s="215"/>
      <c r="P545" s="215"/>
      <c r="Q545" s="215"/>
      <c r="R545" s="215"/>
      <c r="S545" s="215"/>
      <c r="T545" s="215"/>
      <c r="U545" s="215"/>
      <c r="V545" s="215"/>
      <c r="W545" s="215"/>
      <c r="X545" s="215"/>
      <c r="AD545" s="196"/>
    </row>
    <row r="546" spans="3:30" s="195" customFormat="1" ht="15">
      <c r="C546" s="215"/>
      <c r="D546" s="215"/>
      <c r="E546" s="215"/>
      <c r="F546" s="215"/>
      <c r="G546" s="215"/>
      <c r="H546" s="215"/>
      <c r="I546" s="215"/>
      <c r="J546" s="215"/>
      <c r="K546" s="215"/>
      <c r="L546" s="215"/>
      <c r="M546" s="215"/>
      <c r="N546" s="215"/>
      <c r="O546" s="215"/>
      <c r="P546" s="215"/>
      <c r="Q546" s="215"/>
      <c r="R546" s="215"/>
      <c r="S546" s="215"/>
      <c r="T546" s="215"/>
      <c r="U546" s="215"/>
      <c r="V546" s="215"/>
      <c r="W546" s="215"/>
      <c r="X546" s="215"/>
      <c r="AD546" s="196"/>
    </row>
    <row r="547" spans="3:30" s="195" customFormat="1" ht="15">
      <c r="C547" s="215"/>
      <c r="D547" s="215"/>
      <c r="E547" s="215"/>
      <c r="F547" s="215"/>
      <c r="G547" s="215"/>
      <c r="H547" s="215"/>
      <c r="I547" s="215"/>
      <c r="J547" s="215"/>
      <c r="K547" s="215"/>
      <c r="L547" s="215"/>
      <c r="M547" s="215"/>
      <c r="N547" s="215"/>
      <c r="O547" s="215"/>
      <c r="P547" s="215"/>
      <c r="Q547" s="215"/>
      <c r="R547" s="215"/>
      <c r="S547" s="215"/>
      <c r="T547" s="215"/>
      <c r="U547" s="215"/>
      <c r="V547" s="215"/>
      <c r="W547" s="215"/>
      <c r="X547" s="215"/>
      <c r="AD547" s="196"/>
    </row>
    <row r="548" spans="3:30" s="195" customFormat="1" ht="15">
      <c r="C548" s="215"/>
      <c r="D548" s="215"/>
      <c r="E548" s="215"/>
      <c r="F548" s="215"/>
      <c r="G548" s="215"/>
      <c r="H548" s="215"/>
      <c r="I548" s="215"/>
      <c r="J548" s="215"/>
      <c r="K548" s="215"/>
      <c r="L548" s="215"/>
      <c r="M548" s="215"/>
      <c r="N548" s="215"/>
      <c r="O548" s="215"/>
      <c r="P548" s="215"/>
      <c r="Q548" s="215"/>
      <c r="R548" s="215"/>
      <c r="S548" s="215"/>
      <c r="T548" s="215"/>
      <c r="U548" s="215"/>
      <c r="V548" s="215"/>
      <c r="W548" s="215"/>
      <c r="X548" s="215"/>
      <c r="AD548" s="196"/>
    </row>
    <row r="549" spans="3:30" s="195" customFormat="1" ht="15">
      <c r="C549" s="215"/>
      <c r="D549" s="215"/>
      <c r="E549" s="215"/>
      <c r="F549" s="215"/>
      <c r="G549" s="215"/>
      <c r="H549" s="215"/>
      <c r="I549" s="215"/>
      <c r="J549" s="215"/>
      <c r="K549" s="215"/>
      <c r="L549" s="215"/>
      <c r="M549" s="215"/>
      <c r="N549" s="215"/>
      <c r="O549" s="215"/>
      <c r="P549" s="215"/>
      <c r="Q549" s="215"/>
      <c r="R549" s="215"/>
      <c r="S549" s="215"/>
      <c r="T549" s="215"/>
      <c r="U549" s="215"/>
      <c r="V549" s="215"/>
      <c r="W549" s="215"/>
      <c r="X549" s="215"/>
      <c r="AD549" s="196"/>
    </row>
    <row r="550" spans="3:30" s="195" customFormat="1" ht="15">
      <c r="C550" s="215"/>
      <c r="D550" s="215"/>
      <c r="E550" s="215"/>
      <c r="F550" s="215"/>
      <c r="G550" s="215"/>
      <c r="H550" s="215"/>
      <c r="I550" s="215"/>
      <c r="J550" s="215"/>
      <c r="K550" s="215"/>
      <c r="L550" s="215"/>
      <c r="M550" s="215"/>
      <c r="N550" s="215"/>
      <c r="O550" s="215"/>
      <c r="P550" s="215"/>
      <c r="Q550" s="215"/>
      <c r="R550" s="215"/>
      <c r="S550" s="215"/>
      <c r="T550" s="215"/>
      <c r="U550" s="215"/>
      <c r="V550" s="215"/>
      <c r="W550" s="215"/>
      <c r="X550" s="215"/>
      <c r="AD550" s="196"/>
    </row>
    <row r="551" spans="3:30" s="195" customFormat="1" ht="15">
      <c r="C551" s="215"/>
      <c r="D551" s="215"/>
      <c r="E551" s="215"/>
      <c r="F551" s="215"/>
      <c r="G551" s="215"/>
      <c r="H551" s="215"/>
      <c r="I551" s="215"/>
      <c r="J551" s="215"/>
      <c r="K551" s="215"/>
      <c r="L551" s="215"/>
      <c r="M551" s="215"/>
      <c r="N551" s="215"/>
      <c r="O551" s="215"/>
      <c r="P551" s="215"/>
      <c r="Q551" s="215"/>
      <c r="R551" s="215"/>
      <c r="S551" s="215"/>
      <c r="T551" s="215"/>
      <c r="U551" s="215"/>
      <c r="V551" s="215"/>
      <c r="W551" s="215"/>
      <c r="X551" s="215"/>
      <c r="AD551" s="196"/>
    </row>
    <row r="552" spans="3:30" s="195" customFormat="1" ht="15">
      <c r="C552" s="215"/>
      <c r="D552" s="215"/>
      <c r="E552" s="215"/>
      <c r="F552" s="215"/>
      <c r="G552" s="215"/>
      <c r="H552" s="215"/>
      <c r="I552" s="215"/>
      <c r="J552" s="215"/>
      <c r="K552" s="215"/>
      <c r="L552" s="215"/>
      <c r="M552" s="215"/>
      <c r="N552" s="215"/>
      <c r="O552" s="215"/>
      <c r="P552" s="215"/>
      <c r="Q552" s="215"/>
      <c r="R552" s="215"/>
      <c r="S552" s="215"/>
      <c r="T552" s="215"/>
      <c r="U552" s="215"/>
      <c r="V552" s="215"/>
      <c r="W552" s="215"/>
      <c r="X552" s="215"/>
      <c r="AD552" s="196"/>
    </row>
    <row r="553" spans="3:30" s="195" customFormat="1" ht="15">
      <c r="C553" s="215"/>
      <c r="D553" s="215"/>
      <c r="E553" s="215"/>
      <c r="F553" s="215"/>
      <c r="G553" s="215"/>
      <c r="H553" s="215"/>
      <c r="I553" s="215"/>
      <c r="J553" s="215"/>
      <c r="K553" s="215"/>
      <c r="L553" s="215"/>
      <c r="M553" s="215"/>
      <c r="N553" s="215"/>
      <c r="O553" s="215"/>
      <c r="P553" s="215"/>
      <c r="Q553" s="215"/>
      <c r="R553" s="215"/>
      <c r="S553" s="215"/>
      <c r="T553" s="215"/>
      <c r="U553" s="215"/>
      <c r="V553" s="215"/>
      <c r="W553" s="215"/>
      <c r="X553" s="215"/>
      <c r="AD553" s="196"/>
    </row>
    <row r="554" spans="3:30" s="195" customFormat="1" ht="15">
      <c r="C554" s="215"/>
      <c r="D554" s="215"/>
      <c r="E554" s="215"/>
      <c r="F554" s="215"/>
      <c r="G554" s="215"/>
      <c r="H554" s="215"/>
      <c r="I554" s="215"/>
      <c r="J554" s="215"/>
      <c r="K554" s="215"/>
      <c r="L554" s="215"/>
      <c r="M554" s="215"/>
      <c r="N554" s="215"/>
      <c r="O554" s="215"/>
      <c r="P554" s="215"/>
      <c r="Q554" s="215"/>
      <c r="R554" s="215"/>
      <c r="S554" s="215"/>
      <c r="T554" s="215"/>
      <c r="U554" s="215"/>
      <c r="V554" s="215"/>
      <c r="W554" s="215"/>
      <c r="X554" s="215"/>
      <c r="AD554" s="196"/>
    </row>
    <row r="555" spans="3:30" s="195" customFormat="1" ht="15">
      <c r="C555" s="215"/>
      <c r="D555" s="215"/>
      <c r="E555" s="215"/>
      <c r="F555" s="215"/>
      <c r="G555" s="215"/>
      <c r="H555" s="215"/>
      <c r="I555" s="215"/>
      <c r="J555" s="215"/>
      <c r="K555" s="215"/>
      <c r="L555" s="215"/>
      <c r="M555" s="215"/>
      <c r="N555" s="215"/>
      <c r="O555" s="215"/>
      <c r="P555" s="215"/>
      <c r="Q555" s="215"/>
      <c r="R555" s="215"/>
      <c r="S555" s="215"/>
      <c r="T555" s="215"/>
      <c r="U555" s="215"/>
      <c r="V555" s="215"/>
      <c r="W555" s="215"/>
      <c r="X555" s="215"/>
      <c r="AD555" s="196"/>
    </row>
    <row r="556" spans="3:30" s="195" customFormat="1" ht="15">
      <c r="C556" s="215"/>
      <c r="D556" s="215"/>
      <c r="E556" s="215"/>
      <c r="F556" s="215"/>
      <c r="G556" s="215"/>
      <c r="H556" s="215"/>
      <c r="I556" s="215"/>
      <c r="J556" s="215"/>
      <c r="K556" s="215"/>
      <c r="L556" s="215"/>
      <c r="M556" s="215"/>
      <c r="N556" s="215"/>
      <c r="O556" s="215"/>
      <c r="P556" s="215"/>
      <c r="Q556" s="215"/>
      <c r="R556" s="215"/>
      <c r="S556" s="215"/>
      <c r="T556" s="215"/>
      <c r="U556" s="215"/>
      <c r="V556" s="215"/>
      <c r="W556" s="215"/>
      <c r="X556" s="215"/>
      <c r="AD556" s="196"/>
    </row>
    <row r="557" spans="3:30" s="195" customFormat="1" ht="15">
      <c r="C557" s="215"/>
      <c r="D557" s="215"/>
      <c r="E557" s="215"/>
      <c r="F557" s="215"/>
      <c r="G557" s="215"/>
      <c r="H557" s="215"/>
      <c r="I557" s="215"/>
      <c r="J557" s="215"/>
      <c r="K557" s="215"/>
      <c r="L557" s="215"/>
      <c r="M557" s="215"/>
      <c r="N557" s="215"/>
      <c r="O557" s="215"/>
      <c r="P557" s="215"/>
      <c r="Q557" s="215"/>
      <c r="R557" s="215"/>
      <c r="S557" s="215"/>
      <c r="T557" s="215"/>
      <c r="U557" s="215"/>
      <c r="V557" s="215"/>
      <c r="W557" s="215"/>
      <c r="X557" s="215"/>
      <c r="AD557" s="196"/>
    </row>
    <row r="558" spans="3:30" s="195" customFormat="1" ht="15">
      <c r="C558" s="215"/>
      <c r="D558" s="215"/>
      <c r="E558" s="215"/>
      <c r="F558" s="215"/>
      <c r="G558" s="215"/>
      <c r="H558" s="215"/>
      <c r="I558" s="215"/>
      <c r="J558" s="215"/>
      <c r="K558" s="215"/>
      <c r="L558" s="215"/>
      <c r="M558" s="215"/>
      <c r="N558" s="215"/>
      <c r="O558" s="215"/>
      <c r="P558" s="215"/>
      <c r="Q558" s="215"/>
      <c r="R558" s="215"/>
      <c r="S558" s="215"/>
      <c r="T558" s="215"/>
      <c r="U558" s="215"/>
      <c r="V558" s="215"/>
      <c r="W558" s="215"/>
      <c r="X558" s="215"/>
      <c r="AD558" s="196"/>
    </row>
    <row r="559" spans="3:30" s="195" customFormat="1" ht="15">
      <c r="C559" s="215"/>
      <c r="D559" s="215"/>
      <c r="E559" s="215"/>
      <c r="F559" s="215"/>
      <c r="G559" s="215"/>
      <c r="H559" s="215"/>
      <c r="I559" s="215"/>
      <c r="J559" s="215"/>
      <c r="K559" s="215"/>
      <c r="L559" s="215"/>
      <c r="M559" s="215"/>
      <c r="N559" s="215"/>
      <c r="O559" s="215"/>
      <c r="P559" s="215"/>
      <c r="Q559" s="215"/>
      <c r="R559" s="215"/>
      <c r="S559" s="215"/>
      <c r="T559" s="215"/>
      <c r="U559" s="215"/>
      <c r="V559" s="215"/>
      <c r="W559" s="215"/>
      <c r="X559" s="215"/>
      <c r="AD559" s="196"/>
    </row>
    <row r="560" spans="3:30" s="195" customFormat="1" ht="15">
      <c r="C560" s="215"/>
      <c r="D560" s="215"/>
      <c r="E560" s="215"/>
      <c r="F560" s="215"/>
      <c r="G560" s="215"/>
      <c r="H560" s="215"/>
      <c r="I560" s="215"/>
      <c r="J560" s="215"/>
      <c r="K560" s="215"/>
      <c r="L560" s="215"/>
      <c r="M560" s="215"/>
      <c r="N560" s="215"/>
      <c r="O560" s="215"/>
      <c r="P560" s="215"/>
      <c r="Q560" s="215"/>
      <c r="R560" s="215"/>
      <c r="S560" s="215"/>
      <c r="T560" s="215"/>
      <c r="U560" s="215"/>
      <c r="V560" s="215"/>
      <c r="W560" s="215"/>
      <c r="X560" s="215"/>
      <c r="AD560" s="196"/>
    </row>
    <row r="561" spans="3:30" s="195" customFormat="1" ht="15">
      <c r="C561" s="215"/>
      <c r="D561" s="215"/>
      <c r="E561" s="215"/>
      <c r="F561" s="215"/>
      <c r="G561" s="215"/>
      <c r="H561" s="215"/>
      <c r="I561" s="215"/>
      <c r="J561" s="215"/>
      <c r="K561" s="215"/>
      <c r="L561" s="215"/>
      <c r="M561" s="215"/>
      <c r="N561" s="215"/>
      <c r="O561" s="215"/>
      <c r="P561" s="215"/>
      <c r="Q561" s="215"/>
      <c r="R561" s="215"/>
      <c r="S561" s="215"/>
      <c r="T561" s="215"/>
      <c r="U561" s="215"/>
      <c r="V561" s="215"/>
      <c r="W561" s="215"/>
      <c r="X561" s="215"/>
      <c r="AD561" s="196"/>
    </row>
    <row r="562" spans="3:30" s="195" customFormat="1" ht="15">
      <c r="C562" s="215"/>
      <c r="D562" s="215"/>
      <c r="E562" s="215"/>
      <c r="F562" s="215"/>
      <c r="G562" s="215"/>
      <c r="H562" s="215"/>
      <c r="I562" s="215"/>
      <c r="J562" s="215"/>
      <c r="K562" s="215"/>
      <c r="L562" s="215"/>
      <c r="M562" s="215"/>
      <c r="N562" s="215"/>
      <c r="O562" s="215"/>
      <c r="P562" s="215"/>
      <c r="Q562" s="215"/>
      <c r="R562" s="215"/>
      <c r="S562" s="215"/>
      <c r="T562" s="215"/>
      <c r="U562" s="215"/>
      <c r="V562" s="215"/>
      <c r="W562" s="215"/>
      <c r="X562" s="215"/>
      <c r="AD562" s="196"/>
    </row>
    <row r="563" spans="3:30" s="195" customFormat="1" ht="15">
      <c r="C563" s="215"/>
      <c r="D563" s="215"/>
      <c r="E563" s="215"/>
      <c r="F563" s="215"/>
      <c r="G563" s="215"/>
      <c r="H563" s="215"/>
      <c r="I563" s="215"/>
      <c r="J563" s="215"/>
      <c r="K563" s="215"/>
      <c r="L563" s="215"/>
      <c r="M563" s="215"/>
      <c r="N563" s="215"/>
      <c r="O563" s="215"/>
      <c r="P563" s="215"/>
      <c r="Q563" s="215"/>
      <c r="R563" s="215"/>
      <c r="S563" s="215"/>
      <c r="T563" s="215"/>
      <c r="U563" s="215"/>
      <c r="V563" s="215"/>
      <c r="W563" s="215"/>
      <c r="X563" s="215"/>
      <c r="AD563" s="196"/>
    </row>
    <row r="564" spans="3:30" s="195" customFormat="1" ht="15">
      <c r="C564" s="215"/>
      <c r="D564" s="215"/>
      <c r="E564" s="215"/>
      <c r="F564" s="215"/>
      <c r="G564" s="215"/>
      <c r="H564" s="215"/>
      <c r="I564" s="215"/>
      <c r="J564" s="215"/>
      <c r="K564" s="215"/>
      <c r="L564" s="215"/>
      <c r="M564" s="215"/>
      <c r="N564" s="215"/>
      <c r="O564" s="215"/>
      <c r="P564" s="215"/>
      <c r="Q564" s="215"/>
      <c r="R564" s="215"/>
      <c r="S564" s="215"/>
      <c r="T564" s="215"/>
      <c r="U564" s="215"/>
      <c r="V564" s="215"/>
      <c r="W564" s="215"/>
      <c r="X564" s="215"/>
      <c r="AD564" s="196"/>
    </row>
    <row r="565" spans="3:30" s="195" customFormat="1" ht="15">
      <c r="C565" s="215"/>
      <c r="D565" s="215"/>
      <c r="E565" s="215"/>
      <c r="F565" s="215"/>
      <c r="G565" s="215"/>
      <c r="H565" s="215"/>
      <c r="I565" s="215"/>
      <c r="J565" s="215"/>
      <c r="K565" s="215"/>
      <c r="L565" s="215"/>
      <c r="M565" s="215"/>
      <c r="N565" s="215"/>
      <c r="O565" s="215"/>
      <c r="P565" s="215"/>
      <c r="Q565" s="215"/>
      <c r="R565" s="215"/>
      <c r="S565" s="215"/>
      <c r="T565" s="215"/>
      <c r="U565" s="215"/>
      <c r="V565" s="215"/>
      <c r="W565" s="215"/>
      <c r="X565" s="215"/>
      <c r="AD565" s="196"/>
    </row>
    <row r="566" spans="3:30" s="195" customFormat="1" ht="15">
      <c r="C566" s="215"/>
      <c r="D566" s="215"/>
      <c r="E566" s="215"/>
      <c r="F566" s="215"/>
      <c r="G566" s="215"/>
      <c r="H566" s="215"/>
      <c r="I566" s="215"/>
      <c r="J566" s="215"/>
      <c r="K566" s="215"/>
      <c r="L566" s="215"/>
      <c r="M566" s="215"/>
      <c r="N566" s="215"/>
      <c r="O566" s="215"/>
      <c r="P566" s="215"/>
      <c r="Q566" s="215"/>
      <c r="R566" s="215"/>
      <c r="S566" s="215"/>
      <c r="T566" s="215"/>
      <c r="U566" s="215"/>
      <c r="V566" s="215"/>
      <c r="W566" s="215"/>
      <c r="X566" s="215"/>
      <c r="AD566" s="196"/>
    </row>
    <row r="567" spans="3:30" s="195" customFormat="1" ht="15">
      <c r="C567" s="215"/>
      <c r="D567" s="215"/>
      <c r="E567" s="215"/>
      <c r="F567" s="215"/>
      <c r="G567" s="215"/>
      <c r="H567" s="215"/>
      <c r="I567" s="215"/>
      <c r="J567" s="215"/>
      <c r="K567" s="215"/>
      <c r="L567" s="215"/>
      <c r="M567" s="215"/>
      <c r="N567" s="215"/>
      <c r="O567" s="215"/>
      <c r="P567" s="215"/>
      <c r="Q567" s="215"/>
      <c r="R567" s="215"/>
      <c r="S567" s="215"/>
      <c r="T567" s="215"/>
      <c r="U567" s="215"/>
      <c r="V567" s="215"/>
      <c r="W567" s="215"/>
      <c r="X567" s="215"/>
      <c r="AD567" s="196"/>
    </row>
    <row r="568" spans="3:30" s="195" customFormat="1" ht="15">
      <c r="C568" s="215"/>
      <c r="D568" s="215"/>
      <c r="E568" s="215"/>
      <c r="F568" s="215"/>
      <c r="G568" s="215"/>
      <c r="H568" s="215"/>
      <c r="I568" s="215"/>
      <c r="J568" s="215"/>
      <c r="K568" s="215"/>
      <c r="L568" s="215"/>
      <c r="M568" s="215"/>
      <c r="N568" s="215"/>
      <c r="O568" s="215"/>
      <c r="P568" s="215"/>
      <c r="Q568" s="215"/>
      <c r="R568" s="215"/>
      <c r="S568" s="215"/>
      <c r="T568" s="215"/>
      <c r="U568" s="215"/>
      <c r="V568" s="215"/>
      <c r="W568" s="215"/>
      <c r="X568" s="215"/>
      <c r="AD568" s="196"/>
    </row>
    <row r="569" spans="3:30" s="195" customFormat="1" ht="15">
      <c r="C569" s="215"/>
      <c r="D569" s="215"/>
      <c r="E569" s="215"/>
      <c r="F569" s="215"/>
      <c r="G569" s="215"/>
      <c r="H569" s="215"/>
      <c r="I569" s="215"/>
      <c r="J569" s="215"/>
      <c r="K569" s="215"/>
      <c r="L569" s="215"/>
      <c r="M569" s="215"/>
      <c r="N569" s="215"/>
      <c r="O569" s="215"/>
      <c r="P569" s="215"/>
      <c r="Q569" s="215"/>
      <c r="R569" s="215"/>
      <c r="S569" s="215"/>
      <c r="T569" s="215"/>
      <c r="U569" s="215"/>
      <c r="V569" s="215"/>
      <c r="W569" s="215"/>
      <c r="X569" s="215"/>
      <c r="AD569" s="196"/>
    </row>
    <row r="570" spans="3:30" s="195" customFormat="1" ht="15">
      <c r="C570" s="215"/>
      <c r="D570" s="215"/>
      <c r="E570" s="215"/>
      <c r="F570" s="215"/>
      <c r="G570" s="215"/>
      <c r="H570" s="215"/>
      <c r="I570" s="215"/>
      <c r="J570" s="215"/>
      <c r="K570" s="215"/>
      <c r="L570" s="215"/>
      <c r="M570" s="215"/>
      <c r="N570" s="215"/>
      <c r="O570" s="215"/>
      <c r="P570" s="215"/>
      <c r="Q570" s="215"/>
      <c r="R570" s="215"/>
      <c r="S570" s="215"/>
      <c r="T570" s="215"/>
      <c r="U570" s="215"/>
      <c r="V570" s="215"/>
      <c r="W570" s="215"/>
      <c r="X570" s="215"/>
      <c r="AD570" s="196"/>
    </row>
    <row r="571" spans="3:30" s="195" customFormat="1" ht="15">
      <c r="C571" s="215"/>
      <c r="D571" s="215"/>
      <c r="E571" s="215"/>
      <c r="F571" s="215"/>
      <c r="G571" s="215"/>
      <c r="H571" s="215"/>
      <c r="I571" s="215"/>
      <c r="J571" s="215"/>
      <c r="K571" s="215"/>
      <c r="L571" s="215"/>
      <c r="M571" s="215"/>
      <c r="N571" s="215"/>
      <c r="O571" s="215"/>
      <c r="P571" s="215"/>
      <c r="Q571" s="215"/>
      <c r="R571" s="215"/>
      <c r="S571" s="215"/>
      <c r="T571" s="215"/>
      <c r="U571" s="215"/>
      <c r="V571" s="215"/>
      <c r="W571" s="215"/>
      <c r="X571" s="215"/>
      <c r="AD571" s="196"/>
    </row>
    <row r="572" spans="3:30" s="195" customFormat="1" ht="15">
      <c r="C572" s="215"/>
      <c r="D572" s="215"/>
      <c r="E572" s="215"/>
      <c r="F572" s="215"/>
      <c r="G572" s="215"/>
      <c r="H572" s="215"/>
      <c r="I572" s="215"/>
      <c r="J572" s="215"/>
      <c r="K572" s="215"/>
      <c r="L572" s="215"/>
      <c r="M572" s="215"/>
      <c r="N572" s="215"/>
      <c r="O572" s="215"/>
      <c r="P572" s="215"/>
      <c r="Q572" s="215"/>
      <c r="R572" s="215"/>
      <c r="S572" s="215"/>
      <c r="T572" s="215"/>
      <c r="U572" s="215"/>
      <c r="V572" s="215"/>
      <c r="W572" s="215"/>
      <c r="X572" s="215"/>
      <c r="AD572" s="196"/>
    </row>
    <row r="573" spans="3:30" s="195" customFormat="1" ht="15">
      <c r="C573" s="215"/>
      <c r="D573" s="215"/>
      <c r="E573" s="215"/>
      <c r="F573" s="215"/>
      <c r="G573" s="215"/>
      <c r="H573" s="215"/>
      <c r="I573" s="215"/>
      <c r="J573" s="215"/>
      <c r="K573" s="215"/>
      <c r="L573" s="215"/>
      <c r="M573" s="215"/>
      <c r="N573" s="215"/>
      <c r="O573" s="215"/>
      <c r="P573" s="215"/>
      <c r="Q573" s="215"/>
      <c r="R573" s="215"/>
      <c r="S573" s="215"/>
      <c r="T573" s="215"/>
      <c r="U573" s="215"/>
      <c r="V573" s="215"/>
      <c r="W573" s="215"/>
      <c r="X573" s="215"/>
      <c r="AD573" s="196"/>
    </row>
    <row r="574" spans="3:30" s="195" customFormat="1" ht="15">
      <c r="C574" s="215"/>
      <c r="D574" s="215"/>
      <c r="E574" s="215"/>
      <c r="F574" s="215"/>
      <c r="G574" s="215"/>
      <c r="H574" s="215"/>
      <c r="I574" s="215"/>
      <c r="J574" s="215"/>
      <c r="K574" s="215"/>
      <c r="L574" s="215"/>
      <c r="M574" s="215"/>
      <c r="N574" s="215"/>
      <c r="O574" s="215"/>
      <c r="P574" s="215"/>
      <c r="Q574" s="215"/>
      <c r="R574" s="215"/>
      <c r="S574" s="215"/>
      <c r="T574" s="215"/>
      <c r="U574" s="215"/>
      <c r="V574" s="215"/>
      <c r="W574" s="215"/>
      <c r="X574" s="215"/>
      <c r="AD574" s="196"/>
    </row>
    <row r="575" spans="3:30" s="195" customFormat="1" ht="15">
      <c r="C575" s="215"/>
      <c r="D575" s="215"/>
      <c r="E575" s="215"/>
      <c r="F575" s="215"/>
      <c r="G575" s="215"/>
      <c r="H575" s="215"/>
      <c r="I575" s="215"/>
      <c r="J575" s="215"/>
      <c r="K575" s="215"/>
      <c r="L575" s="215"/>
      <c r="M575" s="215"/>
      <c r="N575" s="215"/>
      <c r="O575" s="215"/>
      <c r="P575" s="215"/>
      <c r="Q575" s="215"/>
      <c r="R575" s="215"/>
      <c r="S575" s="215"/>
      <c r="T575" s="215"/>
      <c r="U575" s="215"/>
      <c r="V575" s="215"/>
      <c r="W575" s="215"/>
      <c r="X575" s="215"/>
      <c r="AD575" s="196"/>
    </row>
    <row r="576" spans="3:30" s="195" customFormat="1" ht="15">
      <c r="C576" s="215"/>
      <c r="D576" s="215"/>
      <c r="E576" s="215"/>
      <c r="F576" s="215"/>
      <c r="G576" s="215"/>
      <c r="H576" s="215"/>
      <c r="I576" s="215"/>
      <c r="J576" s="215"/>
      <c r="K576" s="215"/>
      <c r="L576" s="215"/>
      <c r="M576" s="215"/>
      <c r="N576" s="215"/>
      <c r="O576" s="215"/>
      <c r="P576" s="215"/>
      <c r="Q576" s="215"/>
      <c r="R576" s="215"/>
      <c r="S576" s="215"/>
      <c r="T576" s="215"/>
      <c r="U576" s="215"/>
      <c r="V576" s="215"/>
      <c r="W576" s="215"/>
      <c r="X576" s="215"/>
      <c r="AD576" s="196"/>
    </row>
    <row r="577" spans="3:30" s="195" customFormat="1" ht="15">
      <c r="C577" s="215"/>
      <c r="D577" s="215"/>
      <c r="E577" s="215"/>
      <c r="F577" s="215"/>
      <c r="G577" s="215"/>
      <c r="H577" s="215"/>
      <c r="I577" s="215"/>
      <c r="J577" s="215"/>
      <c r="K577" s="215"/>
      <c r="L577" s="215"/>
      <c r="M577" s="215"/>
      <c r="N577" s="215"/>
      <c r="O577" s="215"/>
      <c r="P577" s="215"/>
      <c r="Q577" s="215"/>
      <c r="R577" s="215"/>
      <c r="S577" s="215"/>
      <c r="T577" s="215"/>
      <c r="U577" s="215"/>
      <c r="V577" s="215"/>
      <c r="W577" s="215"/>
      <c r="X577" s="215"/>
      <c r="AD577" s="196"/>
    </row>
    <row r="578" spans="3:30" s="195" customFormat="1" ht="15">
      <c r="C578" s="215"/>
      <c r="D578" s="215"/>
      <c r="E578" s="215"/>
      <c r="F578" s="215"/>
      <c r="G578" s="215"/>
      <c r="H578" s="215"/>
      <c r="I578" s="215"/>
      <c r="J578" s="215"/>
      <c r="K578" s="215"/>
      <c r="L578" s="215"/>
      <c r="M578" s="215"/>
      <c r="N578" s="215"/>
      <c r="O578" s="215"/>
      <c r="P578" s="215"/>
      <c r="Q578" s="215"/>
      <c r="R578" s="215"/>
      <c r="S578" s="215"/>
      <c r="T578" s="215"/>
      <c r="U578" s="215"/>
      <c r="V578" s="215"/>
      <c r="W578" s="215"/>
      <c r="X578" s="215"/>
      <c r="AD578" s="196"/>
    </row>
    <row r="579" spans="3:30" s="195" customFormat="1" ht="15">
      <c r="C579" s="215"/>
      <c r="D579" s="215"/>
      <c r="E579" s="215"/>
      <c r="F579" s="215"/>
      <c r="G579" s="215"/>
      <c r="H579" s="215"/>
      <c r="I579" s="215"/>
      <c r="J579" s="215"/>
      <c r="K579" s="215"/>
      <c r="L579" s="215"/>
      <c r="M579" s="215"/>
      <c r="N579" s="215"/>
      <c r="O579" s="215"/>
      <c r="P579" s="215"/>
      <c r="Q579" s="215"/>
      <c r="R579" s="215"/>
      <c r="S579" s="215"/>
      <c r="T579" s="215"/>
      <c r="U579" s="215"/>
      <c r="V579" s="215"/>
      <c r="W579" s="215"/>
      <c r="X579" s="215"/>
      <c r="AD579" s="196"/>
    </row>
    <row r="580" spans="3:30" s="195" customFormat="1" ht="15">
      <c r="C580" s="215"/>
      <c r="D580" s="215"/>
      <c r="E580" s="215"/>
      <c r="F580" s="215"/>
      <c r="G580" s="215"/>
      <c r="H580" s="215"/>
      <c r="I580" s="215"/>
      <c r="J580" s="215"/>
      <c r="K580" s="215"/>
      <c r="L580" s="215"/>
      <c r="M580" s="215"/>
      <c r="N580" s="215"/>
      <c r="O580" s="215"/>
      <c r="P580" s="215"/>
      <c r="Q580" s="215"/>
      <c r="R580" s="215"/>
      <c r="S580" s="215"/>
      <c r="T580" s="215"/>
      <c r="U580" s="215"/>
      <c r="V580" s="215"/>
      <c r="W580" s="215"/>
      <c r="X580" s="215"/>
      <c r="AD580" s="196"/>
    </row>
    <row r="581" spans="3:30" s="195" customFormat="1" ht="15">
      <c r="C581" s="215"/>
      <c r="D581" s="215"/>
      <c r="E581" s="215"/>
      <c r="F581" s="215"/>
      <c r="G581" s="215"/>
      <c r="H581" s="215"/>
      <c r="I581" s="215"/>
      <c r="J581" s="215"/>
      <c r="K581" s="215"/>
      <c r="L581" s="215"/>
      <c r="M581" s="215"/>
      <c r="N581" s="215"/>
      <c r="O581" s="215"/>
      <c r="P581" s="215"/>
      <c r="Q581" s="215"/>
      <c r="R581" s="215"/>
      <c r="S581" s="215"/>
      <c r="T581" s="215"/>
      <c r="U581" s="215"/>
      <c r="V581" s="215"/>
      <c r="W581" s="215"/>
      <c r="X581" s="215"/>
      <c r="AD581" s="196"/>
    </row>
    <row r="582" spans="3:30" s="195" customFormat="1" ht="15">
      <c r="C582" s="215"/>
      <c r="D582" s="215"/>
      <c r="E582" s="215"/>
      <c r="F582" s="215"/>
      <c r="G582" s="215"/>
      <c r="H582" s="215"/>
      <c r="I582" s="215"/>
      <c r="J582" s="215"/>
      <c r="K582" s="215"/>
      <c r="L582" s="215"/>
      <c r="M582" s="215"/>
      <c r="N582" s="215"/>
      <c r="O582" s="215"/>
      <c r="P582" s="215"/>
      <c r="Q582" s="215"/>
      <c r="R582" s="215"/>
      <c r="S582" s="215"/>
      <c r="T582" s="215"/>
      <c r="U582" s="215"/>
      <c r="V582" s="215"/>
      <c r="W582" s="215"/>
      <c r="X582" s="215"/>
      <c r="AD582" s="196"/>
    </row>
    <row r="583" spans="3:30" s="195" customFormat="1" ht="15">
      <c r="C583" s="215"/>
      <c r="D583" s="215"/>
      <c r="E583" s="215"/>
      <c r="F583" s="215"/>
      <c r="G583" s="215"/>
      <c r="H583" s="215"/>
      <c r="I583" s="215"/>
      <c r="J583" s="215"/>
      <c r="K583" s="215"/>
      <c r="L583" s="215"/>
      <c r="M583" s="215"/>
      <c r="N583" s="215"/>
      <c r="O583" s="215"/>
      <c r="P583" s="215"/>
      <c r="Q583" s="215"/>
      <c r="R583" s="215"/>
      <c r="S583" s="215"/>
      <c r="T583" s="215"/>
      <c r="U583" s="215"/>
      <c r="V583" s="215"/>
      <c r="W583" s="215"/>
      <c r="X583" s="215"/>
      <c r="AD583" s="196"/>
    </row>
    <row r="584" spans="3:30" s="195" customFormat="1" ht="15">
      <c r="C584" s="215"/>
      <c r="D584" s="215"/>
      <c r="E584" s="215"/>
      <c r="F584" s="215"/>
      <c r="G584" s="215"/>
      <c r="H584" s="215"/>
      <c r="I584" s="215"/>
      <c r="J584" s="215"/>
      <c r="K584" s="215"/>
      <c r="L584" s="215"/>
      <c r="M584" s="215"/>
      <c r="N584" s="215"/>
      <c r="O584" s="215"/>
      <c r="P584" s="215"/>
      <c r="Q584" s="215"/>
      <c r="R584" s="215"/>
      <c r="S584" s="215"/>
      <c r="T584" s="215"/>
      <c r="U584" s="215"/>
      <c r="V584" s="215"/>
      <c r="W584" s="215"/>
      <c r="X584" s="215"/>
      <c r="AD584" s="196"/>
    </row>
    <row r="585" spans="3:30" s="195" customFormat="1" ht="15">
      <c r="C585" s="215"/>
      <c r="D585" s="215"/>
      <c r="E585" s="215"/>
      <c r="F585" s="215"/>
      <c r="G585" s="215"/>
      <c r="H585" s="215"/>
      <c r="I585" s="215"/>
      <c r="J585" s="215"/>
      <c r="K585" s="215"/>
      <c r="L585" s="215"/>
      <c r="M585" s="215"/>
      <c r="N585" s="215"/>
      <c r="O585" s="215"/>
      <c r="P585" s="215"/>
      <c r="Q585" s="215"/>
      <c r="R585" s="215"/>
      <c r="S585" s="215"/>
      <c r="T585" s="215"/>
      <c r="U585" s="215"/>
      <c r="V585" s="215"/>
      <c r="W585" s="215"/>
      <c r="X585" s="215"/>
      <c r="AD585" s="196"/>
    </row>
    <row r="586" spans="3:30" s="195" customFormat="1" ht="15">
      <c r="C586" s="215"/>
      <c r="D586" s="215"/>
      <c r="E586" s="215"/>
      <c r="F586" s="215"/>
      <c r="G586" s="215"/>
      <c r="H586" s="215"/>
      <c r="I586" s="215"/>
      <c r="J586" s="215"/>
      <c r="K586" s="215"/>
      <c r="L586" s="215"/>
      <c r="M586" s="215"/>
      <c r="N586" s="215"/>
      <c r="O586" s="215"/>
      <c r="P586" s="215"/>
      <c r="Q586" s="215"/>
      <c r="R586" s="215"/>
      <c r="S586" s="215"/>
      <c r="T586" s="215"/>
      <c r="U586" s="215"/>
      <c r="V586" s="215"/>
      <c r="W586" s="215"/>
      <c r="X586" s="215"/>
      <c r="AD586" s="196"/>
    </row>
    <row r="587" spans="3:30" s="195" customFormat="1" ht="15">
      <c r="C587" s="215"/>
      <c r="D587" s="215"/>
      <c r="E587" s="215"/>
      <c r="F587" s="215"/>
      <c r="G587" s="215"/>
      <c r="H587" s="215"/>
      <c r="I587" s="215"/>
      <c r="J587" s="215"/>
      <c r="K587" s="215"/>
      <c r="L587" s="215"/>
      <c r="M587" s="215"/>
      <c r="N587" s="215"/>
      <c r="O587" s="215"/>
      <c r="P587" s="215"/>
      <c r="Q587" s="215"/>
      <c r="R587" s="215"/>
      <c r="S587" s="215"/>
      <c r="T587" s="215"/>
      <c r="U587" s="215"/>
      <c r="V587" s="215"/>
      <c r="W587" s="215"/>
      <c r="X587" s="215"/>
      <c r="AD587" s="196"/>
    </row>
    <row r="588" spans="3:30" s="195" customFormat="1" ht="15">
      <c r="C588" s="215"/>
      <c r="D588" s="215"/>
      <c r="E588" s="215"/>
      <c r="F588" s="215"/>
      <c r="G588" s="215"/>
      <c r="H588" s="215"/>
      <c r="I588" s="215"/>
      <c r="J588" s="215"/>
      <c r="K588" s="215"/>
      <c r="L588" s="215"/>
      <c r="M588" s="215"/>
      <c r="N588" s="215"/>
      <c r="O588" s="215"/>
      <c r="P588" s="215"/>
      <c r="Q588" s="215"/>
      <c r="R588" s="215"/>
      <c r="S588" s="215"/>
      <c r="T588" s="215"/>
      <c r="U588" s="215"/>
      <c r="V588" s="215"/>
      <c r="W588" s="215"/>
      <c r="X588" s="215"/>
      <c r="AD588" s="196"/>
    </row>
    <row r="589" spans="3:30" s="195" customFormat="1" ht="15">
      <c r="C589" s="215"/>
      <c r="D589" s="215"/>
      <c r="E589" s="215"/>
      <c r="F589" s="215"/>
      <c r="G589" s="215"/>
      <c r="H589" s="215"/>
      <c r="I589" s="215"/>
      <c r="J589" s="215"/>
      <c r="K589" s="215"/>
      <c r="L589" s="215"/>
      <c r="M589" s="215"/>
      <c r="N589" s="215"/>
      <c r="O589" s="215"/>
      <c r="P589" s="215"/>
      <c r="Q589" s="215"/>
      <c r="R589" s="215"/>
      <c r="S589" s="215"/>
      <c r="T589" s="215"/>
      <c r="U589" s="215"/>
      <c r="V589" s="215"/>
      <c r="W589" s="215"/>
      <c r="X589" s="215"/>
      <c r="AD589" s="196"/>
    </row>
    <row r="590" spans="3:30" s="195" customFormat="1" ht="15">
      <c r="C590" s="215"/>
      <c r="D590" s="215"/>
      <c r="E590" s="215"/>
      <c r="F590" s="215"/>
      <c r="G590" s="215"/>
      <c r="H590" s="215"/>
      <c r="I590" s="215"/>
      <c r="J590" s="215"/>
      <c r="K590" s="215"/>
      <c r="L590" s="215"/>
      <c r="M590" s="215"/>
      <c r="N590" s="215"/>
      <c r="O590" s="215"/>
      <c r="P590" s="215"/>
      <c r="Q590" s="215"/>
      <c r="R590" s="215"/>
      <c r="S590" s="215"/>
      <c r="T590" s="215"/>
      <c r="U590" s="215"/>
      <c r="V590" s="215"/>
      <c r="W590" s="215"/>
      <c r="X590" s="215"/>
      <c r="AD590" s="196"/>
    </row>
    <row r="591" spans="3:30" s="195" customFormat="1" ht="15">
      <c r="C591" s="215"/>
      <c r="D591" s="215"/>
      <c r="E591" s="215"/>
      <c r="F591" s="215"/>
      <c r="G591" s="215"/>
      <c r="H591" s="215"/>
      <c r="I591" s="215"/>
      <c r="J591" s="215"/>
      <c r="K591" s="215"/>
      <c r="L591" s="215"/>
      <c r="M591" s="215"/>
      <c r="N591" s="215"/>
      <c r="O591" s="215"/>
      <c r="P591" s="215"/>
      <c r="Q591" s="215"/>
      <c r="R591" s="215"/>
      <c r="S591" s="215"/>
      <c r="T591" s="215"/>
      <c r="U591" s="215"/>
      <c r="V591" s="215"/>
      <c r="W591" s="215"/>
      <c r="X591" s="215"/>
      <c r="AD591" s="196"/>
    </row>
    <row r="592" spans="3:30" s="195" customFormat="1" ht="15">
      <c r="C592" s="215"/>
      <c r="D592" s="215"/>
      <c r="E592" s="215"/>
      <c r="F592" s="215"/>
      <c r="G592" s="215"/>
      <c r="H592" s="215"/>
      <c r="I592" s="215"/>
      <c r="J592" s="215"/>
      <c r="K592" s="215"/>
      <c r="L592" s="215"/>
      <c r="M592" s="215"/>
      <c r="N592" s="215"/>
      <c r="O592" s="215"/>
      <c r="P592" s="215"/>
      <c r="Q592" s="215"/>
      <c r="R592" s="215"/>
      <c r="S592" s="215"/>
      <c r="T592" s="215"/>
      <c r="U592" s="215"/>
      <c r="V592" s="215"/>
      <c r="W592" s="215"/>
      <c r="X592" s="215"/>
      <c r="AD592" s="196"/>
    </row>
    <row r="593" spans="3:30" s="195" customFormat="1" ht="15">
      <c r="C593" s="215"/>
      <c r="D593" s="215"/>
      <c r="E593" s="215"/>
      <c r="F593" s="215"/>
      <c r="G593" s="215"/>
      <c r="H593" s="215"/>
      <c r="I593" s="215"/>
      <c r="J593" s="215"/>
      <c r="K593" s="215"/>
      <c r="L593" s="215"/>
      <c r="M593" s="215"/>
      <c r="N593" s="215"/>
      <c r="O593" s="215"/>
      <c r="P593" s="215"/>
      <c r="Q593" s="215"/>
      <c r="R593" s="215"/>
      <c r="S593" s="215"/>
      <c r="T593" s="215"/>
      <c r="U593" s="215"/>
      <c r="V593" s="215"/>
      <c r="W593" s="215"/>
      <c r="X593" s="215"/>
      <c r="AD593" s="196"/>
    </row>
    <row r="594" spans="3:30" s="195" customFormat="1" ht="15">
      <c r="C594" s="215"/>
      <c r="D594" s="215"/>
      <c r="E594" s="215"/>
      <c r="F594" s="215"/>
      <c r="G594" s="215"/>
      <c r="H594" s="215"/>
      <c r="I594" s="215"/>
      <c r="J594" s="215"/>
      <c r="K594" s="215"/>
      <c r="L594" s="215"/>
      <c r="M594" s="215"/>
      <c r="N594" s="215"/>
      <c r="O594" s="215"/>
      <c r="P594" s="215"/>
      <c r="Q594" s="215"/>
      <c r="R594" s="215"/>
      <c r="S594" s="215"/>
      <c r="T594" s="215"/>
      <c r="U594" s="215"/>
      <c r="V594" s="215"/>
      <c r="W594" s="215"/>
      <c r="X594" s="215"/>
      <c r="AD594" s="196"/>
    </row>
    <row r="595" spans="3:30" s="195" customFormat="1" ht="15">
      <c r="C595" s="215"/>
      <c r="D595" s="215"/>
      <c r="E595" s="215"/>
      <c r="F595" s="215"/>
      <c r="G595" s="215"/>
      <c r="H595" s="215"/>
      <c r="I595" s="215"/>
      <c r="J595" s="215"/>
      <c r="K595" s="215"/>
      <c r="L595" s="215"/>
      <c r="M595" s="215"/>
      <c r="N595" s="215"/>
      <c r="O595" s="215"/>
      <c r="P595" s="215"/>
      <c r="Q595" s="215"/>
      <c r="R595" s="215"/>
      <c r="S595" s="215"/>
      <c r="T595" s="215"/>
      <c r="U595" s="215"/>
      <c r="V595" s="215"/>
      <c r="W595" s="215"/>
      <c r="X595" s="215"/>
      <c r="AD595" s="196"/>
    </row>
    <row r="596" spans="3:30" s="195" customFormat="1" ht="15">
      <c r="C596" s="215"/>
      <c r="D596" s="215"/>
      <c r="E596" s="215"/>
      <c r="F596" s="215"/>
      <c r="G596" s="215"/>
      <c r="H596" s="215"/>
      <c r="I596" s="215"/>
      <c r="J596" s="215"/>
      <c r="K596" s="215"/>
      <c r="L596" s="215"/>
      <c r="M596" s="215"/>
      <c r="N596" s="215"/>
      <c r="O596" s="215"/>
      <c r="P596" s="215"/>
      <c r="Q596" s="215"/>
      <c r="R596" s="215"/>
      <c r="S596" s="215"/>
      <c r="T596" s="215"/>
      <c r="U596" s="215"/>
      <c r="V596" s="215"/>
      <c r="W596" s="215"/>
      <c r="X596" s="215"/>
      <c r="AD596" s="196"/>
    </row>
    <row r="597" spans="3:30" s="195" customFormat="1" ht="15">
      <c r="C597" s="215"/>
      <c r="D597" s="215"/>
      <c r="E597" s="215"/>
      <c r="F597" s="215"/>
      <c r="G597" s="215"/>
      <c r="H597" s="215"/>
      <c r="I597" s="215"/>
      <c r="J597" s="215"/>
      <c r="K597" s="215"/>
      <c r="L597" s="215"/>
      <c r="M597" s="215"/>
      <c r="N597" s="215"/>
      <c r="O597" s="215"/>
      <c r="P597" s="215"/>
      <c r="Q597" s="215"/>
      <c r="R597" s="215"/>
      <c r="S597" s="215"/>
      <c r="T597" s="215"/>
      <c r="U597" s="215"/>
      <c r="V597" s="215"/>
      <c r="W597" s="215"/>
      <c r="X597" s="215"/>
      <c r="AD597" s="196"/>
    </row>
    <row r="598" spans="3:30" s="195" customFormat="1" ht="15">
      <c r="C598" s="215"/>
      <c r="D598" s="215"/>
      <c r="E598" s="215"/>
      <c r="F598" s="215"/>
      <c r="G598" s="215"/>
      <c r="H598" s="215"/>
      <c r="I598" s="215"/>
      <c r="J598" s="215"/>
      <c r="K598" s="215"/>
      <c r="L598" s="215"/>
      <c r="M598" s="215"/>
      <c r="N598" s="215"/>
      <c r="O598" s="215"/>
      <c r="P598" s="215"/>
      <c r="Q598" s="215"/>
      <c r="R598" s="215"/>
      <c r="S598" s="215"/>
      <c r="T598" s="215"/>
      <c r="U598" s="215"/>
      <c r="V598" s="215"/>
      <c r="W598" s="215"/>
      <c r="X598" s="215"/>
      <c r="AD598" s="196"/>
    </row>
    <row r="599" spans="3:30" s="195" customFormat="1" ht="15">
      <c r="C599" s="215"/>
      <c r="D599" s="215"/>
      <c r="E599" s="215"/>
      <c r="F599" s="215"/>
      <c r="G599" s="215"/>
      <c r="H599" s="215"/>
      <c r="I599" s="215"/>
      <c r="J599" s="215"/>
      <c r="K599" s="215"/>
      <c r="L599" s="215"/>
      <c r="M599" s="215"/>
      <c r="N599" s="215"/>
      <c r="O599" s="215"/>
      <c r="P599" s="215"/>
      <c r="Q599" s="215"/>
      <c r="R599" s="215"/>
      <c r="S599" s="215"/>
      <c r="T599" s="215"/>
      <c r="U599" s="215"/>
      <c r="V599" s="215"/>
      <c r="W599" s="215"/>
      <c r="X599" s="215"/>
      <c r="AD599" s="196"/>
    </row>
    <row r="600" spans="3:30" s="195" customFormat="1" ht="15">
      <c r="C600" s="215"/>
      <c r="D600" s="215"/>
      <c r="E600" s="215"/>
      <c r="F600" s="215"/>
      <c r="G600" s="215"/>
      <c r="H600" s="215"/>
      <c r="I600" s="215"/>
      <c r="J600" s="215"/>
      <c r="K600" s="215"/>
      <c r="L600" s="215"/>
      <c r="M600" s="215"/>
      <c r="N600" s="215"/>
      <c r="O600" s="215"/>
      <c r="P600" s="215"/>
      <c r="Q600" s="215"/>
      <c r="R600" s="215"/>
      <c r="S600" s="215"/>
      <c r="T600" s="215"/>
      <c r="U600" s="215"/>
      <c r="V600" s="215"/>
      <c r="W600" s="215"/>
      <c r="X600" s="215"/>
      <c r="AD600" s="196"/>
    </row>
    <row r="601" spans="3:30" s="195" customFormat="1" ht="15">
      <c r="C601" s="215"/>
      <c r="D601" s="215"/>
      <c r="E601" s="215"/>
      <c r="F601" s="215"/>
      <c r="G601" s="215"/>
      <c r="H601" s="215"/>
      <c r="I601" s="215"/>
      <c r="J601" s="215"/>
      <c r="K601" s="215"/>
      <c r="L601" s="215"/>
      <c r="M601" s="215"/>
      <c r="N601" s="215"/>
      <c r="O601" s="215"/>
      <c r="P601" s="215"/>
      <c r="Q601" s="215"/>
      <c r="R601" s="215"/>
      <c r="S601" s="215"/>
      <c r="T601" s="215"/>
      <c r="U601" s="215"/>
      <c r="V601" s="215"/>
      <c r="W601" s="215"/>
      <c r="X601" s="215"/>
      <c r="AD601" s="196"/>
    </row>
    <row r="602" spans="3:30" s="195" customFormat="1" ht="15">
      <c r="C602" s="215"/>
      <c r="D602" s="215"/>
      <c r="E602" s="215"/>
      <c r="F602" s="215"/>
      <c r="G602" s="215"/>
      <c r="H602" s="215"/>
      <c r="I602" s="215"/>
      <c r="J602" s="215"/>
      <c r="K602" s="215"/>
      <c r="L602" s="215"/>
      <c r="M602" s="215"/>
      <c r="N602" s="215"/>
      <c r="O602" s="215"/>
      <c r="P602" s="215"/>
      <c r="Q602" s="215"/>
      <c r="R602" s="215"/>
      <c r="S602" s="215"/>
      <c r="T602" s="215"/>
      <c r="U602" s="215"/>
      <c r="V602" s="215"/>
      <c r="W602" s="215"/>
      <c r="X602" s="215"/>
      <c r="AD602" s="196"/>
    </row>
    <row r="603" spans="3:30" s="195" customFormat="1" ht="15">
      <c r="C603" s="215"/>
      <c r="D603" s="215"/>
      <c r="E603" s="215"/>
      <c r="F603" s="215"/>
      <c r="G603" s="215"/>
      <c r="H603" s="215"/>
      <c r="I603" s="215"/>
      <c r="J603" s="215"/>
      <c r="K603" s="215"/>
      <c r="L603" s="215"/>
      <c r="M603" s="215"/>
      <c r="N603" s="215"/>
      <c r="O603" s="215"/>
      <c r="P603" s="215"/>
      <c r="Q603" s="215"/>
      <c r="R603" s="215"/>
      <c r="S603" s="215"/>
      <c r="T603" s="215"/>
      <c r="U603" s="215"/>
      <c r="V603" s="215"/>
      <c r="W603" s="215"/>
      <c r="X603" s="215"/>
      <c r="AD603" s="196"/>
    </row>
    <row r="604" spans="3:30" s="195" customFormat="1" ht="15">
      <c r="C604" s="215"/>
      <c r="D604" s="215"/>
      <c r="E604" s="215"/>
      <c r="F604" s="215"/>
      <c r="G604" s="215"/>
      <c r="H604" s="215"/>
      <c r="I604" s="215"/>
      <c r="J604" s="215"/>
      <c r="K604" s="215"/>
      <c r="L604" s="215"/>
      <c r="M604" s="215"/>
      <c r="N604" s="215"/>
      <c r="O604" s="215"/>
      <c r="P604" s="215"/>
      <c r="Q604" s="215"/>
      <c r="R604" s="215"/>
      <c r="S604" s="215"/>
      <c r="T604" s="215"/>
      <c r="U604" s="215"/>
      <c r="V604" s="215"/>
      <c r="W604" s="215"/>
      <c r="X604" s="215"/>
      <c r="AD604" s="196"/>
    </row>
    <row r="605" spans="3:30" s="195" customFormat="1" ht="15">
      <c r="C605" s="215"/>
      <c r="D605" s="215"/>
      <c r="E605" s="215"/>
      <c r="F605" s="215"/>
      <c r="G605" s="215"/>
      <c r="H605" s="215"/>
      <c r="I605" s="215"/>
      <c r="J605" s="215"/>
      <c r="K605" s="215"/>
      <c r="L605" s="215"/>
      <c r="M605" s="215"/>
      <c r="N605" s="215"/>
      <c r="O605" s="215"/>
      <c r="P605" s="215"/>
      <c r="Q605" s="215"/>
      <c r="R605" s="215"/>
      <c r="S605" s="215"/>
      <c r="T605" s="215"/>
      <c r="U605" s="215"/>
      <c r="V605" s="215"/>
      <c r="W605" s="215"/>
      <c r="X605" s="215"/>
      <c r="AD605" s="196"/>
    </row>
    <row r="606" spans="3:30" s="195" customFormat="1" ht="15">
      <c r="C606" s="215"/>
      <c r="D606" s="215"/>
      <c r="E606" s="215"/>
      <c r="F606" s="215"/>
      <c r="G606" s="215"/>
      <c r="H606" s="215"/>
      <c r="I606" s="215"/>
      <c r="J606" s="215"/>
      <c r="K606" s="215"/>
      <c r="L606" s="215"/>
      <c r="M606" s="215"/>
      <c r="N606" s="215"/>
      <c r="O606" s="215"/>
      <c r="P606" s="215"/>
      <c r="Q606" s="215"/>
      <c r="R606" s="215"/>
      <c r="S606" s="215"/>
      <c r="T606" s="215"/>
      <c r="U606" s="215"/>
      <c r="V606" s="215"/>
      <c r="W606" s="215"/>
      <c r="X606" s="215"/>
      <c r="AD606" s="196"/>
    </row>
    <row r="607" spans="3:30" s="195" customFormat="1" ht="15">
      <c r="C607" s="215"/>
      <c r="D607" s="215"/>
      <c r="E607" s="215"/>
      <c r="F607" s="215"/>
      <c r="G607" s="215"/>
      <c r="H607" s="215"/>
      <c r="I607" s="215"/>
      <c r="J607" s="215"/>
      <c r="K607" s="215"/>
      <c r="L607" s="215"/>
      <c r="M607" s="215"/>
      <c r="N607" s="215"/>
      <c r="O607" s="215"/>
      <c r="P607" s="215"/>
      <c r="Q607" s="215"/>
      <c r="R607" s="215"/>
      <c r="S607" s="215"/>
      <c r="T607" s="215"/>
      <c r="U607" s="215"/>
      <c r="V607" s="215"/>
      <c r="W607" s="215"/>
      <c r="X607" s="215"/>
      <c r="AD607" s="196"/>
    </row>
    <row r="608" spans="3:30" s="195" customFormat="1" ht="15">
      <c r="C608" s="215"/>
      <c r="D608" s="215"/>
      <c r="E608" s="215"/>
      <c r="F608" s="215"/>
      <c r="G608" s="215"/>
      <c r="H608" s="215"/>
      <c r="I608" s="215"/>
      <c r="J608" s="215"/>
      <c r="K608" s="215"/>
      <c r="L608" s="215"/>
      <c r="M608" s="215"/>
      <c r="N608" s="215"/>
      <c r="O608" s="215"/>
      <c r="P608" s="215"/>
      <c r="Q608" s="215"/>
      <c r="R608" s="215"/>
      <c r="S608" s="215"/>
      <c r="T608" s="215"/>
      <c r="U608" s="215"/>
      <c r="V608" s="215"/>
      <c r="W608" s="215"/>
      <c r="X608" s="215"/>
      <c r="AD608" s="196"/>
    </row>
    <row r="609" spans="3:30" s="195" customFormat="1" ht="15">
      <c r="C609" s="215"/>
      <c r="D609" s="215"/>
      <c r="E609" s="215"/>
      <c r="F609" s="215"/>
      <c r="G609" s="215"/>
      <c r="H609" s="215"/>
      <c r="I609" s="215"/>
      <c r="J609" s="215"/>
      <c r="K609" s="215"/>
      <c r="L609" s="215"/>
      <c r="M609" s="215"/>
      <c r="N609" s="215"/>
      <c r="O609" s="215"/>
      <c r="P609" s="215"/>
      <c r="Q609" s="215"/>
      <c r="R609" s="215"/>
      <c r="S609" s="215"/>
      <c r="T609" s="215"/>
      <c r="U609" s="215"/>
      <c r="V609" s="215"/>
      <c r="W609" s="215"/>
      <c r="X609" s="215"/>
      <c r="AD609" s="196"/>
    </row>
    <row r="610" spans="3:30" s="195" customFormat="1" ht="15">
      <c r="C610" s="215"/>
      <c r="D610" s="215"/>
      <c r="E610" s="215"/>
      <c r="F610" s="215"/>
      <c r="G610" s="215"/>
      <c r="H610" s="215"/>
      <c r="I610" s="215"/>
      <c r="J610" s="215"/>
      <c r="K610" s="215"/>
      <c r="L610" s="215"/>
      <c r="M610" s="215"/>
      <c r="N610" s="215"/>
      <c r="O610" s="215"/>
      <c r="P610" s="215"/>
      <c r="Q610" s="215"/>
      <c r="R610" s="215"/>
      <c r="S610" s="215"/>
      <c r="T610" s="215"/>
      <c r="U610" s="215"/>
      <c r="V610" s="215"/>
      <c r="W610" s="215"/>
      <c r="X610" s="215"/>
      <c r="AD610" s="196"/>
    </row>
    <row r="611" spans="3:30" s="195" customFormat="1" ht="15">
      <c r="C611" s="215"/>
      <c r="D611" s="215"/>
      <c r="E611" s="215"/>
      <c r="F611" s="215"/>
      <c r="G611" s="215"/>
      <c r="H611" s="215"/>
      <c r="I611" s="215"/>
      <c r="J611" s="215"/>
      <c r="K611" s="215"/>
      <c r="L611" s="215"/>
      <c r="M611" s="215"/>
      <c r="N611" s="215"/>
      <c r="O611" s="215"/>
      <c r="P611" s="215"/>
      <c r="Q611" s="215"/>
      <c r="R611" s="215"/>
      <c r="S611" s="215"/>
      <c r="T611" s="215"/>
      <c r="U611" s="215"/>
      <c r="V611" s="215"/>
      <c r="W611" s="215"/>
      <c r="X611" s="215"/>
      <c r="AD611" s="196"/>
    </row>
    <row r="612" spans="3:30" s="195" customFormat="1" ht="15">
      <c r="C612" s="215"/>
      <c r="D612" s="215"/>
      <c r="E612" s="215"/>
      <c r="F612" s="215"/>
      <c r="G612" s="215"/>
      <c r="H612" s="215"/>
      <c r="I612" s="215"/>
      <c r="J612" s="215"/>
      <c r="K612" s="215"/>
      <c r="L612" s="215"/>
      <c r="M612" s="215"/>
      <c r="N612" s="215"/>
      <c r="O612" s="215"/>
      <c r="P612" s="215"/>
      <c r="Q612" s="215"/>
      <c r="R612" s="215"/>
      <c r="S612" s="215"/>
      <c r="T612" s="215"/>
      <c r="U612" s="215"/>
      <c r="V612" s="215"/>
      <c r="W612" s="215"/>
      <c r="X612" s="215"/>
      <c r="AD612" s="196"/>
    </row>
    <row r="613" spans="3:30" s="195" customFormat="1" ht="15">
      <c r="C613" s="215"/>
      <c r="D613" s="215"/>
      <c r="E613" s="215"/>
      <c r="F613" s="215"/>
      <c r="G613" s="215"/>
      <c r="H613" s="215"/>
      <c r="I613" s="215"/>
      <c r="J613" s="215"/>
      <c r="K613" s="215"/>
      <c r="L613" s="215"/>
      <c r="M613" s="215"/>
      <c r="N613" s="215"/>
      <c r="O613" s="215"/>
      <c r="P613" s="215"/>
      <c r="Q613" s="215"/>
      <c r="R613" s="215"/>
      <c r="S613" s="215"/>
      <c r="T613" s="215"/>
      <c r="U613" s="215"/>
      <c r="V613" s="215"/>
      <c r="W613" s="215"/>
      <c r="X613" s="215"/>
      <c r="AD613" s="196"/>
    </row>
    <row r="614" spans="3:30" s="195" customFormat="1" ht="15">
      <c r="C614" s="215"/>
      <c r="D614" s="215"/>
      <c r="E614" s="215"/>
      <c r="F614" s="215"/>
      <c r="G614" s="215"/>
      <c r="H614" s="215"/>
      <c r="I614" s="215"/>
      <c r="J614" s="215"/>
      <c r="K614" s="215"/>
      <c r="L614" s="215"/>
      <c r="M614" s="215"/>
      <c r="N614" s="215"/>
      <c r="O614" s="215"/>
      <c r="P614" s="215"/>
      <c r="Q614" s="215"/>
      <c r="R614" s="215"/>
      <c r="S614" s="215"/>
      <c r="T614" s="215"/>
      <c r="U614" s="215"/>
      <c r="V614" s="215"/>
      <c r="W614" s="215"/>
      <c r="X614" s="215"/>
      <c r="AD614" s="196"/>
    </row>
    <row r="615" spans="3:30" s="195" customFormat="1" ht="15">
      <c r="C615" s="215"/>
      <c r="D615" s="215"/>
      <c r="E615" s="215"/>
      <c r="F615" s="215"/>
      <c r="G615" s="215"/>
      <c r="H615" s="215"/>
      <c r="I615" s="215"/>
      <c r="J615" s="215"/>
      <c r="K615" s="215"/>
      <c r="L615" s="215"/>
      <c r="M615" s="215"/>
      <c r="N615" s="215"/>
      <c r="O615" s="215"/>
      <c r="P615" s="215"/>
      <c r="Q615" s="215"/>
      <c r="R615" s="215"/>
      <c r="S615" s="215"/>
      <c r="T615" s="215"/>
      <c r="U615" s="215"/>
      <c r="V615" s="215"/>
      <c r="W615" s="215"/>
      <c r="X615" s="215"/>
      <c r="AD615" s="196"/>
    </row>
    <row r="616" spans="3:30" s="195" customFormat="1" ht="15">
      <c r="C616" s="215"/>
      <c r="D616" s="215"/>
      <c r="E616" s="215"/>
      <c r="F616" s="215"/>
      <c r="G616" s="215"/>
      <c r="H616" s="215"/>
      <c r="I616" s="215"/>
      <c r="J616" s="215"/>
      <c r="K616" s="215"/>
      <c r="L616" s="215"/>
      <c r="M616" s="215"/>
      <c r="N616" s="215"/>
      <c r="O616" s="215"/>
      <c r="P616" s="215"/>
      <c r="Q616" s="215"/>
      <c r="R616" s="215"/>
      <c r="S616" s="215"/>
      <c r="T616" s="215"/>
      <c r="U616" s="215"/>
      <c r="V616" s="215"/>
      <c r="W616" s="215"/>
      <c r="X616" s="215"/>
      <c r="AD616" s="196"/>
    </row>
    <row r="617" spans="3:30" s="195" customFormat="1" ht="15">
      <c r="C617" s="215"/>
      <c r="D617" s="215"/>
      <c r="E617" s="215"/>
      <c r="F617" s="215"/>
      <c r="G617" s="215"/>
      <c r="H617" s="215"/>
      <c r="I617" s="215"/>
      <c r="J617" s="215"/>
      <c r="K617" s="215"/>
      <c r="L617" s="215"/>
      <c r="M617" s="215"/>
      <c r="N617" s="215"/>
      <c r="O617" s="215"/>
      <c r="P617" s="215"/>
      <c r="Q617" s="215"/>
      <c r="R617" s="215"/>
      <c r="S617" s="215"/>
      <c r="T617" s="215"/>
      <c r="U617" s="215"/>
      <c r="V617" s="215"/>
      <c r="W617" s="215"/>
      <c r="X617" s="215"/>
      <c r="AD617" s="196"/>
    </row>
    <row r="618" spans="3:30" s="195" customFormat="1" ht="15">
      <c r="C618" s="215"/>
      <c r="D618" s="215"/>
      <c r="E618" s="215"/>
      <c r="F618" s="215"/>
      <c r="G618" s="215"/>
      <c r="H618" s="215"/>
      <c r="I618" s="215"/>
      <c r="J618" s="215"/>
      <c r="K618" s="215"/>
      <c r="L618" s="215"/>
      <c r="M618" s="215"/>
      <c r="N618" s="215"/>
      <c r="O618" s="215"/>
      <c r="P618" s="215"/>
      <c r="Q618" s="215"/>
      <c r="R618" s="215"/>
      <c r="S618" s="215"/>
      <c r="T618" s="215"/>
      <c r="U618" s="215"/>
      <c r="V618" s="215"/>
      <c r="W618" s="215"/>
      <c r="X618" s="215"/>
      <c r="AD618" s="196"/>
    </row>
    <row r="619" spans="3:30" s="195" customFormat="1" ht="15">
      <c r="C619" s="215"/>
      <c r="D619" s="215"/>
      <c r="E619" s="215"/>
      <c r="F619" s="215"/>
      <c r="G619" s="215"/>
      <c r="H619" s="215"/>
      <c r="I619" s="215"/>
      <c r="J619" s="215"/>
      <c r="K619" s="215"/>
      <c r="L619" s="215"/>
      <c r="M619" s="215"/>
      <c r="N619" s="215"/>
      <c r="O619" s="215"/>
      <c r="P619" s="215"/>
      <c r="Q619" s="215"/>
      <c r="R619" s="215"/>
      <c r="S619" s="215"/>
      <c r="T619" s="215"/>
      <c r="U619" s="215"/>
      <c r="V619" s="215"/>
      <c r="W619" s="215"/>
      <c r="X619" s="215"/>
      <c r="AD619" s="196"/>
    </row>
    <row r="620" spans="3:30" s="195" customFormat="1" ht="15">
      <c r="C620" s="215"/>
      <c r="D620" s="215"/>
      <c r="E620" s="215"/>
      <c r="F620" s="215"/>
      <c r="G620" s="215"/>
      <c r="H620" s="215"/>
      <c r="I620" s="215"/>
      <c r="J620" s="215"/>
      <c r="K620" s="215"/>
      <c r="L620" s="215"/>
      <c r="M620" s="215"/>
      <c r="N620" s="215"/>
      <c r="O620" s="215"/>
      <c r="P620" s="215"/>
      <c r="Q620" s="215"/>
      <c r="R620" s="215"/>
      <c r="S620" s="215"/>
      <c r="T620" s="215"/>
      <c r="U620" s="215"/>
      <c r="V620" s="215"/>
      <c r="W620" s="215"/>
      <c r="X620" s="215"/>
      <c r="AD620" s="196"/>
    </row>
    <row r="621" spans="3:30" s="195" customFormat="1" ht="15">
      <c r="C621" s="215"/>
      <c r="D621" s="215"/>
      <c r="E621" s="215"/>
      <c r="F621" s="215"/>
      <c r="G621" s="215"/>
      <c r="H621" s="215"/>
      <c r="I621" s="215"/>
      <c r="J621" s="215"/>
      <c r="K621" s="215"/>
      <c r="L621" s="215"/>
      <c r="M621" s="215"/>
      <c r="N621" s="215"/>
      <c r="O621" s="215"/>
      <c r="P621" s="215"/>
      <c r="Q621" s="215"/>
      <c r="R621" s="215"/>
      <c r="S621" s="215"/>
      <c r="T621" s="215"/>
      <c r="U621" s="215"/>
      <c r="V621" s="215"/>
      <c r="W621" s="215"/>
      <c r="X621" s="215"/>
      <c r="AD621" s="196"/>
    </row>
    <row r="622" spans="3:30" s="195" customFormat="1" ht="15">
      <c r="C622" s="215"/>
      <c r="D622" s="215"/>
      <c r="E622" s="215"/>
      <c r="F622" s="215"/>
      <c r="G622" s="215"/>
      <c r="H622" s="215"/>
      <c r="I622" s="215"/>
      <c r="J622" s="215"/>
      <c r="K622" s="215"/>
      <c r="L622" s="215"/>
      <c r="M622" s="215"/>
      <c r="N622" s="215"/>
      <c r="O622" s="215"/>
      <c r="P622" s="215"/>
      <c r="Q622" s="215"/>
      <c r="R622" s="215"/>
      <c r="S622" s="215"/>
      <c r="T622" s="215"/>
      <c r="U622" s="215"/>
      <c r="V622" s="215"/>
      <c r="W622" s="215"/>
      <c r="X622" s="215"/>
      <c r="AD622" s="196"/>
    </row>
    <row r="623" spans="3:30" s="195" customFormat="1" ht="15">
      <c r="C623" s="215"/>
      <c r="D623" s="215"/>
      <c r="E623" s="215"/>
      <c r="F623" s="215"/>
      <c r="G623" s="215"/>
      <c r="H623" s="215"/>
      <c r="I623" s="215"/>
      <c r="J623" s="215"/>
      <c r="K623" s="215"/>
      <c r="L623" s="215"/>
      <c r="M623" s="215"/>
      <c r="N623" s="215"/>
      <c r="O623" s="215"/>
      <c r="P623" s="215"/>
      <c r="Q623" s="215"/>
      <c r="R623" s="215"/>
      <c r="S623" s="215"/>
      <c r="T623" s="215"/>
      <c r="U623" s="215"/>
      <c r="V623" s="215"/>
      <c r="W623" s="215"/>
      <c r="X623" s="215"/>
      <c r="AD623" s="196"/>
    </row>
    <row r="624" spans="3:30" s="195" customFormat="1" ht="15">
      <c r="C624" s="215"/>
      <c r="D624" s="215"/>
      <c r="E624" s="215"/>
      <c r="F624" s="215"/>
      <c r="G624" s="215"/>
      <c r="H624" s="215"/>
      <c r="I624" s="215"/>
      <c r="J624" s="215"/>
      <c r="K624" s="215"/>
      <c r="L624" s="215"/>
      <c r="M624" s="215"/>
      <c r="N624" s="215"/>
      <c r="O624" s="215"/>
      <c r="P624" s="215"/>
      <c r="Q624" s="215"/>
      <c r="R624" s="215"/>
      <c r="S624" s="215"/>
      <c r="T624" s="215"/>
      <c r="U624" s="215"/>
      <c r="V624" s="215"/>
      <c r="W624" s="215"/>
      <c r="X624" s="215"/>
      <c r="AD624" s="196"/>
    </row>
    <row r="625" spans="3:30" s="195" customFormat="1" ht="15">
      <c r="C625" s="215"/>
      <c r="D625" s="215"/>
      <c r="E625" s="215"/>
      <c r="F625" s="215"/>
      <c r="G625" s="215"/>
      <c r="H625" s="215"/>
      <c r="I625" s="215"/>
      <c r="J625" s="215"/>
      <c r="K625" s="215"/>
      <c r="L625" s="215"/>
      <c r="M625" s="215"/>
      <c r="N625" s="215"/>
      <c r="O625" s="215"/>
      <c r="P625" s="215"/>
      <c r="Q625" s="215"/>
      <c r="R625" s="215"/>
      <c r="S625" s="215"/>
      <c r="T625" s="215"/>
      <c r="U625" s="215"/>
      <c r="V625" s="215"/>
      <c r="W625" s="215"/>
      <c r="X625" s="215"/>
      <c r="AD625" s="196"/>
    </row>
    <row r="626" spans="3:30" s="195" customFormat="1" ht="15">
      <c r="C626" s="215"/>
      <c r="D626" s="215"/>
      <c r="E626" s="215"/>
      <c r="F626" s="215"/>
      <c r="G626" s="215"/>
      <c r="H626" s="215"/>
      <c r="I626" s="215"/>
      <c r="J626" s="215"/>
      <c r="K626" s="215"/>
      <c r="L626" s="215"/>
      <c r="M626" s="215"/>
      <c r="N626" s="215"/>
      <c r="O626" s="215"/>
      <c r="P626" s="215"/>
      <c r="Q626" s="215"/>
      <c r="R626" s="215"/>
      <c r="S626" s="215"/>
      <c r="T626" s="215"/>
      <c r="U626" s="215"/>
      <c r="V626" s="215"/>
      <c r="W626" s="215"/>
      <c r="X626" s="215"/>
      <c r="AD626" s="196"/>
    </row>
    <row r="627" spans="3:30" s="195" customFormat="1" ht="15">
      <c r="C627" s="215"/>
      <c r="D627" s="215"/>
      <c r="E627" s="215"/>
      <c r="F627" s="215"/>
      <c r="G627" s="215"/>
      <c r="H627" s="215"/>
      <c r="I627" s="215"/>
      <c r="J627" s="215"/>
      <c r="K627" s="215"/>
      <c r="L627" s="215"/>
      <c r="M627" s="215"/>
      <c r="N627" s="215"/>
      <c r="O627" s="215"/>
      <c r="P627" s="215"/>
      <c r="Q627" s="215"/>
      <c r="R627" s="215"/>
      <c r="S627" s="215"/>
      <c r="T627" s="215"/>
      <c r="U627" s="215"/>
      <c r="V627" s="215"/>
      <c r="W627" s="215"/>
      <c r="X627" s="215"/>
      <c r="AD627" s="196"/>
    </row>
    <row r="628" spans="3:30" s="195" customFormat="1" ht="15">
      <c r="C628" s="215"/>
      <c r="D628" s="215"/>
      <c r="E628" s="215"/>
      <c r="F628" s="215"/>
      <c r="G628" s="215"/>
      <c r="H628" s="215"/>
      <c r="I628" s="215"/>
      <c r="J628" s="215"/>
      <c r="K628" s="215"/>
      <c r="L628" s="215"/>
      <c r="M628" s="215"/>
      <c r="N628" s="215"/>
      <c r="O628" s="215"/>
      <c r="P628" s="215"/>
      <c r="Q628" s="215"/>
      <c r="R628" s="215"/>
      <c r="S628" s="215"/>
      <c r="T628" s="215"/>
      <c r="U628" s="215"/>
      <c r="V628" s="215"/>
      <c r="W628" s="215"/>
      <c r="X628" s="215"/>
      <c r="AD628" s="196"/>
    </row>
    <row r="629" spans="3:30" s="195" customFormat="1" ht="15">
      <c r="C629" s="215"/>
      <c r="D629" s="215"/>
      <c r="E629" s="215"/>
      <c r="F629" s="215"/>
      <c r="G629" s="215"/>
      <c r="H629" s="215"/>
      <c r="I629" s="215"/>
      <c r="J629" s="215"/>
      <c r="K629" s="215"/>
      <c r="L629" s="215"/>
      <c r="M629" s="215"/>
      <c r="N629" s="215"/>
      <c r="O629" s="215"/>
      <c r="P629" s="215"/>
      <c r="Q629" s="215"/>
      <c r="R629" s="215"/>
      <c r="S629" s="215"/>
      <c r="T629" s="215"/>
      <c r="U629" s="215"/>
      <c r="V629" s="215"/>
      <c r="W629" s="215"/>
      <c r="X629" s="215"/>
      <c r="AD629" s="196"/>
    </row>
    <row r="630" spans="3:30" s="195" customFormat="1" ht="15">
      <c r="C630" s="215"/>
      <c r="D630" s="215"/>
      <c r="E630" s="215"/>
      <c r="F630" s="215"/>
      <c r="G630" s="215"/>
      <c r="H630" s="215"/>
      <c r="I630" s="215"/>
      <c r="J630" s="215"/>
      <c r="K630" s="215"/>
      <c r="L630" s="215"/>
      <c r="M630" s="215"/>
      <c r="N630" s="215"/>
      <c r="O630" s="215"/>
      <c r="P630" s="215"/>
      <c r="Q630" s="215"/>
      <c r="R630" s="215"/>
      <c r="S630" s="215"/>
      <c r="T630" s="215"/>
      <c r="U630" s="215"/>
      <c r="V630" s="215"/>
      <c r="W630" s="215"/>
      <c r="X630" s="215"/>
      <c r="AD630" s="196"/>
    </row>
    <row r="631" spans="3:30" s="195" customFormat="1" ht="15">
      <c r="C631" s="215"/>
      <c r="D631" s="215"/>
      <c r="E631" s="215"/>
      <c r="F631" s="215"/>
      <c r="G631" s="215"/>
      <c r="H631" s="215"/>
      <c r="I631" s="215"/>
      <c r="J631" s="215"/>
      <c r="K631" s="215"/>
      <c r="L631" s="215"/>
      <c r="M631" s="215"/>
      <c r="N631" s="215"/>
      <c r="O631" s="215"/>
      <c r="P631" s="215"/>
      <c r="Q631" s="215"/>
      <c r="R631" s="215"/>
      <c r="S631" s="215"/>
      <c r="T631" s="215"/>
      <c r="U631" s="215"/>
      <c r="V631" s="215"/>
      <c r="W631" s="215"/>
      <c r="X631" s="215"/>
      <c r="AD631" s="196"/>
    </row>
    <row r="632" spans="3:30" s="195" customFormat="1" ht="15">
      <c r="C632" s="215"/>
      <c r="D632" s="215"/>
      <c r="E632" s="215"/>
      <c r="F632" s="215"/>
      <c r="G632" s="215"/>
      <c r="H632" s="215"/>
      <c r="I632" s="215"/>
      <c r="J632" s="215"/>
      <c r="K632" s="215"/>
      <c r="L632" s="215"/>
      <c r="M632" s="215"/>
      <c r="N632" s="215"/>
      <c r="O632" s="215"/>
      <c r="P632" s="215"/>
      <c r="Q632" s="215"/>
      <c r="R632" s="215"/>
      <c r="S632" s="215"/>
      <c r="T632" s="215"/>
      <c r="U632" s="215"/>
      <c r="V632" s="215"/>
      <c r="W632" s="215"/>
      <c r="X632" s="215"/>
      <c r="AD632" s="196"/>
    </row>
    <row r="633" spans="3:30" s="195" customFormat="1" ht="15">
      <c r="C633" s="215"/>
      <c r="D633" s="215"/>
      <c r="E633" s="215"/>
      <c r="F633" s="215"/>
      <c r="G633" s="215"/>
      <c r="H633" s="215"/>
      <c r="I633" s="215"/>
      <c r="J633" s="215"/>
      <c r="K633" s="215"/>
      <c r="L633" s="215"/>
      <c r="M633" s="215"/>
      <c r="N633" s="215"/>
      <c r="O633" s="215"/>
      <c r="P633" s="215"/>
      <c r="Q633" s="215"/>
      <c r="R633" s="215"/>
      <c r="S633" s="215"/>
      <c r="T633" s="215"/>
      <c r="U633" s="215"/>
      <c r="V633" s="215"/>
      <c r="W633" s="215"/>
      <c r="X633" s="215"/>
      <c r="AD633" s="196"/>
    </row>
    <row r="634" spans="3:30" s="195" customFormat="1" ht="15">
      <c r="C634" s="215"/>
      <c r="D634" s="215"/>
      <c r="E634" s="215"/>
      <c r="F634" s="215"/>
      <c r="G634" s="215"/>
      <c r="H634" s="215"/>
      <c r="I634" s="215"/>
      <c r="J634" s="215"/>
      <c r="K634" s="215"/>
      <c r="L634" s="215"/>
      <c r="M634" s="215"/>
      <c r="N634" s="215"/>
      <c r="O634" s="215"/>
      <c r="P634" s="215"/>
      <c r="Q634" s="215"/>
      <c r="R634" s="215"/>
      <c r="S634" s="215"/>
      <c r="T634" s="215"/>
      <c r="U634" s="215"/>
      <c r="V634" s="215"/>
      <c r="W634" s="215"/>
      <c r="X634" s="215"/>
      <c r="AD634" s="196"/>
    </row>
    <row r="635" spans="3:30" s="195" customFormat="1" ht="15">
      <c r="C635" s="215"/>
      <c r="D635" s="215"/>
      <c r="E635" s="215"/>
      <c r="F635" s="215"/>
      <c r="G635" s="215"/>
      <c r="H635" s="215"/>
      <c r="I635" s="215"/>
      <c r="J635" s="215"/>
      <c r="K635" s="215"/>
      <c r="L635" s="215"/>
      <c r="M635" s="215"/>
      <c r="N635" s="215"/>
      <c r="O635" s="215"/>
      <c r="P635" s="215"/>
      <c r="Q635" s="215"/>
      <c r="R635" s="215"/>
      <c r="S635" s="215"/>
      <c r="T635" s="215"/>
      <c r="U635" s="215"/>
      <c r="V635" s="215"/>
      <c r="W635" s="215"/>
      <c r="X635" s="215"/>
      <c r="AD635" s="196"/>
    </row>
    <row r="636" spans="3:30" s="195" customFormat="1" ht="15">
      <c r="C636" s="215"/>
      <c r="D636" s="215"/>
      <c r="E636" s="215"/>
      <c r="F636" s="215"/>
      <c r="G636" s="215"/>
      <c r="H636" s="215"/>
      <c r="I636" s="215"/>
      <c r="J636" s="215"/>
      <c r="K636" s="215"/>
      <c r="L636" s="215"/>
      <c r="M636" s="215"/>
      <c r="N636" s="215"/>
      <c r="O636" s="215"/>
      <c r="P636" s="215"/>
      <c r="Q636" s="215"/>
      <c r="R636" s="215"/>
      <c r="S636" s="215"/>
      <c r="T636" s="215"/>
      <c r="U636" s="215"/>
      <c r="V636" s="215"/>
      <c r="W636" s="215"/>
      <c r="X636" s="215"/>
      <c r="AD636" s="196"/>
    </row>
    <row r="637" spans="3:30" s="195" customFormat="1" ht="15">
      <c r="C637" s="215"/>
      <c r="D637" s="215"/>
      <c r="E637" s="215"/>
      <c r="F637" s="215"/>
      <c r="G637" s="215"/>
      <c r="H637" s="215"/>
      <c r="I637" s="215"/>
      <c r="J637" s="215"/>
      <c r="K637" s="215"/>
      <c r="L637" s="215"/>
      <c r="M637" s="215"/>
      <c r="N637" s="215"/>
      <c r="O637" s="215"/>
      <c r="P637" s="215"/>
      <c r="Q637" s="215"/>
      <c r="R637" s="215"/>
      <c r="S637" s="215"/>
      <c r="T637" s="215"/>
      <c r="U637" s="215"/>
      <c r="V637" s="215"/>
      <c r="W637" s="215"/>
      <c r="X637" s="215"/>
      <c r="AD637" s="196"/>
    </row>
    <row r="638" spans="3:30" s="195" customFormat="1" ht="15">
      <c r="C638" s="215"/>
      <c r="D638" s="215"/>
      <c r="E638" s="215"/>
      <c r="F638" s="215"/>
      <c r="G638" s="215"/>
      <c r="H638" s="215"/>
      <c r="I638" s="215"/>
      <c r="J638" s="215"/>
      <c r="K638" s="215"/>
      <c r="L638" s="215"/>
      <c r="M638" s="215"/>
      <c r="N638" s="215"/>
      <c r="O638" s="215"/>
      <c r="P638" s="215"/>
      <c r="Q638" s="215"/>
      <c r="R638" s="215"/>
      <c r="S638" s="215"/>
      <c r="T638" s="215"/>
      <c r="U638" s="215"/>
      <c r="V638" s="215"/>
      <c r="W638" s="215"/>
      <c r="X638" s="215"/>
      <c r="AD638" s="196"/>
    </row>
    <row r="639" spans="3:30" s="195" customFormat="1" ht="15">
      <c r="C639" s="215"/>
      <c r="D639" s="215"/>
      <c r="E639" s="215"/>
      <c r="F639" s="215"/>
      <c r="G639" s="215"/>
      <c r="H639" s="215"/>
      <c r="I639" s="215"/>
      <c r="J639" s="215"/>
      <c r="K639" s="215"/>
      <c r="L639" s="215"/>
      <c r="M639" s="215"/>
      <c r="N639" s="215"/>
      <c r="O639" s="215"/>
      <c r="P639" s="215"/>
      <c r="Q639" s="215"/>
      <c r="R639" s="215"/>
      <c r="S639" s="215"/>
      <c r="T639" s="215"/>
      <c r="U639" s="215"/>
      <c r="V639" s="215"/>
      <c r="W639" s="215"/>
      <c r="X639" s="215"/>
      <c r="AD639" s="196"/>
    </row>
    <row r="640" spans="3:30" s="195" customFormat="1" ht="15">
      <c r="C640" s="215"/>
      <c r="D640" s="215"/>
      <c r="E640" s="215"/>
      <c r="F640" s="215"/>
      <c r="G640" s="215"/>
      <c r="H640" s="215"/>
      <c r="I640" s="215"/>
      <c r="J640" s="215"/>
      <c r="K640" s="215"/>
      <c r="L640" s="215"/>
      <c r="M640" s="215"/>
      <c r="N640" s="215"/>
      <c r="O640" s="215"/>
      <c r="P640" s="215"/>
      <c r="Q640" s="215"/>
      <c r="R640" s="215"/>
      <c r="S640" s="215"/>
      <c r="T640" s="215"/>
      <c r="U640" s="215"/>
      <c r="V640" s="215"/>
      <c r="W640" s="215"/>
      <c r="X640" s="215"/>
      <c r="AD640" s="196"/>
    </row>
    <row r="641" spans="3:30" s="195" customFormat="1" ht="15">
      <c r="C641" s="215"/>
      <c r="D641" s="215"/>
      <c r="E641" s="215"/>
      <c r="F641" s="215"/>
      <c r="G641" s="215"/>
      <c r="H641" s="215"/>
      <c r="I641" s="215"/>
      <c r="J641" s="215"/>
      <c r="K641" s="215"/>
      <c r="L641" s="215"/>
      <c r="M641" s="215"/>
      <c r="N641" s="215"/>
      <c r="O641" s="215"/>
      <c r="P641" s="215"/>
      <c r="Q641" s="215"/>
      <c r="R641" s="215"/>
      <c r="S641" s="215"/>
      <c r="T641" s="215"/>
      <c r="U641" s="215"/>
      <c r="V641" s="215"/>
      <c r="W641" s="215"/>
      <c r="X641" s="215"/>
      <c r="AD641" s="196"/>
    </row>
    <row r="642" spans="3:30" s="195" customFormat="1" ht="15">
      <c r="C642" s="215"/>
      <c r="D642" s="215"/>
      <c r="E642" s="215"/>
      <c r="F642" s="215"/>
      <c r="G642" s="215"/>
      <c r="H642" s="215"/>
      <c r="I642" s="215"/>
      <c r="J642" s="215"/>
      <c r="K642" s="215"/>
      <c r="L642" s="215"/>
      <c r="M642" s="215"/>
      <c r="N642" s="215"/>
      <c r="O642" s="215"/>
      <c r="P642" s="215"/>
      <c r="Q642" s="215"/>
      <c r="R642" s="215"/>
      <c r="S642" s="215"/>
      <c r="T642" s="215"/>
      <c r="U642" s="215"/>
      <c r="V642" s="215"/>
      <c r="W642" s="215"/>
      <c r="X642" s="215"/>
      <c r="AD642" s="196"/>
    </row>
    <row r="643" spans="3:30" s="195" customFormat="1" ht="15">
      <c r="C643" s="215"/>
      <c r="D643" s="215"/>
      <c r="E643" s="215"/>
      <c r="F643" s="215"/>
      <c r="G643" s="215"/>
      <c r="H643" s="215"/>
      <c r="I643" s="215"/>
      <c r="J643" s="215"/>
      <c r="K643" s="215"/>
      <c r="L643" s="215"/>
      <c r="M643" s="215"/>
      <c r="N643" s="215"/>
      <c r="O643" s="215"/>
      <c r="P643" s="215"/>
      <c r="Q643" s="215"/>
      <c r="R643" s="215"/>
      <c r="S643" s="215"/>
      <c r="T643" s="215"/>
      <c r="U643" s="215"/>
      <c r="V643" s="215"/>
      <c r="W643" s="215"/>
      <c r="X643" s="215"/>
      <c r="AD643" s="196"/>
    </row>
    <row r="644" spans="3:30" s="195" customFormat="1" ht="15">
      <c r="C644" s="215"/>
      <c r="D644" s="215"/>
      <c r="E644" s="215"/>
      <c r="F644" s="215"/>
      <c r="G644" s="215"/>
      <c r="H644" s="215"/>
      <c r="I644" s="215"/>
      <c r="J644" s="215"/>
      <c r="K644" s="215"/>
      <c r="L644" s="215"/>
      <c r="M644" s="215"/>
      <c r="N644" s="215"/>
      <c r="O644" s="215"/>
      <c r="P644" s="215"/>
      <c r="Q644" s="215"/>
      <c r="R644" s="215"/>
      <c r="S644" s="215"/>
      <c r="T644" s="215"/>
      <c r="U644" s="215"/>
      <c r="V644" s="215"/>
      <c r="W644" s="215"/>
      <c r="X644" s="215"/>
      <c r="AD644" s="196"/>
    </row>
    <row r="645" spans="3:30" s="195" customFormat="1" ht="15">
      <c r="C645" s="215"/>
      <c r="D645" s="215"/>
      <c r="E645" s="215"/>
      <c r="F645" s="215"/>
      <c r="G645" s="215"/>
      <c r="H645" s="215"/>
      <c r="I645" s="215"/>
      <c r="J645" s="215"/>
      <c r="K645" s="215"/>
      <c r="L645" s="215"/>
      <c r="M645" s="215"/>
      <c r="N645" s="215"/>
      <c r="O645" s="215"/>
      <c r="P645" s="215"/>
      <c r="Q645" s="215"/>
      <c r="R645" s="215"/>
      <c r="S645" s="215"/>
      <c r="T645" s="215"/>
      <c r="U645" s="215"/>
      <c r="V645" s="215"/>
      <c r="W645" s="215"/>
      <c r="X645" s="215"/>
      <c r="AD645" s="196"/>
    </row>
    <row r="646" spans="3:30" s="195" customFormat="1" ht="15">
      <c r="C646" s="215"/>
      <c r="D646" s="215"/>
      <c r="E646" s="215"/>
      <c r="F646" s="215"/>
      <c r="G646" s="215"/>
      <c r="H646" s="215"/>
      <c r="I646" s="215"/>
      <c r="J646" s="215"/>
      <c r="K646" s="215"/>
      <c r="L646" s="215"/>
      <c r="M646" s="215"/>
      <c r="N646" s="215"/>
      <c r="O646" s="215"/>
      <c r="P646" s="215"/>
      <c r="Q646" s="215"/>
      <c r="R646" s="215"/>
      <c r="S646" s="215"/>
      <c r="T646" s="215"/>
      <c r="U646" s="215"/>
      <c r="V646" s="215"/>
      <c r="W646" s="215"/>
      <c r="X646" s="215"/>
      <c r="AD646" s="196"/>
    </row>
    <row r="647" spans="3:30" s="195" customFormat="1" ht="15">
      <c r="C647" s="215"/>
      <c r="D647" s="215"/>
      <c r="E647" s="215"/>
      <c r="F647" s="215"/>
      <c r="G647" s="215"/>
      <c r="H647" s="215"/>
      <c r="I647" s="215"/>
      <c r="J647" s="215"/>
      <c r="K647" s="215"/>
      <c r="L647" s="215"/>
      <c r="M647" s="215"/>
      <c r="N647" s="215"/>
      <c r="O647" s="215"/>
      <c r="P647" s="215"/>
      <c r="Q647" s="215"/>
      <c r="R647" s="215"/>
      <c r="S647" s="215"/>
      <c r="T647" s="215"/>
      <c r="U647" s="215"/>
      <c r="V647" s="215"/>
      <c r="W647" s="215"/>
      <c r="X647" s="215"/>
      <c r="AD647" s="196"/>
    </row>
    <row r="648" spans="3:30" s="195" customFormat="1" ht="15">
      <c r="C648" s="215"/>
      <c r="D648" s="215"/>
      <c r="E648" s="215"/>
      <c r="F648" s="215"/>
      <c r="G648" s="215"/>
      <c r="H648" s="215"/>
      <c r="I648" s="215"/>
      <c r="J648" s="215"/>
      <c r="K648" s="215"/>
      <c r="L648" s="215"/>
      <c r="M648" s="215"/>
      <c r="N648" s="215"/>
      <c r="O648" s="215"/>
      <c r="P648" s="215"/>
      <c r="Q648" s="215"/>
      <c r="R648" s="215"/>
      <c r="S648" s="215"/>
      <c r="T648" s="215"/>
      <c r="U648" s="215"/>
      <c r="V648" s="215"/>
      <c r="W648" s="215"/>
      <c r="X648" s="215"/>
      <c r="AD648" s="196"/>
    </row>
    <row r="649" spans="3:30" s="195" customFormat="1" ht="15">
      <c r="C649" s="215"/>
      <c r="D649" s="215"/>
      <c r="E649" s="215"/>
      <c r="F649" s="215"/>
      <c r="G649" s="215"/>
      <c r="H649" s="215"/>
      <c r="I649" s="215"/>
      <c r="J649" s="215"/>
      <c r="K649" s="215"/>
      <c r="L649" s="215"/>
      <c r="M649" s="215"/>
      <c r="N649" s="215"/>
      <c r="O649" s="215"/>
      <c r="P649" s="215"/>
      <c r="Q649" s="215"/>
      <c r="R649" s="215"/>
      <c r="S649" s="215"/>
      <c r="T649" s="215"/>
      <c r="U649" s="215"/>
      <c r="V649" s="215"/>
      <c r="W649" s="215"/>
      <c r="X649" s="215"/>
      <c r="AD649" s="196"/>
    </row>
    <row r="650" spans="3:30" s="195" customFormat="1" ht="15">
      <c r="C650" s="215"/>
      <c r="D650" s="215"/>
      <c r="E650" s="215"/>
      <c r="F650" s="215"/>
      <c r="G650" s="215"/>
      <c r="H650" s="215"/>
      <c r="I650" s="215"/>
      <c r="J650" s="215"/>
      <c r="K650" s="215"/>
      <c r="L650" s="215"/>
      <c r="M650" s="215"/>
      <c r="N650" s="215"/>
      <c r="O650" s="215"/>
      <c r="P650" s="215"/>
      <c r="Q650" s="215"/>
      <c r="R650" s="215"/>
      <c r="S650" s="215"/>
      <c r="T650" s="215"/>
      <c r="U650" s="215"/>
      <c r="V650" s="215"/>
      <c r="W650" s="215"/>
      <c r="X650" s="215"/>
      <c r="AD650" s="196"/>
    </row>
    <row r="651" spans="3:30" s="195" customFormat="1" ht="15">
      <c r="C651" s="215"/>
      <c r="D651" s="215"/>
      <c r="E651" s="215"/>
      <c r="F651" s="215"/>
      <c r="G651" s="215"/>
      <c r="H651" s="215"/>
      <c r="I651" s="215"/>
      <c r="J651" s="215"/>
      <c r="K651" s="215"/>
      <c r="L651" s="215"/>
      <c r="M651" s="215"/>
      <c r="N651" s="215"/>
      <c r="O651" s="215"/>
      <c r="P651" s="215"/>
      <c r="Q651" s="215"/>
      <c r="R651" s="215"/>
      <c r="S651" s="215"/>
      <c r="T651" s="215"/>
      <c r="U651" s="215"/>
      <c r="V651" s="215"/>
      <c r="W651" s="215"/>
      <c r="X651" s="215"/>
      <c r="AD651" s="196"/>
    </row>
    <row r="652" spans="3:30" s="195" customFormat="1" ht="15">
      <c r="C652" s="215"/>
      <c r="D652" s="215"/>
      <c r="E652" s="215"/>
      <c r="F652" s="215"/>
      <c r="G652" s="215"/>
      <c r="H652" s="215"/>
      <c r="I652" s="215"/>
      <c r="J652" s="215"/>
      <c r="K652" s="215"/>
      <c r="L652" s="215"/>
      <c r="M652" s="215"/>
      <c r="N652" s="215"/>
      <c r="O652" s="215"/>
      <c r="P652" s="215"/>
      <c r="Q652" s="215"/>
      <c r="R652" s="215"/>
      <c r="S652" s="215"/>
      <c r="T652" s="215"/>
      <c r="U652" s="215"/>
      <c r="V652" s="215"/>
      <c r="W652" s="215"/>
      <c r="X652" s="215"/>
      <c r="AD652" s="196"/>
    </row>
    <row r="653" spans="3:30" s="195" customFormat="1" ht="15">
      <c r="C653" s="215"/>
      <c r="D653" s="215"/>
      <c r="E653" s="215"/>
      <c r="F653" s="215"/>
      <c r="G653" s="215"/>
      <c r="H653" s="215"/>
      <c r="I653" s="215"/>
      <c r="J653" s="215"/>
      <c r="K653" s="215"/>
      <c r="L653" s="215"/>
      <c r="M653" s="215"/>
      <c r="N653" s="215"/>
      <c r="O653" s="215"/>
      <c r="P653" s="215"/>
      <c r="Q653" s="215"/>
      <c r="R653" s="215"/>
      <c r="S653" s="215"/>
      <c r="T653" s="215"/>
      <c r="U653" s="215"/>
      <c r="V653" s="215"/>
      <c r="W653" s="215"/>
      <c r="X653" s="215"/>
      <c r="AD653" s="196"/>
    </row>
    <row r="654" spans="3:30" s="195" customFormat="1" ht="15">
      <c r="C654" s="215"/>
      <c r="D654" s="215"/>
      <c r="E654" s="215"/>
      <c r="F654" s="215"/>
      <c r="G654" s="215"/>
      <c r="H654" s="215"/>
      <c r="I654" s="215"/>
      <c r="J654" s="215"/>
      <c r="K654" s="215"/>
      <c r="L654" s="215"/>
      <c r="M654" s="215"/>
      <c r="N654" s="215"/>
      <c r="O654" s="215"/>
      <c r="P654" s="215"/>
      <c r="Q654" s="215"/>
      <c r="R654" s="215"/>
      <c r="S654" s="215"/>
      <c r="T654" s="215"/>
      <c r="U654" s="215"/>
      <c r="V654" s="215"/>
      <c r="W654" s="215"/>
      <c r="X654" s="215"/>
      <c r="AD654" s="196"/>
    </row>
    <row r="655" spans="3:30" s="195" customFormat="1" ht="15">
      <c r="C655" s="215"/>
      <c r="D655" s="215"/>
      <c r="E655" s="215"/>
      <c r="F655" s="215"/>
      <c r="G655" s="215"/>
      <c r="H655" s="215"/>
      <c r="I655" s="215"/>
      <c r="J655" s="215"/>
      <c r="K655" s="215"/>
      <c r="L655" s="215"/>
      <c r="M655" s="215"/>
      <c r="N655" s="215"/>
      <c r="O655" s="215"/>
      <c r="P655" s="215"/>
      <c r="Q655" s="215"/>
      <c r="R655" s="215"/>
      <c r="S655" s="215"/>
      <c r="T655" s="215"/>
      <c r="U655" s="215"/>
      <c r="V655" s="215"/>
      <c r="W655" s="215"/>
      <c r="X655" s="215"/>
      <c r="AD655" s="196"/>
    </row>
    <row r="656" spans="3:30" s="195" customFormat="1" ht="15">
      <c r="C656" s="215"/>
      <c r="D656" s="215"/>
      <c r="E656" s="215"/>
      <c r="F656" s="215"/>
      <c r="G656" s="215"/>
      <c r="H656" s="215"/>
      <c r="I656" s="215"/>
      <c r="J656" s="215"/>
      <c r="K656" s="215"/>
      <c r="L656" s="215"/>
      <c r="M656" s="215"/>
      <c r="N656" s="215"/>
      <c r="O656" s="215"/>
      <c r="P656" s="215"/>
      <c r="Q656" s="215"/>
      <c r="R656" s="215"/>
      <c r="S656" s="215"/>
      <c r="T656" s="215"/>
      <c r="U656" s="215"/>
      <c r="V656" s="215"/>
      <c r="W656" s="215"/>
      <c r="X656" s="215"/>
      <c r="AD656" s="196"/>
    </row>
    <row r="657" spans="3:30" s="195" customFormat="1" ht="15">
      <c r="C657" s="215"/>
      <c r="D657" s="215"/>
      <c r="E657" s="215"/>
      <c r="F657" s="215"/>
      <c r="G657" s="215"/>
      <c r="H657" s="215"/>
      <c r="I657" s="215"/>
      <c r="J657" s="215"/>
      <c r="K657" s="215"/>
      <c r="L657" s="215"/>
      <c r="M657" s="215"/>
      <c r="N657" s="215"/>
      <c r="O657" s="215"/>
      <c r="P657" s="215"/>
      <c r="Q657" s="215"/>
      <c r="R657" s="215"/>
      <c r="S657" s="215"/>
      <c r="T657" s="215"/>
      <c r="U657" s="215"/>
      <c r="V657" s="215"/>
      <c r="W657" s="215"/>
      <c r="X657" s="215"/>
      <c r="AD657" s="196"/>
    </row>
    <row r="658" spans="3:30" s="195" customFormat="1" ht="15">
      <c r="C658" s="215"/>
      <c r="D658" s="215"/>
      <c r="E658" s="215"/>
      <c r="F658" s="215"/>
      <c r="G658" s="215"/>
      <c r="H658" s="215"/>
      <c r="I658" s="215"/>
      <c r="J658" s="215"/>
      <c r="K658" s="215"/>
      <c r="L658" s="215"/>
      <c r="M658" s="215"/>
      <c r="N658" s="215"/>
      <c r="O658" s="215"/>
      <c r="P658" s="215"/>
      <c r="Q658" s="215"/>
      <c r="R658" s="215"/>
      <c r="S658" s="215"/>
      <c r="T658" s="215"/>
      <c r="U658" s="215"/>
      <c r="V658" s="215"/>
      <c r="W658" s="215"/>
      <c r="X658" s="215"/>
      <c r="AD658" s="196"/>
    </row>
    <row r="659" spans="3:30" s="195" customFormat="1" ht="15">
      <c r="C659" s="215"/>
      <c r="D659" s="215"/>
      <c r="E659" s="215"/>
      <c r="F659" s="215"/>
      <c r="G659" s="215"/>
      <c r="H659" s="215"/>
      <c r="I659" s="215"/>
      <c r="J659" s="215"/>
      <c r="K659" s="215"/>
      <c r="L659" s="215"/>
      <c r="M659" s="215"/>
      <c r="N659" s="215"/>
      <c r="O659" s="215"/>
      <c r="P659" s="215"/>
      <c r="Q659" s="215"/>
      <c r="R659" s="215"/>
      <c r="S659" s="215"/>
      <c r="T659" s="215"/>
      <c r="U659" s="215"/>
      <c r="V659" s="215"/>
      <c r="W659" s="215"/>
      <c r="X659" s="215"/>
      <c r="AD659" s="196"/>
    </row>
    <row r="660" spans="3:30" s="195" customFormat="1" ht="15">
      <c r="C660" s="215"/>
      <c r="D660" s="215"/>
      <c r="E660" s="215"/>
      <c r="F660" s="215"/>
      <c r="G660" s="215"/>
      <c r="H660" s="215"/>
      <c r="I660" s="215"/>
      <c r="J660" s="215"/>
      <c r="K660" s="215"/>
      <c r="L660" s="215"/>
      <c r="M660" s="215"/>
      <c r="N660" s="215"/>
      <c r="O660" s="215"/>
      <c r="P660" s="215"/>
      <c r="Q660" s="215"/>
      <c r="R660" s="215"/>
      <c r="S660" s="215"/>
      <c r="T660" s="215"/>
      <c r="U660" s="215"/>
      <c r="V660" s="215"/>
      <c r="W660" s="215"/>
      <c r="X660" s="215"/>
      <c r="AD660" s="196"/>
    </row>
    <row r="661" spans="3:30" s="195" customFormat="1" ht="15">
      <c r="C661" s="215"/>
      <c r="D661" s="215"/>
      <c r="E661" s="215"/>
      <c r="F661" s="215"/>
      <c r="G661" s="215"/>
      <c r="H661" s="215"/>
      <c r="I661" s="215"/>
      <c r="J661" s="215"/>
      <c r="K661" s="215"/>
      <c r="L661" s="215"/>
      <c r="M661" s="215"/>
      <c r="N661" s="215"/>
      <c r="O661" s="215"/>
      <c r="P661" s="215"/>
      <c r="Q661" s="215"/>
      <c r="R661" s="215"/>
      <c r="S661" s="215"/>
      <c r="T661" s="215"/>
      <c r="U661" s="215"/>
      <c r="V661" s="215"/>
      <c r="W661" s="215"/>
      <c r="X661" s="215"/>
      <c r="AD661" s="196"/>
    </row>
    <row r="662" spans="3:30" s="195" customFormat="1" ht="15">
      <c r="C662" s="215"/>
      <c r="D662" s="215"/>
      <c r="E662" s="215"/>
      <c r="F662" s="215"/>
      <c r="G662" s="215"/>
      <c r="H662" s="215"/>
      <c r="I662" s="215"/>
      <c r="J662" s="215"/>
      <c r="K662" s="215"/>
      <c r="L662" s="215"/>
      <c r="M662" s="215"/>
      <c r="N662" s="215"/>
      <c r="O662" s="215"/>
      <c r="P662" s="215"/>
      <c r="Q662" s="215"/>
      <c r="R662" s="215"/>
      <c r="S662" s="215"/>
      <c r="T662" s="215"/>
      <c r="U662" s="215"/>
      <c r="V662" s="215"/>
      <c r="W662" s="215"/>
      <c r="X662" s="215"/>
      <c r="AD662" s="196"/>
    </row>
    <row r="663" spans="3:30" s="195" customFormat="1" ht="15">
      <c r="C663" s="215"/>
      <c r="D663" s="215"/>
      <c r="E663" s="215"/>
      <c r="F663" s="215"/>
      <c r="G663" s="215"/>
      <c r="H663" s="215"/>
      <c r="I663" s="215"/>
      <c r="J663" s="215"/>
      <c r="K663" s="215"/>
      <c r="L663" s="215"/>
      <c r="M663" s="215"/>
      <c r="N663" s="215"/>
      <c r="O663" s="215"/>
      <c r="P663" s="215"/>
      <c r="Q663" s="215"/>
      <c r="R663" s="215"/>
      <c r="S663" s="215"/>
      <c r="T663" s="215"/>
      <c r="U663" s="215"/>
      <c r="V663" s="215"/>
      <c r="W663" s="215"/>
      <c r="X663" s="215"/>
      <c r="AD663" s="196"/>
    </row>
    <row r="664" spans="3:30" s="195" customFormat="1" ht="15">
      <c r="C664" s="215"/>
      <c r="D664" s="215"/>
      <c r="E664" s="215"/>
      <c r="F664" s="215"/>
      <c r="G664" s="215"/>
      <c r="H664" s="215"/>
      <c r="I664" s="215"/>
      <c r="J664" s="215"/>
      <c r="K664" s="215"/>
      <c r="L664" s="215"/>
      <c r="M664" s="215"/>
      <c r="N664" s="215"/>
      <c r="O664" s="215"/>
      <c r="P664" s="215"/>
      <c r="Q664" s="215"/>
      <c r="R664" s="215"/>
      <c r="S664" s="215"/>
      <c r="T664" s="215"/>
      <c r="U664" s="215"/>
      <c r="V664" s="215"/>
      <c r="W664" s="215"/>
      <c r="X664" s="215"/>
      <c r="AD664" s="196"/>
    </row>
    <row r="665" spans="3:30" s="195" customFormat="1" ht="15">
      <c r="C665" s="215"/>
      <c r="D665" s="215"/>
      <c r="E665" s="215"/>
      <c r="F665" s="215"/>
      <c r="G665" s="215"/>
      <c r="H665" s="215"/>
      <c r="I665" s="215"/>
      <c r="J665" s="215"/>
      <c r="K665" s="215"/>
      <c r="L665" s="215"/>
      <c r="M665" s="215"/>
      <c r="N665" s="215"/>
      <c r="O665" s="215"/>
      <c r="P665" s="215"/>
      <c r="Q665" s="215"/>
      <c r="R665" s="215"/>
      <c r="S665" s="215"/>
      <c r="T665" s="215"/>
      <c r="U665" s="215"/>
      <c r="V665" s="215"/>
      <c r="W665" s="215"/>
      <c r="X665" s="215"/>
      <c r="AD665" s="196"/>
    </row>
    <row r="666" spans="3:30" s="195" customFormat="1" ht="15">
      <c r="C666" s="215"/>
      <c r="D666" s="215"/>
      <c r="E666" s="215"/>
      <c r="F666" s="215"/>
      <c r="G666" s="215"/>
      <c r="H666" s="215"/>
      <c r="I666" s="215"/>
      <c r="J666" s="215"/>
      <c r="K666" s="215"/>
      <c r="L666" s="215"/>
      <c r="M666" s="215"/>
      <c r="N666" s="215"/>
      <c r="O666" s="215"/>
      <c r="P666" s="215"/>
      <c r="Q666" s="215"/>
      <c r="R666" s="215"/>
      <c r="S666" s="215"/>
      <c r="T666" s="215"/>
      <c r="U666" s="215"/>
      <c r="V666" s="215"/>
      <c r="W666" s="215"/>
      <c r="X666" s="215"/>
      <c r="AD666" s="196"/>
    </row>
    <row r="667" spans="3:30" s="195" customFormat="1" ht="15">
      <c r="C667" s="215"/>
      <c r="D667" s="215"/>
      <c r="E667" s="215"/>
      <c r="F667" s="215"/>
      <c r="G667" s="215"/>
      <c r="H667" s="215"/>
      <c r="I667" s="215"/>
      <c r="J667" s="215"/>
      <c r="K667" s="215"/>
      <c r="L667" s="215"/>
      <c r="M667" s="215"/>
      <c r="N667" s="215"/>
      <c r="O667" s="215"/>
      <c r="P667" s="215"/>
      <c r="Q667" s="215"/>
      <c r="R667" s="215"/>
      <c r="S667" s="215"/>
      <c r="T667" s="215"/>
      <c r="U667" s="215"/>
      <c r="V667" s="215"/>
      <c r="W667" s="215"/>
      <c r="X667" s="215"/>
      <c r="AD667" s="196"/>
    </row>
    <row r="668" spans="3:30" s="195" customFormat="1" ht="15">
      <c r="C668" s="215"/>
      <c r="D668" s="215"/>
      <c r="E668" s="215"/>
      <c r="F668" s="215"/>
      <c r="G668" s="215"/>
      <c r="H668" s="215"/>
      <c r="I668" s="215"/>
      <c r="J668" s="215"/>
      <c r="K668" s="215"/>
      <c r="L668" s="215"/>
      <c r="M668" s="215"/>
      <c r="N668" s="215"/>
      <c r="O668" s="215"/>
      <c r="P668" s="215"/>
      <c r="Q668" s="215"/>
      <c r="R668" s="215"/>
      <c r="S668" s="215"/>
      <c r="T668" s="215"/>
      <c r="U668" s="215"/>
      <c r="V668" s="215"/>
      <c r="W668" s="215"/>
      <c r="X668" s="215"/>
      <c r="AD668" s="196"/>
    </row>
    <row r="669" spans="3:30" s="195" customFormat="1" ht="15">
      <c r="C669" s="215"/>
      <c r="D669" s="215"/>
      <c r="E669" s="215"/>
      <c r="F669" s="215"/>
      <c r="G669" s="215"/>
      <c r="H669" s="215"/>
      <c r="I669" s="215"/>
      <c r="J669" s="215"/>
      <c r="K669" s="215"/>
      <c r="L669" s="215"/>
      <c r="M669" s="215"/>
      <c r="N669" s="215"/>
      <c r="O669" s="215"/>
      <c r="P669" s="215"/>
      <c r="Q669" s="215"/>
      <c r="R669" s="215"/>
      <c r="S669" s="215"/>
      <c r="T669" s="215"/>
      <c r="U669" s="215"/>
      <c r="V669" s="215"/>
      <c r="W669" s="215"/>
      <c r="X669" s="215"/>
      <c r="AD669" s="196"/>
    </row>
    <row r="670" spans="3:30" s="195" customFormat="1" ht="15">
      <c r="C670" s="215"/>
      <c r="D670" s="215"/>
      <c r="E670" s="215"/>
      <c r="F670" s="215"/>
      <c r="G670" s="215"/>
      <c r="H670" s="215"/>
      <c r="I670" s="215"/>
      <c r="J670" s="215"/>
      <c r="K670" s="215"/>
      <c r="L670" s="215"/>
      <c r="M670" s="215"/>
      <c r="N670" s="215"/>
      <c r="O670" s="215"/>
      <c r="P670" s="215"/>
      <c r="Q670" s="215"/>
      <c r="R670" s="215"/>
      <c r="S670" s="215"/>
      <c r="T670" s="215"/>
      <c r="U670" s="215"/>
      <c r="V670" s="215"/>
      <c r="W670" s="215"/>
      <c r="X670" s="215"/>
      <c r="AD670" s="196"/>
    </row>
    <row r="671" spans="3:30" s="195" customFormat="1" ht="15">
      <c r="C671" s="215"/>
      <c r="D671" s="215"/>
      <c r="E671" s="215"/>
      <c r="F671" s="215"/>
      <c r="G671" s="215"/>
      <c r="H671" s="215"/>
      <c r="I671" s="215"/>
      <c r="J671" s="215"/>
      <c r="K671" s="215"/>
      <c r="L671" s="215"/>
      <c r="M671" s="215"/>
      <c r="N671" s="215"/>
      <c r="O671" s="215"/>
      <c r="P671" s="215"/>
      <c r="Q671" s="215"/>
      <c r="R671" s="215"/>
      <c r="S671" s="215"/>
      <c r="T671" s="215"/>
      <c r="U671" s="215"/>
      <c r="V671" s="215"/>
      <c r="W671" s="215"/>
      <c r="X671" s="215"/>
      <c r="AD671" s="196"/>
    </row>
    <row r="672" spans="3:30" s="195" customFormat="1" ht="15">
      <c r="C672" s="215"/>
      <c r="D672" s="215"/>
      <c r="E672" s="215"/>
      <c r="F672" s="215"/>
      <c r="G672" s="215"/>
      <c r="H672" s="215"/>
      <c r="I672" s="215"/>
      <c r="J672" s="215"/>
      <c r="K672" s="215"/>
      <c r="L672" s="215"/>
      <c r="M672" s="215"/>
      <c r="N672" s="215"/>
      <c r="O672" s="215"/>
      <c r="P672" s="215"/>
      <c r="Q672" s="215"/>
      <c r="R672" s="215"/>
      <c r="S672" s="215"/>
      <c r="T672" s="215"/>
      <c r="U672" s="215"/>
      <c r="V672" s="215"/>
      <c r="W672" s="215"/>
      <c r="X672" s="215"/>
      <c r="AD672" s="196"/>
    </row>
    <row r="673" spans="3:30" s="195" customFormat="1" ht="15">
      <c r="C673" s="215"/>
      <c r="D673" s="215"/>
      <c r="E673" s="215"/>
      <c r="F673" s="215"/>
      <c r="G673" s="215"/>
      <c r="H673" s="215"/>
      <c r="I673" s="215"/>
      <c r="J673" s="215"/>
      <c r="K673" s="215"/>
      <c r="L673" s="215"/>
      <c r="M673" s="215"/>
      <c r="N673" s="215"/>
      <c r="O673" s="215"/>
      <c r="P673" s="215"/>
      <c r="Q673" s="215"/>
      <c r="R673" s="215"/>
      <c r="S673" s="215"/>
      <c r="T673" s="215"/>
      <c r="U673" s="215"/>
      <c r="V673" s="215"/>
      <c r="W673" s="215"/>
      <c r="X673" s="215"/>
      <c r="AD673" s="196"/>
    </row>
    <row r="674" spans="3:30" s="195" customFormat="1" ht="15">
      <c r="C674" s="215"/>
      <c r="D674" s="215"/>
      <c r="E674" s="215"/>
      <c r="F674" s="215"/>
      <c r="G674" s="215"/>
      <c r="H674" s="215"/>
      <c r="I674" s="215"/>
      <c r="J674" s="215"/>
      <c r="K674" s="215"/>
      <c r="L674" s="215"/>
      <c r="M674" s="215"/>
      <c r="N674" s="215"/>
      <c r="O674" s="215"/>
      <c r="P674" s="215"/>
      <c r="Q674" s="215"/>
      <c r="R674" s="215"/>
      <c r="S674" s="215"/>
      <c r="T674" s="215"/>
      <c r="U674" s="215"/>
      <c r="V674" s="215"/>
      <c r="W674" s="215"/>
      <c r="X674" s="215"/>
      <c r="AD674" s="196"/>
    </row>
    <row r="675" spans="3:30" s="195" customFormat="1" ht="15">
      <c r="C675" s="215"/>
      <c r="D675" s="215"/>
      <c r="E675" s="215"/>
      <c r="F675" s="215"/>
      <c r="G675" s="215"/>
      <c r="H675" s="215"/>
      <c r="I675" s="215"/>
      <c r="J675" s="215"/>
      <c r="K675" s="215"/>
      <c r="L675" s="215"/>
      <c r="M675" s="215"/>
      <c r="N675" s="215"/>
      <c r="O675" s="215"/>
      <c r="P675" s="215"/>
      <c r="Q675" s="215"/>
      <c r="R675" s="215"/>
      <c r="S675" s="215"/>
      <c r="T675" s="215"/>
      <c r="U675" s="215"/>
      <c r="V675" s="215"/>
      <c r="W675" s="215"/>
      <c r="X675" s="215"/>
      <c r="AD675" s="196"/>
    </row>
    <row r="676" spans="3:30" s="195" customFormat="1" ht="15">
      <c r="C676" s="215"/>
      <c r="D676" s="215"/>
      <c r="E676" s="215"/>
      <c r="F676" s="215"/>
      <c r="G676" s="215"/>
      <c r="H676" s="215"/>
      <c r="I676" s="215"/>
      <c r="J676" s="215"/>
      <c r="K676" s="215"/>
      <c r="L676" s="215"/>
      <c r="M676" s="215"/>
      <c r="N676" s="215"/>
      <c r="O676" s="215"/>
      <c r="P676" s="215"/>
      <c r="Q676" s="215"/>
      <c r="R676" s="215"/>
      <c r="S676" s="215"/>
      <c r="T676" s="215"/>
      <c r="U676" s="215"/>
      <c r="V676" s="215"/>
      <c r="W676" s="215"/>
      <c r="X676" s="215"/>
      <c r="AD676" s="196"/>
    </row>
    <row r="677" spans="3:30" s="195" customFormat="1" ht="15">
      <c r="C677" s="215"/>
      <c r="D677" s="215"/>
      <c r="E677" s="215"/>
      <c r="F677" s="215"/>
      <c r="G677" s="215"/>
      <c r="H677" s="215"/>
      <c r="I677" s="215"/>
      <c r="J677" s="215"/>
      <c r="K677" s="215"/>
      <c r="L677" s="215"/>
      <c r="M677" s="215"/>
      <c r="N677" s="215"/>
      <c r="O677" s="215"/>
      <c r="P677" s="215"/>
      <c r="Q677" s="215"/>
      <c r="R677" s="215"/>
      <c r="S677" s="215"/>
      <c r="T677" s="215"/>
      <c r="U677" s="215"/>
      <c r="V677" s="215"/>
      <c r="W677" s="215"/>
      <c r="X677" s="215"/>
      <c r="AD677" s="196"/>
    </row>
    <row r="678" spans="3:30" s="195" customFormat="1" ht="15">
      <c r="C678" s="215"/>
      <c r="D678" s="215"/>
      <c r="E678" s="215"/>
      <c r="F678" s="215"/>
      <c r="G678" s="215"/>
      <c r="H678" s="215"/>
      <c r="I678" s="215"/>
      <c r="J678" s="215"/>
      <c r="K678" s="215"/>
      <c r="L678" s="215"/>
      <c r="M678" s="215"/>
      <c r="N678" s="215"/>
      <c r="O678" s="215"/>
      <c r="P678" s="215"/>
      <c r="Q678" s="215"/>
      <c r="R678" s="215"/>
      <c r="S678" s="215"/>
      <c r="T678" s="215"/>
      <c r="U678" s="215"/>
      <c r="V678" s="215"/>
      <c r="W678" s="215"/>
      <c r="X678" s="215"/>
      <c r="AD678" s="196"/>
    </row>
    <row r="679" spans="3:30" s="195" customFormat="1" ht="15">
      <c r="C679" s="215"/>
      <c r="D679" s="215"/>
      <c r="E679" s="215"/>
      <c r="F679" s="215"/>
      <c r="G679" s="215"/>
      <c r="H679" s="215"/>
      <c r="I679" s="215"/>
      <c r="J679" s="215"/>
      <c r="K679" s="215"/>
      <c r="L679" s="215"/>
      <c r="M679" s="215"/>
      <c r="N679" s="215"/>
      <c r="O679" s="215"/>
      <c r="P679" s="215"/>
      <c r="Q679" s="215"/>
      <c r="R679" s="215"/>
      <c r="S679" s="215"/>
      <c r="T679" s="215"/>
      <c r="U679" s="215"/>
      <c r="V679" s="215"/>
      <c r="W679" s="215"/>
      <c r="X679" s="215"/>
      <c r="AD679" s="196"/>
    </row>
    <row r="680" spans="3:30" s="195" customFormat="1" ht="15">
      <c r="C680" s="215"/>
      <c r="D680" s="215"/>
      <c r="E680" s="215"/>
      <c r="F680" s="215"/>
      <c r="G680" s="215"/>
      <c r="H680" s="215"/>
      <c r="I680" s="215"/>
      <c r="J680" s="215"/>
      <c r="K680" s="215"/>
      <c r="L680" s="215"/>
      <c r="M680" s="215"/>
      <c r="N680" s="215"/>
      <c r="O680" s="215"/>
      <c r="P680" s="215"/>
      <c r="Q680" s="215"/>
      <c r="R680" s="215"/>
      <c r="S680" s="215"/>
      <c r="T680" s="215"/>
      <c r="U680" s="215"/>
      <c r="V680" s="215"/>
      <c r="W680" s="215"/>
      <c r="X680" s="215"/>
      <c r="AD680" s="196"/>
    </row>
    <row r="681" spans="3:30" s="195" customFormat="1" ht="15">
      <c r="C681" s="215"/>
      <c r="D681" s="215"/>
      <c r="E681" s="215"/>
      <c r="F681" s="215"/>
      <c r="G681" s="215"/>
      <c r="H681" s="215"/>
      <c r="I681" s="215"/>
      <c r="J681" s="215"/>
      <c r="K681" s="215"/>
      <c r="L681" s="215"/>
      <c r="M681" s="215"/>
      <c r="N681" s="215"/>
      <c r="O681" s="215"/>
      <c r="P681" s="215"/>
      <c r="Q681" s="215"/>
      <c r="R681" s="215"/>
      <c r="S681" s="215"/>
      <c r="T681" s="215"/>
      <c r="U681" s="215"/>
      <c r="V681" s="215"/>
      <c r="W681" s="215"/>
      <c r="X681" s="215"/>
      <c r="AD681" s="196"/>
    </row>
    <row r="682" spans="3:30" s="195" customFormat="1" ht="15">
      <c r="C682" s="215"/>
      <c r="D682" s="215"/>
      <c r="E682" s="215"/>
      <c r="F682" s="215"/>
      <c r="G682" s="215"/>
      <c r="H682" s="215"/>
      <c r="I682" s="215"/>
      <c r="J682" s="215"/>
      <c r="K682" s="215"/>
      <c r="L682" s="215"/>
      <c r="M682" s="215"/>
      <c r="N682" s="215"/>
      <c r="O682" s="215"/>
      <c r="P682" s="215"/>
      <c r="Q682" s="215"/>
      <c r="R682" s="215"/>
      <c r="S682" s="215"/>
      <c r="T682" s="215"/>
      <c r="U682" s="215"/>
      <c r="V682" s="215"/>
      <c r="W682" s="215"/>
      <c r="X682" s="215"/>
      <c r="AD682" s="196"/>
    </row>
    <row r="683" spans="3:30" s="195" customFormat="1" ht="15">
      <c r="C683" s="215"/>
      <c r="D683" s="215"/>
      <c r="E683" s="215"/>
      <c r="F683" s="215"/>
      <c r="G683" s="215"/>
      <c r="H683" s="215"/>
      <c r="I683" s="215"/>
      <c r="J683" s="215"/>
      <c r="K683" s="215"/>
      <c r="L683" s="215"/>
      <c r="M683" s="215"/>
      <c r="N683" s="215"/>
      <c r="O683" s="215"/>
      <c r="P683" s="215"/>
      <c r="Q683" s="215"/>
      <c r="R683" s="215"/>
      <c r="S683" s="215"/>
      <c r="T683" s="215"/>
      <c r="U683" s="215"/>
      <c r="V683" s="215"/>
      <c r="W683" s="215"/>
      <c r="X683" s="215"/>
      <c r="AD683" s="196"/>
    </row>
    <row r="684" spans="3:30" s="195" customFormat="1" ht="15">
      <c r="C684" s="215"/>
      <c r="D684" s="215"/>
      <c r="E684" s="215"/>
      <c r="F684" s="215"/>
      <c r="G684" s="215"/>
      <c r="H684" s="215"/>
      <c r="I684" s="215"/>
      <c r="J684" s="215"/>
      <c r="K684" s="215"/>
      <c r="L684" s="215"/>
      <c r="M684" s="215"/>
      <c r="N684" s="215"/>
      <c r="O684" s="215"/>
      <c r="P684" s="215"/>
      <c r="Q684" s="215"/>
      <c r="R684" s="215"/>
      <c r="S684" s="215"/>
      <c r="T684" s="215"/>
      <c r="U684" s="215"/>
      <c r="V684" s="215"/>
      <c r="W684" s="215"/>
      <c r="X684" s="215"/>
      <c r="AD684" s="196"/>
    </row>
    <row r="685" spans="3:30" s="195" customFormat="1" ht="15">
      <c r="C685" s="215"/>
      <c r="D685" s="215"/>
      <c r="E685" s="215"/>
      <c r="F685" s="215"/>
      <c r="G685" s="215"/>
      <c r="H685" s="215"/>
      <c r="I685" s="215"/>
      <c r="J685" s="215"/>
      <c r="K685" s="215"/>
      <c r="L685" s="215"/>
      <c r="M685" s="215"/>
      <c r="N685" s="215"/>
      <c r="O685" s="215"/>
      <c r="P685" s="215"/>
      <c r="Q685" s="215"/>
      <c r="R685" s="215"/>
      <c r="S685" s="215"/>
      <c r="T685" s="215"/>
      <c r="U685" s="215"/>
      <c r="V685" s="215"/>
      <c r="W685" s="215"/>
      <c r="X685" s="215"/>
      <c r="AD685" s="196"/>
    </row>
    <row r="686" spans="3:30" s="195" customFormat="1" ht="15">
      <c r="C686" s="215"/>
      <c r="D686" s="215"/>
      <c r="E686" s="215"/>
      <c r="F686" s="215"/>
      <c r="G686" s="215"/>
      <c r="H686" s="215"/>
      <c r="I686" s="215"/>
      <c r="J686" s="215"/>
      <c r="K686" s="215"/>
      <c r="L686" s="215"/>
      <c r="M686" s="215"/>
      <c r="N686" s="215"/>
      <c r="O686" s="215"/>
      <c r="P686" s="215"/>
      <c r="Q686" s="215"/>
      <c r="R686" s="215"/>
      <c r="S686" s="215"/>
      <c r="T686" s="215"/>
      <c r="U686" s="215"/>
      <c r="V686" s="215"/>
      <c r="W686" s="215"/>
      <c r="X686" s="215"/>
      <c r="AD686" s="196"/>
    </row>
    <row r="687" spans="3:30" s="195" customFormat="1" ht="15">
      <c r="C687" s="215"/>
      <c r="D687" s="215"/>
      <c r="E687" s="215"/>
      <c r="F687" s="215"/>
      <c r="G687" s="215"/>
      <c r="H687" s="215"/>
      <c r="I687" s="215"/>
      <c r="J687" s="215"/>
      <c r="K687" s="215"/>
      <c r="L687" s="215"/>
      <c r="M687" s="215"/>
      <c r="N687" s="215"/>
      <c r="O687" s="215"/>
      <c r="P687" s="215"/>
      <c r="Q687" s="215"/>
      <c r="R687" s="215"/>
      <c r="S687" s="215"/>
      <c r="T687" s="215"/>
      <c r="U687" s="215"/>
      <c r="V687" s="215"/>
      <c r="W687" s="215"/>
      <c r="X687" s="215"/>
      <c r="AD687" s="196"/>
    </row>
    <row r="688" spans="3:30" s="195" customFormat="1" ht="15">
      <c r="C688" s="215"/>
      <c r="D688" s="215"/>
      <c r="E688" s="215"/>
      <c r="F688" s="215"/>
      <c r="G688" s="215"/>
      <c r="H688" s="215"/>
      <c r="I688" s="215"/>
      <c r="J688" s="215"/>
      <c r="K688" s="215"/>
      <c r="L688" s="215"/>
      <c r="M688" s="215"/>
      <c r="N688" s="215"/>
      <c r="O688" s="215"/>
      <c r="P688" s="215"/>
      <c r="Q688" s="215"/>
      <c r="R688" s="215"/>
      <c r="S688" s="215"/>
      <c r="T688" s="215"/>
      <c r="U688" s="215"/>
      <c r="V688" s="215"/>
      <c r="W688" s="215"/>
      <c r="X688" s="215"/>
      <c r="AD688" s="196"/>
    </row>
    <row r="689" spans="3:30" s="195" customFormat="1" ht="15">
      <c r="C689" s="215"/>
      <c r="D689" s="215"/>
      <c r="E689" s="215"/>
      <c r="F689" s="215"/>
      <c r="G689" s="215"/>
      <c r="H689" s="215"/>
      <c r="I689" s="215"/>
      <c r="J689" s="215"/>
      <c r="K689" s="215"/>
      <c r="L689" s="215"/>
      <c r="M689" s="215"/>
      <c r="N689" s="215"/>
      <c r="O689" s="215"/>
      <c r="P689" s="215"/>
      <c r="Q689" s="215"/>
      <c r="R689" s="215"/>
      <c r="S689" s="215"/>
      <c r="T689" s="215"/>
      <c r="U689" s="215"/>
      <c r="V689" s="215"/>
      <c r="W689" s="215"/>
      <c r="X689" s="215"/>
      <c r="AD689" s="196"/>
    </row>
    <row r="690" spans="3:30" s="195" customFormat="1" ht="15">
      <c r="C690" s="215"/>
      <c r="D690" s="215"/>
      <c r="E690" s="215"/>
      <c r="F690" s="215"/>
      <c r="G690" s="215"/>
      <c r="H690" s="215"/>
      <c r="I690" s="215"/>
      <c r="J690" s="215"/>
      <c r="K690" s="215"/>
      <c r="L690" s="215"/>
      <c r="M690" s="215"/>
      <c r="N690" s="215"/>
      <c r="O690" s="215"/>
      <c r="P690" s="215"/>
      <c r="Q690" s="215"/>
      <c r="R690" s="215"/>
      <c r="S690" s="215"/>
      <c r="T690" s="215"/>
      <c r="U690" s="215"/>
      <c r="V690" s="215"/>
      <c r="W690" s="215"/>
      <c r="X690" s="215"/>
      <c r="AD690" s="196"/>
    </row>
    <row r="691" spans="3:30" s="195" customFormat="1" ht="15">
      <c r="C691" s="215"/>
      <c r="D691" s="215"/>
      <c r="E691" s="215"/>
      <c r="F691" s="215"/>
      <c r="G691" s="215"/>
      <c r="H691" s="215"/>
      <c r="I691" s="215"/>
      <c r="J691" s="215"/>
      <c r="K691" s="215"/>
      <c r="L691" s="215"/>
      <c r="M691" s="215"/>
      <c r="N691" s="215"/>
      <c r="O691" s="215"/>
      <c r="P691" s="215"/>
      <c r="Q691" s="215"/>
      <c r="R691" s="215"/>
      <c r="S691" s="215"/>
      <c r="T691" s="215"/>
      <c r="U691" s="215"/>
      <c r="V691" s="215"/>
      <c r="W691" s="215"/>
      <c r="X691" s="215"/>
      <c r="AD691" s="196"/>
    </row>
    <row r="692" spans="3:30" s="195" customFormat="1" ht="15">
      <c r="C692" s="215"/>
      <c r="D692" s="215"/>
      <c r="E692" s="215"/>
      <c r="F692" s="215"/>
      <c r="G692" s="215"/>
      <c r="H692" s="215"/>
      <c r="I692" s="215"/>
      <c r="J692" s="215"/>
      <c r="K692" s="215"/>
      <c r="L692" s="215"/>
      <c r="M692" s="215"/>
      <c r="N692" s="215"/>
      <c r="O692" s="215"/>
      <c r="P692" s="215"/>
      <c r="Q692" s="215"/>
      <c r="R692" s="215"/>
      <c r="S692" s="215"/>
      <c r="T692" s="215"/>
      <c r="U692" s="215"/>
      <c r="V692" s="215"/>
      <c r="W692" s="215"/>
      <c r="X692" s="215"/>
      <c r="AD692" s="196"/>
    </row>
    <row r="693" spans="3:30" s="195" customFormat="1" ht="15">
      <c r="C693" s="215"/>
      <c r="D693" s="215"/>
      <c r="E693" s="215"/>
      <c r="F693" s="215"/>
      <c r="G693" s="215"/>
      <c r="H693" s="215"/>
      <c r="I693" s="215"/>
      <c r="J693" s="215"/>
      <c r="K693" s="215"/>
      <c r="L693" s="215"/>
      <c r="M693" s="215"/>
      <c r="N693" s="215"/>
      <c r="O693" s="215"/>
      <c r="P693" s="215"/>
      <c r="Q693" s="215"/>
      <c r="R693" s="215"/>
      <c r="S693" s="215"/>
      <c r="T693" s="215"/>
      <c r="U693" s="215"/>
      <c r="V693" s="215"/>
      <c r="W693" s="215"/>
      <c r="X693" s="215"/>
      <c r="AD693" s="196"/>
    </row>
    <row r="694" spans="3:30" s="195" customFormat="1" ht="15">
      <c r="C694" s="215"/>
      <c r="D694" s="215"/>
      <c r="E694" s="215"/>
      <c r="F694" s="215"/>
      <c r="G694" s="215"/>
      <c r="H694" s="215"/>
      <c r="I694" s="215"/>
      <c r="J694" s="215"/>
      <c r="K694" s="215"/>
      <c r="L694" s="215"/>
      <c r="M694" s="215"/>
      <c r="N694" s="215"/>
      <c r="O694" s="215"/>
      <c r="P694" s="215"/>
      <c r="Q694" s="215"/>
      <c r="R694" s="215"/>
      <c r="S694" s="215"/>
      <c r="T694" s="215"/>
      <c r="U694" s="215"/>
      <c r="V694" s="215"/>
      <c r="W694" s="215"/>
      <c r="X694" s="215"/>
      <c r="AD694" s="196"/>
    </row>
    <row r="695" spans="3:30" s="195" customFormat="1" ht="15">
      <c r="C695" s="215"/>
      <c r="D695" s="215"/>
      <c r="E695" s="215"/>
      <c r="F695" s="215"/>
      <c r="G695" s="215"/>
      <c r="H695" s="215"/>
      <c r="I695" s="215"/>
      <c r="J695" s="215"/>
      <c r="K695" s="215"/>
      <c r="L695" s="215"/>
      <c r="M695" s="215"/>
      <c r="N695" s="215"/>
      <c r="O695" s="215"/>
      <c r="P695" s="215"/>
      <c r="Q695" s="215"/>
      <c r="R695" s="215"/>
      <c r="S695" s="215"/>
      <c r="T695" s="215"/>
      <c r="U695" s="215"/>
      <c r="V695" s="215"/>
      <c r="W695" s="215"/>
      <c r="X695" s="215"/>
      <c r="AD695" s="196"/>
    </row>
    <row r="696" spans="3:30" s="195" customFormat="1" ht="15">
      <c r="C696" s="215"/>
      <c r="D696" s="215"/>
      <c r="E696" s="215"/>
      <c r="F696" s="215"/>
      <c r="G696" s="215"/>
      <c r="H696" s="215"/>
      <c r="I696" s="215"/>
      <c r="J696" s="215"/>
      <c r="K696" s="215"/>
      <c r="L696" s="215"/>
      <c r="M696" s="215"/>
      <c r="N696" s="215"/>
      <c r="O696" s="215"/>
      <c r="P696" s="215"/>
      <c r="Q696" s="215"/>
      <c r="R696" s="215"/>
      <c r="S696" s="215"/>
      <c r="T696" s="215"/>
      <c r="U696" s="215"/>
      <c r="V696" s="215"/>
      <c r="W696" s="215"/>
      <c r="X696" s="215"/>
      <c r="AD696" s="196"/>
    </row>
    <row r="697" spans="3:30" s="195" customFormat="1" ht="15">
      <c r="C697" s="215"/>
      <c r="D697" s="215"/>
      <c r="E697" s="215"/>
      <c r="F697" s="215"/>
      <c r="G697" s="215"/>
      <c r="H697" s="215"/>
      <c r="I697" s="215"/>
      <c r="J697" s="215"/>
      <c r="K697" s="215"/>
      <c r="L697" s="215"/>
      <c r="M697" s="215"/>
      <c r="N697" s="215"/>
      <c r="O697" s="215"/>
      <c r="P697" s="215"/>
      <c r="Q697" s="215"/>
      <c r="R697" s="215"/>
      <c r="S697" s="215"/>
      <c r="T697" s="215"/>
      <c r="U697" s="215"/>
      <c r="V697" s="215"/>
      <c r="W697" s="215"/>
      <c r="X697" s="215"/>
      <c r="AD697" s="196"/>
    </row>
    <row r="698" spans="3:30" s="195" customFormat="1" ht="15">
      <c r="C698" s="215"/>
      <c r="D698" s="215"/>
      <c r="E698" s="215"/>
      <c r="F698" s="215"/>
      <c r="G698" s="215"/>
      <c r="H698" s="215"/>
      <c r="I698" s="215"/>
      <c r="J698" s="215"/>
      <c r="K698" s="215"/>
      <c r="L698" s="215"/>
      <c r="M698" s="215"/>
      <c r="N698" s="215"/>
      <c r="O698" s="215"/>
      <c r="P698" s="215"/>
      <c r="Q698" s="215"/>
      <c r="R698" s="215"/>
      <c r="S698" s="215"/>
      <c r="T698" s="215"/>
      <c r="U698" s="215"/>
      <c r="V698" s="215"/>
      <c r="W698" s="215"/>
      <c r="X698" s="215"/>
      <c r="AD698" s="196"/>
    </row>
    <row r="699" spans="3:30" s="195" customFormat="1" ht="15">
      <c r="C699" s="215"/>
      <c r="D699" s="215"/>
      <c r="E699" s="215"/>
      <c r="F699" s="215"/>
      <c r="G699" s="215"/>
      <c r="H699" s="215"/>
      <c r="I699" s="215"/>
      <c r="J699" s="215"/>
      <c r="K699" s="215"/>
      <c r="L699" s="215"/>
      <c r="M699" s="215"/>
      <c r="N699" s="215"/>
      <c r="O699" s="215"/>
      <c r="P699" s="215"/>
      <c r="Q699" s="215"/>
      <c r="R699" s="215"/>
      <c r="S699" s="215"/>
      <c r="T699" s="215"/>
      <c r="U699" s="215"/>
      <c r="V699" s="215"/>
      <c r="W699" s="215"/>
      <c r="X699" s="215"/>
      <c r="AD699" s="196"/>
    </row>
    <row r="700" spans="3:30" s="195" customFormat="1" ht="15">
      <c r="C700" s="215"/>
      <c r="D700" s="215"/>
      <c r="E700" s="215"/>
      <c r="F700" s="215"/>
      <c r="G700" s="215"/>
      <c r="H700" s="215"/>
      <c r="I700" s="215"/>
      <c r="J700" s="215"/>
      <c r="K700" s="215"/>
      <c r="L700" s="215"/>
      <c r="M700" s="215"/>
      <c r="N700" s="215"/>
      <c r="O700" s="215"/>
      <c r="P700" s="215"/>
      <c r="Q700" s="215"/>
      <c r="R700" s="215"/>
      <c r="S700" s="215"/>
      <c r="T700" s="215"/>
      <c r="U700" s="215"/>
      <c r="V700" s="215"/>
      <c r="W700" s="215"/>
      <c r="X700" s="215"/>
      <c r="AD700" s="196"/>
    </row>
    <row r="701" spans="3:30" s="195" customFormat="1" ht="15">
      <c r="C701" s="215"/>
      <c r="D701" s="215"/>
      <c r="E701" s="215"/>
      <c r="F701" s="215"/>
      <c r="G701" s="215"/>
      <c r="H701" s="215"/>
      <c r="I701" s="215"/>
      <c r="J701" s="215"/>
      <c r="K701" s="215"/>
      <c r="L701" s="215"/>
      <c r="M701" s="215"/>
      <c r="N701" s="215"/>
      <c r="O701" s="215"/>
      <c r="P701" s="215"/>
      <c r="Q701" s="215"/>
      <c r="R701" s="215"/>
      <c r="S701" s="215"/>
      <c r="T701" s="215"/>
      <c r="U701" s="215"/>
      <c r="V701" s="215"/>
      <c r="W701" s="215"/>
      <c r="X701" s="215"/>
      <c r="AD701" s="196"/>
    </row>
    <row r="702" spans="3:30" s="195" customFormat="1" ht="15">
      <c r="C702" s="215"/>
      <c r="D702" s="215"/>
      <c r="E702" s="215"/>
      <c r="F702" s="215"/>
      <c r="G702" s="215"/>
      <c r="H702" s="215"/>
      <c r="I702" s="215"/>
      <c r="J702" s="215"/>
      <c r="K702" s="215"/>
      <c r="L702" s="215"/>
      <c r="M702" s="215"/>
      <c r="N702" s="215"/>
      <c r="O702" s="215"/>
      <c r="P702" s="215"/>
      <c r="Q702" s="215"/>
      <c r="R702" s="215"/>
      <c r="S702" s="215"/>
      <c r="T702" s="215"/>
      <c r="U702" s="215"/>
      <c r="V702" s="215"/>
      <c r="W702" s="215"/>
      <c r="X702" s="215"/>
      <c r="AD702" s="196"/>
    </row>
    <row r="703" spans="3:30" s="195" customFormat="1" ht="15">
      <c r="C703" s="215"/>
      <c r="D703" s="215"/>
      <c r="E703" s="215"/>
      <c r="F703" s="215"/>
      <c r="G703" s="215"/>
      <c r="H703" s="215"/>
      <c r="I703" s="215"/>
      <c r="J703" s="215"/>
      <c r="K703" s="215"/>
      <c r="L703" s="215"/>
      <c r="M703" s="215"/>
      <c r="N703" s="215"/>
      <c r="O703" s="215"/>
      <c r="P703" s="215"/>
      <c r="Q703" s="215"/>
      <c r="R703" s="215"/>
      <c r="S703" s="215"/>
      <c r="T703" s="215"/>
      <c r="U703" s="215"/>
      <c r="V703" s="215"/>
      <c r="W703" s="215"/>
      <c r="X703" s="215"/>
      <c r="AD703" s="196"/>
    </row>
    <row r="704" spans="3:30" s="195" customFormat="1" ht="15">
      <c r="C704" s="215"/>
      <c r="D704" s="215"/>
      <c r="E704" s="215"/>
      <c r="F704" s="215"/>
      <c r="G704" s="215"/>
      <c r="H704" s="215"/>
      <c r="I704" s="215"/>
      <c r="J704" s="215"/>
      <c r="K704" s="215"/>
      <c r="L704" s="215"/>
      <c r="M704" s="215"/>
      <c r="N704" s="215"/>
      <c r="O704" s="215"/>
      <c r="P704" s="215"/>
      <c r="Q704" s="215"/>
      <c r="R704" s="215"/>
      <c r="S704" s="215"/>
      <c r="T704" s="215"/>
      <c r="U704" s="215"/>
      <c r="V704" s="215"/>
      <c r="W704" s="215"/>
      <c r="X704" s="215"/>
      <c r="AD704" s="196"/>
    </row>
    <row r="705" spans="3:30" s="195" customFormat="1" ht="15">
      <c r="C705" s="215"/>
      <c r="D705" s="215"/>
      <c r="E705" s="215"/>
      <c r="F705" s="215"/>
      <c r="G705" s="215"/>
      <c r="H705" s="215"/>
      <c r="I705" s="215"/>
      <c r="J705" s="215"/>
      <c r="K705" s="215"/>
      <c r="L705" s="215"/>
      <c r="M705" s="215"/>
      <c r="N705" s="215"/>
      <c r="O705" s="215"/>
      <c r="P705" s="215"/>
      <c r="Q705" s="215"/>
      <c r="R705" s="215"/>
      <c r="S705" s="215"/>
      <c r="T705" s="215"/>
      <c r="U705" s="215"/>
      <c r="V705" s="215"/>
      <c r="W705" s="215"/>
      <c r="X705" s="215"/>
      <c r="AD705" s="196"/>
    </row>
    <row r="706" spans="3:30" s="195" customFormat="1" ht="15">
      <c r="C706" s="215"/>
      <c r="D706" s="215"/>
      <c r="E706" s="215"/>
      <c r="F706" s="215"/>
      <c r="G706" s="215"/>
      <c r="H706" s="215"/>
      <c r="I706" s="215"/>
      <c r="J706" s="215"/>
      <c r="K706" s="215"/>
      <c r="L706" s="215"/>
      <c r="M706" s="215"/>
      <c r="N706" s="215"/>
      <c r="O706" s="215"/>
      <c r="P706" s="215"/>
      <c r="Q706" s="215"/>
      <c r="R706" s="215"/>
      <c r="S706" s="215"/>
      <c r="T706" s="215"/>
      <c r="U706" s="215"/>
      <c r="V706" s="215"/>
      <c r="W706" s="215"/>
      <c r="X706" s="215"/>
      <c r="AD706" s="196"/>
    </row>
    <row r="707" spans="3:30" s="195" customFormat="1" ht="15">
      <c r="C707" s="215"/>
      <c r="D707" s="215"/>
      <c r="E707" s="215"/>
      <c r="F707" s="215"/>
      <c r="G707" s="215"/>
      <c r="H707" s="215"/>
      <c r="I707" s="215"/>
      <c r="J707" s="215"/>
      <c r="K707" s="215"/>
      <c r="L707" s="215"/>
      <c r="M707" s="215"/>
      <c r="N707" s="215"/>
      <c r="O707" s="215"/>
      <c r="P707" s="215"/>
      <c r="Q707" s="215"/>
      <c r="R707" s="215"/>
      <c r="S707" s="215"/>
      <c r="T707" s="215"/>
      <c r="U707" s="215"/>
      <c r="V707" s="215"/>
      <c r="W707" s="215"/>
      <c r="X707" s="215"/>
      <c r="AD707" s="196"/>
    </row>
    <row r="708" spans="3:30" s="195" customFormat="1" ht="15">
      <c r="C708" s="215"/>
      <c r="D708" s="215"/>
      <c r="E708" s="215"/>
      <c r="F708" s="215"/>
      <c r="G708" s="215"/>
      <c r="H708" s="215"/>
      <c r="I708" s="215"/>
      <c r="J708" s="215"/>
      <c r="K708" s="215"/>
      <c r="L708" s="215"/>
      <c r="M708" s="215"/>
      <c r="N708" s="215"/>
      <c r="O708" s="215"/>
      <c r="P708" s="215"/>
      <c r="Q708" s="215"/>
      <c r="R708" s="215"/>
      <c r="S708" s="215"/>
      <c r="T708" s="215"/>
      <c r="U708" s="215"/>
      <c r="V708" s="215"/>
      <c r="W708" s="215"/>
      <c r="X708" s="215"/>
      <c r="AD708" s="196"/>
    </row>
    <row r="709" spans="3:30" s="195" customFormat="1" ht="15">
      <c r="C709" s="215"/>
      <c r="D709" s="215"/>
      <c r="E709" s="215"/>
      <c r="F709" s="215"/>
      <c r="G709" s="215"/>
      <c r="H709" s="215"/>
      <c r="I709" s="215"/>
      <c r="J709" s="215"/>
      <c r="K709" s="215"/>
      <c r="L709" s="215"/>
      <c r="M709" s="215"/>
      <c r="N709" s="215"/>
      <c r="O709" s="215"/>
      <c r="P709" s="215"/>
      <c r="Q709" s="215"/>
      <c r="R709" s="215"/>
      <c r="S709" s="215"/>
      <c r="T709" s="215"/>
      <c r="U709" s="215"/>
      <c r="V709" s="215"/>
      <c r="W709" s="215"/>
      <c r="X709" s="215"/>
      <c r="AD709" s="196"/>
    </row>
    <row r="710" spans="3:30" s="195" customFormat="1" ht="15">
      <c r="C710" s="215"/>
      <c r="D710" s="215"/>
      <c r="E710" s="215"/>
      <c r="F710" s="215"/>
      <c r="G710" s="215"/>
      <c r="H710" s="215"/>
      <c r="I710" s="215"/>
      <c r="J710" s="215"/>
      <c r="K710" s="215"/>
      <c r="L710" s="215"/>
      <c r="M710" s="215"/>
      <c r="N710" s="215"/>
      <c r="O710" s="215"/>
      <c r="P710" s="215"/>
      <c r="Q710" s="215"/>
      <c r="R710" s="215"/>
      <c r="S710" s="215"/>
      <c r="T710" s="215"/>
      <c r="U710" s="215"/>
      <c r="V710" s="215"/>
      <c r="W710" s="215"/>
      <c r="X710" s="215"/>
      <c r="AD710" s="196"/>
    </row>
    <row r="711" spans="3:30" s="195" customFormat="1" ht="15">
      <c r="C711" s="215"/>
      <c r="D711" s="215"/>
      <c r="E711" s="215"/>
      <c r="F711" s="215"/>
      <c r="G711" s="215"/>
      <c r="H711" s="215"/>
      <c r="I711" s="215"/>
      <c r="J711" s="215"/>
      <c r="K711" s="215"/>
      <c r="L711" s="215"/>
      <c r="M711" s="215"/>
      <c r="N711" s="215"/>
      <c r="O711" s="215"/>
      <c r="P711" s="215"/>
      <c r="Q711" s="215"/>
      <c r="R711" s="215"/>
      <c r="S711" s="215"/>
      <c r="T711" s="215"/>
      <c r="U711" s="215"/>
      <c r="V711" s="215"/>
      <c r="W711" s="215"/>
      <c r="X711" s="215"/>
      <c r="AD711" s="196"/>
    </row>
    <row r="712" spans="3:30" s="195" customFormat="1" ht="15">
      <c r="C712" s="215"/>
      <c r="D712" s="215"/>
      <c r="E712" s="215"/>
      <c r="F712" s="215"/>
      <c r="G712" s="215"/>
      <c r="H712" s="215"/>
      <c r="I712" s="215"/>
      <c r="J712" s="215"/>
      <c r="K712" s="215"/>
      <c r="L712" s="215"/>
      <c r="M712" s="215"/>
      <c r="N712" s="215"/>
      <c r="O712" s="215"/>
      <c r="P712" s="215"/>
      <c r="Q712" s="215"/>
      <c r="R712" s="215"/>
      <c r="S712" s="215"/>
      <c r="T712" s="215"/>
      <c r="U712" s="215"/>
      <c r="V712" s="215"/>
      <c r="W712" s="215"/>
      <c r="X712" s="215"/>
      <c r="AD712" s="196"/>
    </row>
    <row r="713" spans="3:30" s="195" customFormat="1" ht="15">
      <c r="C713" s="215"/>
      <c r="D713" s="215"/>
      <c r="E713" s="215"/>
      <c r="F713" s="215"/>
      <c r="G713" s="215"/>
      <c r="H713" s="215"/>
      <c r="I713" s="215"/>
      <c r="J713" s="215"/>
      <c r="K713" s="215"/>
      <c r="L713" s="215"/>
      <c r="M713" s="215"/>
      <c r="N713" s="215"/>
      <c r="O713" s="215"/>
      <c r="P713" s="215"/>
      <c r="Q713" s="215"/>
      <c r="R713" s="215"/>
      <c r="S713" s="215"/>
      <c r="T713" s="215"/>
      <c r="U713" s="215"/>
      <c r="V713" s="215"/>
      <c r="W713" s="215"/>
      <c r="X713" s="215"/>
      <c r="AD713" s="196"/>
    </row>
    <row r="714" spans="3:30" s="195" customFormat="1" ht="15">
      <c r="C714" s="215"/>
      <c r="D714" s="215"/>
      <c r="E714" s="215"/>
      <c r="F714" s="215"/>
      <c r="G714" s="215"/>
      <c r="H714" s="215"/>
      <c r="I714" s="215"/>
      <c r="J714" s="215"/>
      <c r="K714" s="215"/>
      <c r="L714" s="215"/>
      <c r="M714" s="215"/>
      <c r="N714" s="215"/>
      <c r="O714" s="215"/>
      <c r="P714" s="215"/>
      <c r="Q714" s="215"/>
      <c r="R714" s="215"/>
      <c r="S714" s="215"/>
      <c r="T714" s="215"/>
      <c r="U714" s="215"/>
      <c r="V714" s="215"/>
      <c r="W714" s="215"/>
      <c r="X714" s="215"/>
      <c r="AD714" s="196"/>
    </row>
    <row r="715" spans="3:30" s="195" customFormat="1" ht="15">
      <c r="C715" s="215"/>
      <c r="D715" s="215"/>
      <c r="E715" s="215"/>
      <c r="F715" s="215"/>
      <c r="G715" s="215"/>
      <c r="H715" s="215"/>
      <c r="I715" s="215"/>
      <c r="J715" s="215"/>
      <c r="K715" s="215"/>
      <c r="L715" s="215"/>
      <c r="M715" s="215"/>
      <c r="N715" s="215"/>
      <c r="O715" s="215"/>
      <c r="P715" s="215"/>
      <c r="Q715" s="215"/>
      <c r="R715" s="215"/>
      <c r="S715" s="215"/>
      <c r="T715" s="215"/>
      <c r="U715" s="215"/>
      <c r="V715" s="215"/>
      <c r="W715" s="215"/>
      <c r="X715" s="215"/>
      <c r="AD715" s="196"/>
    </row>
    <row r="716" spans="3:30" s="195" customFormat="1" ht="15">
      <c r="C716" s="215"/>
      <c r="D716" s="215"/>
      <c r="E716" s="215"/>
      <c r="F716" s="215"/>
      <c r="G716" s="215"/>
      <c r="H716" s="215"/>
      <c r="I716" s="215"/>
      <c r="J716" s="215"/>
      <c r="K716" s="215"/>
      <c r="L716" s="215"/>
      <c r="M716" s="215"/>
      <c r="N716" s="215"/>
      <c r="O716" s="215"/>
      <c r="P716" s="215"/>
      <c r="Q716" s="215"/>
      <c r="R716" s="215"/>
      <c r="S716" s="215"/>
      <c r="T716" s="215"/>
      <c r="U716" s="215"/>
      <c r="V716" s="215"/>
      <c r="W716" s="215"/>
      <c r="X716" s="215"/>
      <c r="AD716" s="196"/>
    </row>
    <row r="717" spans="3:30" s="195" customFormat="1" ht="15">
      <c r="C717" s="215"/>
      <c r="D717" s="215"/>
      <c r="E717" s="215"/>
      <c r="F717" s="215"/>
      <c r="G717" s="215"/>
      <c r="H717" s="215"/>
      <c r="I717" s="215"/>
      <c r="J717" s="215"/>
      <c r="K717" s="215"/>
      <c r="L717" s="215"/>
      <c r="M717" s="215"/>
      <c r="N717" s="215"/>
      <c r="O717" s="215"/>
      <c r="P717" s="215"/>
      <c r="Q717" s="215"/>
      <c r="R717" s="215"/>
      <c r="S717" s="215"/>
      <c r="T717" s="215"/>
      <c r="U717" s="215"/>
      <c r="V717" s="215"/>
      <c r="W717" s="215"/>
      <c r="X717" s="215"/>
      <c r="AD717" s="196"/>
    </row>
    <row r="718" spans="3:30" s="195" customFormat="1" ht="15">
      <c r="C718" s="215"/>
      <c r="D718" s="215"/>
      <c r="E718" s="215"/>
      <c r="F718" s="215"/>
      <c r="G718" s="215"/>
      <c r="H718" s="215"/>
      <c r="I718" s="215"/>
      <c r="J718" s="215"/>
      <c r="K718" s="215"/>
      <c r="L718" s="215"/>
      <c r="M718" s="215"/>
      <c r="N718" s="215"/>
      <c r="O718" s="215"/>
      <c r="P718" s="215"/>
      <c r="Q718" s="215"/>
      <c r="R718" s="215"/>
      <c r="S718" s="215"/>
      <c r="T718" s="215"/>
      <c r="U718" s="215"/>
      <c r="V718" s="215"/>
      <c r="W718" s="215"/>
      <c r="X718" s="215"/>
      <c r="AD718" s="196"/>
    </row>
    <row r="719" spans="3:30" s="195" customFormat="1" ht="15">
      <c r="C719" s="215"/>
      <c r="D719" s="215"/>
      <c r="E719" s="215"/>
      <c r="F719" s="215"/>
      <c r="G719" s="215"/>
      <c r="H719" s="215"/>
      <c r="I719" s="215"/>
      <c r="J719" s="215"/>
      <c r="K719" s="215"/>
      <c r="L719" s="215"/>
      <c r="M719" s="215"/>
      <c r="N719" s="215"/>
      <c r="O719" s="215"/>
      <c r="P719" s="215"/>
      <c r="Q719" s="215"/>
      <c r="R719" s="215"/>
      <c r="S719" s="215"/>
      <c r="T719" s="215"/>
      <c r="U719" s="215"/>
      <c r="V719" s="215"/>
      <c r="W719" s="215"/>
      <c r="X719" s="215"/>
      <c r="AD719" s="196"/>
    </row>
    <row r="720" spans="3:30" s="195" customFormat="1" ht="15">
      <c r="C720" s="215"/>
      <c r="D720" s="215"/>
      <c r="E720" s="215"/>
      <c r="F720" s="215"/>
      <c r="G720" s="215"/>
      <c r="H720" s="215"/>
      <c r="I720" s="215"/>
      <c r="J720" s="215"/>
      <c r="K720" s="215"/>
      <c r="L720" s="215"/>
      <c r="M720" s="215"/>
      <c r="N720" s="215"/>
      <c r="O720" s="215"/>
      <c r="P720" s="215"/>
      <c r="Q720" s="215"/>
      <c r="R720" s="215"/>
      <c r="S720" s="215"/>
      <c r="T720" s="215"/>
      <c r="U720" s="215"/>
      <c r="V720" s="215"/>
      <c r="W720" s="215"/>
      <c r="X720" s="215"/>
      <c r="AD720" s="196"/>
    </row>
    <row r="721" spans="3:30" s="195" customFormat="1" ht="15">
      <c r="C721" s="215"/>
      <c r="D721" s="215"/>
      <c r="E721" s="215"/>
      <c r="F721" s="215"/>
      <c r="G721" s="215"/>
      <c r="H721" s="215"/>
      <c r="I721" s="215"/>
      <c r="J721" s="215"/>
      <c r="K721" s="215"/>
      <c r="L721" s="215"/>
      <c r="M721" s="215"/>
      <c r="N721" s="215"/>
      <c r="O721" s="215"/>
      <c r="P721" s="215"/>
      <c r="Q721" s="215"/>
      <c r="R721" s="215"/>
      <c r="S721" s="215"/>
      <c r="T721" s="215"/>
      <c r="U721" s="215"/>
      <c r="V721" s="215"/>
      <c r="W721" s="215"/>
      <c r="X721" s="215"/>
      <c r="AD721" s="196"/>
    </row>
    <row r="722" spans="3:30" s="195" customFormat="1" ht="15">
      <c r="C722" s="215"/>
      <c r="D722" s="215"/>
      <c r="E722" s="215"/>
      <c r="F722" s="215"/>
      <c r="G722" s="215"/>
      <c r="H722" s="215"/>
      <c r="I722" s="215"/>
      <c r="J722" s="215"/>
      <c r="K722" s="215"/>
      <c r="L722" s="215"/>
      <c r="M722" s="215"/>
      <c r="N722" s="215"/>
      <c r="O722" s="215"/>
      <c r="P722" s="215"/>
      <c r="Q722" s="215"/>
      <c r="R722" s="215"/>
      <c r="S722" s="215"/>
      <c r="T722" s="215"/>
      <c r="U722" s="215"/>
      <c r="V722" s="215"/>
      <c r="W722" s="215"/>
      <c r="X722" s="215"/>
      <c r="AD722" s="196"/>
    </row>
    <row r="723" spans="3:30" s="195" customFormat="1" ht="15">
      <c r="C723" s="215"/>
      <c r="D723" s="215"/>
      <c r="E723" s="215"/>
      <c r="F723" s="215"/>
      <c r="G723" s="215"/>
      <c r="H723" s="215"/>
      <c r="I723" s="215"/>
      <c r="J723" s="215"/>
      <c r="K723" s="215"/>
      <c r="L723" s="215"/>
      <c r="M723" s="215"/>
      <c r="N723" s="215"/>
      <c r="O723" s="215"/>
      <c r="P723" s="215"/>
      <c r="Q723" s="215"/>
      <c r="R723" s="215"/>
      <c r="S723" s="215"/>
      <c r="T723" s="215"/>
      <c r="U723" s="215"/>
      <c r="V723" s="215"/>
      <c r="W723" s="215"/>
      <c r="X723" s="215"/>
      <c r="AD723" s="196"/>
    </row>
    <row r="724" spans="3:30" s="195" customFormat="1" ht="15">
      <c r="C724" s="215"/>
      <c r="D724" s="215"/>
      <c r="E724" s="215"/>
      <c r="F724" s="215"/>
      <c r="G724" s="215"/>
      <c r="H724" s="215"/>
      <c r="I724" s="215"/>
      <c r="J724" s="215"/>
      <c r="K724" s="215"/>
      <c r="L724" s="215"/>
      <c r="M724" s="215"/>
      <c r="N724" s="215"/>
      <c r="O724" s="215"/>
      <c r="P724" s="215"/>
      <c r="Q724" s="215"/>
      <c r="R724" s="215"/>
      <c r="S724" s="215"/>
      <c r="T724" s="215"/>
      <c r="U724" s="215"/>
      <c r="V724" s="215"/>
      <c r="W724" s="215"/>
      <c r="X724" s="215"/>
      <c r="AD724" s="196"/>
    </row>
    <row r="725" spans="3:30" s="195" customFormat="1" ht="15">
      <c r="C725" s="215"/>
      <c r="D725" s="215"/>
      <c r="E725" s="215"/>
      <c r="F725" s="215"/>
      <c r="G725" s="215"/>
      <c r="H725" s="215"/>
      <c r="I725" s="215"/>
      <c r="J725" s="215"/>
      <c r="K725" s="215"/>
      <c r="L725" s="215"/>
      <c r="M725" s="215"/>
      <c r="N725" s="215"/>
      <c r="O725" s="215"/>
      <c r="P725" s="215"/>
      <c r="Q725" s="215"/>
      <c r="R725" s="215"/>
      <c r="S725" s="215"/>
      <c r="T725" s="215"/>
      <c r="U725" s="215"/>
      <c r="V725" s="215"/>
      <c r="W725" s="215"/>
      <c r="X725" s="215"/>
      <c r="AD725" s="196"/>
    </row>
    <row r="726" spans="3:30" s="195" customFormat="1" ht="15">
      <c r="C726" s="215"/>
      <c r="D726" s="215"/>
      <c r="E726" s="215"/>
      <c r="F726" s="215"/>
      <c r="G726" s="215"/>
      <c r="H726" s="215"/>
      <c r="I726" s="215"/>
      <c r="J726" s="215"/>
      <c r="K726" s="215"/>
      <c r="L726" s="215"/>
      <c r="M726" s="215"/>
      <c r="N726" s="215"/>
      <c r="O726" s="215"/>
      <c r="P726" s="215"/>
      <c r="Q726" s="215"/>
      <c r="R726" s="215"/>
      <c r="S726" s="215"/>
      <c r="T726" s="215"/>
      <c r="U726" s="215"/>
      <c r="V726" s="215"/>
      <c r="W726" s="215"/>
      <c r="X726" s="215"/>
      <c r="AD726" s="196"/>
    </row>
    <row r="727" spans="3:30" s="195" customFormat="1" ht="15">
      <c r="C727" s="215"/>
      <c r="D727" s="215"/>
      <c r="E727" s="215"/>
      <c r="F727" s="215"/>
      <c r="G727" s="215"/>
      <c r="H727" s="215"/>
      <c r="I727" s="215"/>
      <c r="J727" s="215"/>
      <c r="K727" s="215"/>
      <c r="L727" s="215"/>
      <c r="M727" s="215"/>
      <c r="N727" s="215"/>
      <c r="O727" s="215"/>
      <c r="P727" s="215"/>
      <c r="Q727" s="215"/>
      <c r="R727" s="215"/>
      <c r="S727" s="215"/>
      <c r="T727" s="215"/>
      <c r="U727" s="215"/>
      <c r="V727" s="215"/>
      <c r="W727" s="215"/>
      <c r="X727" s="215"/>
      <c r="AD727" s="196"/>
    </row>
    <row r="728" spans="3:30" s="195" customFormat="1" ht="15">
      <c r="C728" s="215"/>
      <c r="D728" s="215"/>
      <c r="E728" s="215"/>
      <c r="F728" s="215"/>
      <c r="G728" s="215"/>
      <c r="H728" s="215"/>
      <c r="I728" s="215"/>
      <c r="J728" s="215"/>
      <c r="K728" s="215"/>
      <c r="L728" s="215"/>
      <c r="M728" s="215"/>
      <c r="N728" s="215"/>
      <c r="O728" s="215"/>
      <c r="P728" s="215"/>
      <c r="Q728" s="215"/>
      <c r="R728" s="215"/>
      <c r="S728" s="215"/>
      <c r="T728" s="215"/>
      <c r="U728" s="215"/>
      <c r="V728" s="215"/>
      <c r="W728" s="215"/>
      <c r="X728" s="215"/>
      <c r="AD728" s="196"/>
    </row>
    <row r="729" spans="3:30" s="195" customFormat="1" ht="15">
      <c r="C729" s="215"/>
      <c r="D729" s="215"/>
      <c r="E729" s="215"/>
      <c r="F729" s="215"/>
      <c r="G729" s="215"/>
      <c r="H729" s="215"/>
      <c r="I729" s="215"/>
      <c r="J729" s="215"/>
      <c r="K729" s="215"/>
      <c r="L729" s="215"/>
      <c r="M729" s="215"/>
      <c r="N729" s="215"/>
      <c r="O729" s="215"/>
      <c r="P729" s="215"/>
      <c r="Q729" s="215"/>
      <c r="R729" s="215"/>
      <c r="S729" s="215"/>
      <c r="T729" s="215"/>
      <c r="U729" s="215"/>
      <c r="V729" s="215"/>
      <c r="W729" s="215"/>
      <c r="X729" s="215"/>
      <c r="AD729" s="196"/>
    </row>
    <row r="730" spans="3:30" s="195" customFormat="1" ht="15">
      <c r="C730" s="215"/>
      <c r="D730" s="215"/>
      <c r="E730" s="215"/>
      <c r="F730" s="215"/>
      <c r="G730" s="215"/>
      <c r="H730" s="215"/>
      <c r="I730" s="215"/>
      <c r="J730" s="215"/>
      <c r="K730" s="215"/>
      <c r="L730" s="215"/>
      <c r="M730" s="215"/>
      <c r="N730" s="215"/>
      <c r="O730" s="215"/>
      <c r="P730" s="215"/>
      <c r="Q730" s="215"/>
      <c r="R730" s="215"/>
      <c r="S730" s="215"/>
      <c r="T730" s="215"/>
      <c r="U730" s="215"/>
      <c r="V730" s="215"/>
      <c r="W730" s="215"/>
      <c r="X730" s="215"/>
      <c r="AD730" s="196"/>
    </row>
    <row r="731" spans="3:30" s="195" customFormat="1" ht="15">
      <c r="C731" s="215"/>
      <c r="D731" s="215"/>
      <c r="E731" s="215"/>
      <c r="F731" s="215"/>
      <c r="G731" s="215"/>
      <c r="H731" s="215"/>
      <c r="I731" s="215"/>
      <c r="J731" s="215"/>
      <c r="K731" s="215"/>
      <c r="L731" s="215"/>
      <c r="M731" s="215"/>
      <c r="N731" s="215"/>
      <c r="O731" s="215"/>
      <c r="P731" s="215"/>
      <c r="Q731" s="215"/>
      <c r="R731" s="215"/>
      <c r="S731" s="215"/>
      <c r="T731" s="215"/>
      <c r="U731" s="215"/>
      <c r="V731" s="215"/>
      <c r="W731" s="215"/>
      <c r="X731" s="215"/>
      <c r="AD731" s="196"/>
    </row>
    <row r="732" spans="3:30" s="195" customFormat="1" ht="15">
      <c r="C732" s="215"/>
      <c r="D732" s="215"/>
      <c r="E732" s="215"/>
      <c r="F732" s="215"/>
      <c r="G732" s="215"/>
      <c r="H732" s="215"/>
      <c r="I732" s="215"/>
      <c r="J732" s="215"/>
      <c r="K732" s="215"/>
      <c r="L732" s="215"/>
      <c r="M732" s="215"/>
      <c r="N732" s="215"/>
      <c r="O732" s="215"/>
      <c r="P732" s="215"/>
      <c r="Q732" s="215"/>
      <c r="R732" s="215"/>
      <c r="S732" s="215"/>
      <c r="T732" s="215"/>
      <c r="U732" s="215"/>
      <c r="V732" s="215"/>
      <c r="W732" s="215"/>
      <c r="X732" s="215"/>
      <c r="AD732" s="196"/>
    </row>
    <row r="733" spans="3:30" s="195" customFormat="1" ht="15">
      <c r="C733" s="215"/>
      <c r="D733" s="215"/>
      <c r="E733" s="215"/>
      <c r="F733" s="215"/>
      <c r="G733" s="215"/>
      <c r="H733" s="215"/>
      <c r="I733" s="215"/>
      <c r="J733" s="215"/>
      <c r="K733" s="215"/>
      <c r="L733" s="215"/>
      <c r="M733" s="215"/>
      <c r="N733" s="215"/>
      <c r="O733" s="215"/>
      <c r="P733" s="215"/>
      <c r="Q733" s="215"/>
      <c r="R733" s="215"/>
      <c r="S733" s="215"/>
      <c r="T733" s="215"/>
      <c r="U733" s="215"/>
      <c r="V733" s="215"/>
      <c r="W733" s="215"/>
      <c r="X733" s="215"/>
      <c r="AD733" s="196"/>
    </row>
    <row r="734" spans="3:30" s="195" customFormat="1" ht="15">
      <c r="C734" s="215"/>
      <c r="D734" s="215"/>
      <c r="E734" s="215"/>
      <c r="F734" s="215"/>
      <c r="G734" s="215"/>
      <c r="H734" s="215"/>
      <c r="I734" s="215"/>
      <c r="J734" s="215"/>
      <c r="K734" s="215"/>
      <c r="L734" s="215"/>
      <c r="M734" s="215"/>
      <c r="N734" s="215"/>
      <c r="O734" s="215"/>
      <c r="P734" s="215"/>
      <c r="Q734" s="215"/>
      <c r="R734" s="215"/>
      <c r="S734" s="215"/>
      <c r="T734" s="215"/>
      <c r="U734" s="215"/>
      <c r="V734" s="215"/>
      <c r="W734" s="215"/>
      <c r="X734" s="215"/>
      <c r="AD734" s="196"/>
    </row>
    <row r="735" spans="3:30" s="195" customFormat="1" ht="15">
      <c r="C735" s="215"/>
      <c r="D735" s="215"/>
      <c r="E735" s="215"/>
      <c r="F735" s="215"/>
      <c r="G735" s="215"/>
      <c r="H735" s="215"/>
      <c r="I735" s="215"/>
      <c r="J735" s="215"/>
      <c r="K735" s="215"/>
      <c r="L735" s="215"/>
      <c r="M735" s="215"/>
      <c r="N735" s="215"/>
      <c r="O735" s="215"/>
      <c r="P735" s="215"/>
      <c r="Q735" s="215"/>
      <c r="R735" s="215"/>
      <c r="S735" s="215"/>
      <c r="T735" s="215"/>
      <c r="U735" s="215"/>
      <c r="V735" s="215"/>
      <c r="W735" s="215"/>
      <c r="X735" s="215"/>
      <c r="AD735" s="196"/>
    </row>
    <row r="736" spans="3:30" s="195" customFormat="1" ht="15">
      <c r="C736" s="215"/>
      <c r="D736" s="215"/>
      <c r="E736" s="215"/>
      <c r="F736" s="215"/>
      <c r="G736" s="215"/>
      <c r="H736" s="215"/>
      <c r="I736" s="215"/>
      <c r="J736" s="215"/>
      <c r="K736" s="215"/>
      <c r="L736" s="215"/>
      <c r="M736" s="215"/>
      <c r="N736" s="215"/>
      <c r="O736" s="215"/>
      <c r="P736" s="215"/>
      <c r="Q736" s="215"/>
      <c r="R736" s="215"/>
      <c r="S736" s="215"/>
      <c r="T736" s="215"/>
      <c r="U736" s="215"/>
      <c r="V736" s="215"/>
      <c r="W736" s="215"/>
      <c r="X736" s="215"/>
      <c r="AD736" s="196"/>
    </row>
    <row r="737" spans="3:30" s="195" customFormat="1" ht="15">
      <c r="C737" s="215"/>
      <c r="D737" s="215"/>
      <c r="E737" s="215"/>
      <c r="F737" s="215"/>
      <c r="G737" s="215"/>
      <c r="H737" s="215"/>
      <c r="I737" s="215"/>
      <c r="J737" s="215"/>
      <c r="K737" s="215"/>
      <c r="L737" s="215"/>
      <c r="M737" s="215"/>
      <c r="N737" s="215"/>
      <c r="O737" s="215"/>
      <c r="P737" s="215"/>
      <c r="Q737" s="215"/>
      <c r="R737" s="215"/>
      <c r="S737" s="215"/>
      <c r="T737" s="215"/>
      <c r="U737" s="215"/>
      <c r="V737" s="215"/>
      <c r="W737" s="215"/>
      <c r="X737" s="215"/>
      <c r="AD737" s="196"/>
    </row>
    <row r="738" spans="3:30" s="195" customFormat="1" ht="15">
      <c r="C738" s="215"/>
      <c r="D738" s="215"/>
      <c r="E738" s="215"/>
      <c r="F738" s="215"/>
      <c r="G738" s="215"/>
      <c r="H738" s="215"/>
      <c r="I738" s="215"/>
      <c r="J738" s="215"/>
      <c r="K738" s="215"/>
      <c r="L738" s="215"/>
      <c r="M738" s="215"/>
      <c r="N738" s="215"/>
      <c r="O738" s="215"/>
      <c r="P738" s="215"/>
      <c r="Q738" s="215"/>
      <c r="R738" s="215"/>
      <c r="S738" s="215"/>
      <c r="T738" s="215"/>
      <c r="U738" s="215"/>
      <c r="V738" s="215"/>
      <c r="W738" s="215"/>
      <c r="X738" s="215"/>
      <c r="AD738" s="196"/>
    </row>
    <row r="739" spans="3:30" s="195" customFormat="1" ht="15">
      <c r="C739" s="215"/>
      <c r="D739" s="215"/>
      <c r="E739" s="215"/>
      <c r="F739" s="215"/>
      <c r="G739" s="215"/>
      <c r="H739" s="215"/>
      <c r="I739" s="215"/>
      <c r="J739" s="215"/>
      <c r="K739" s="215"/>
      <c r="L739" s="215"/>
      <c r="M739" s="215"/>
      <c r="N739" s="215"/>
      <c r="O739" s="215"/>
      <c r="P739" s="215"/>
      <c r="Q739" s="215"/>
      <c r="R739" s="215"/>
      <c r="S739" s="215"/>
      <c r="T739" s="215"/>
      <c r="U739" s="215"/>
      <c r="V739" s="215"/>
      <c r="W739" s="215"/>
      <c r="X739" s="215"/>
      <c r="AD739" s="196"/>
    </row>
    <row r="740" spans="3:30" s="195" customFormat="1" ht="15">
      <c r="C740" s="215"/>
      <c r="D740" s="215"/>
      <c r="E740" s="215"/>
      <c r="F740" s="215"/>
      <c r="G740" s="215"/>
      <c r="H740" s="215"/>
      <c r="I740" s="215"/>
      <c r="J740" s="215"/>
      <c r="K740" s="215"/>
      <c r="L740" s="215"/>
      <c r="M740" s="215"/>
      <c r="N740" s="215"/>
      <c r="O740" s="215"/>
      <c r="P740" s="215"/>
      <c r="Q740" s="215"/>
      <c r="R740" s="215"/>
      <c r="S740" s="215"/>
      <c r="T740" s="215"/>
      <c r="U740" s="215"/>
      <c r="V740" s="215"/>
      <c r="W740" s="215"/>
      <c r="X740" s="215"/>
      <c r="AD740" s="196"/>
    </row>
    <row r="741" spans="3:30" s="195" customFormat="1" ht="15">
      <c r="C741" s="215"/>
      <c r="D741" s="215"/>
      <c r="E741" s="215"/>
      <c r="F741" s="215"/>
      <c r="G741" s="215"/>
      <c r="H741" s="215"/>
      <c r="I741" s="215"/>
      <c r="J741" s="215"/>
      <c r="K741" s="215"/>
      <c r="L741" s="215"/>
      <c r="M741" s="215"/>
      <c r="N741" s="215"/>
      <c r="O741" s="215"/>
      <c r="P741" s="215"/>
      <c r="Q741" s="215"/>
      <c r="R741" s="215"/>
      <c r="S741" s="215"/>
      <c r="T741" s="215"/>
      <c r="U741" s="215"/>
      <c r="V741" s="215"/>
      <c r="W741" s="215"/>
      <c r="X741" s="215"/>
      <c r="AD741" s="196"/>
    </row>
    <row r="742" spans="3:30" s="195" customFormat="1" ht="15">
      <c r="C742" s="215"/>
      <c r="D742" s="215"/>
      <c r="E742" s="215"/>
      <c r="F742" s="215"/>
      <c r="G742" s="215"/>
      <c r="H742" s="215"/>
      <c r="I742" s="215"/>
      <c r="J742" s="215"/>
      <c r="K742" s="215"/>
      <c r="L742" s="215"/>
      <c r="M742" s="215"/>
      <c r="N742" s="215"/>
      <c r="O742" s="215"/>
      <c r="P742" s="215"/>
      <c r="Q742" s="215"/>
      <c r="R742" s="215"/>
      <c r="S742" s="215"/>
      <c r="T742" s="215"/>
      <c r="U742" s="215"/>
      <c r="V742" s="215"/>
      <c r="W742" s="215"/>
      <c r="X742" s="215"/>
      <c r="AD742" s="196"/>
    </row>
    <row r="743" spans="3:30" s="195" customFormat="1" ht="15">
      <c r="C743" s="215"/>
      <c r="D743" s="215"/>
      <c r="E743" s="215"/>
      <c r="F743" s="215"/>
      <c r="G743" s="215"/>
      <c r="H743" s="215"/>
      <c r="I743" s="215"/>
      <c r="J743" s="215"/>
      <c r="K743" s="215"/>
      <c r="L743" s="215"/>
      <c r="M743" s="215"/>
      <c r="N743" s="215"/>
      <c r="O743" s="215"/>
      <c r="P743" s="215"/>
      <c r="Q743" s="215"/>
      <c r="R743" s="215"/>
      <c r="S743" s="215"/>
      <c r="T743" s="215"/>
      <c r="U743" s="215"/>
      <c r="V743" s="215"/>
      <c r="W743" s="215"/>
      <c r="X743" s="215"/>
      <c r="AD743" s="196"/>
    </row>
    <row r="744" spans="3:30" s="195" customFormat="1" ht="15">
      <c r="C744" s="215"/>
      <c r="D744" s="215"/>
      <c r="E744" s="215"/>
      <c r="F744" s="215"/>
      <c r="G744" s="215"/>
      <c r="H744" s="215"/>
      <c r="I744" s="215"/>
      <c r="J744" s="215"/>
      <c r="K744" s="215"/>
      <c r="L744" s="215"/>
      <c r="M744" s="215"/>
      <c r="N744" s="215"/>
      <c r="O744" s="215"/>
      <c r="P744" s="215"/>
      <c r="Q744" s="215"/>
      <c r="R744" s="215"/>
      <c r="S744" s="215"/>
      <c r="T744" s="215"/>
      <c r="U744" s="215"/>
      <c r="V744" s="215"/>
      <c r="W744" s="215"/>
      <c r="X744" s="215"/>
      <c r="AD744" s="196"/>
    </row>
    <row r="745" spans="3:30" s="195" customFormat="1" ht="15">
      <c r="C745" s="215"/>
      <c r="D745" s="215"/>
      <c r="E745" s="215"/>
      <c r="F745" s="215"/>
      <c r="G745" s="215"/>
      <c r="H745" s="215"/>
      <c r="I745" s="215"/>
      <c r="J745" s="215"/>
      <c r="K745" s="215"/>
      <c r="L745" s="215"/>
      <c r="M745" s="215"/>
      <c r="N745" s="215"/>
      <c r="O745" s="215"/>
      <c r="P745" s="215"/>
      <c r="Q745" s="215"/>
      <c r="R745" s="215"/>
      <c r="S745" s="215"/>
      <c r="T745" s="215"/>
      <c r="U745" s="215"/>
      <c r="V745" s="215"/>
      <c r="W745" s="215"/>
      <c r="X745" s="215"/>
      <c r="AD745" s="196"/>
    </row>
    <row r="746" spans="3:30" s="195" customFormat="1" ht="15">
      <c r="C746" s="215"/>
      <c r="D746" s="215"/>
      <c r="E746" s="215"/>
      <c r="F746" s="215"/>
      <c r="G746" s="215"/>
      <c r="H746" s="215"/>
      <c r="I746" s="215"/>
      <c r="J746" s="215"/>
      <c r="K746" s="215"/>
      <c r="L746" s="215"/>
      <c r="M746" s="215"/>
      <c r="N746" s="215"/>
      <c r="O746" s="215"/>
      <c r="P746" s="215"/>
      <c r="Q746" s="215"/>
      <c r="R746" s="215"/>
      <c r="S746" s="215"/>
      <c r="T746" s="215"/>
      <c r="U746" s="215"/>
      <c r="V746" s="215"/>
      <c r="W746" s="215"/>
      <c r="X746" s="215"/>
      <c r="AD746" s="196"/>
    </row>
    <row r="747" spans="3:30" s="195" customFormat="1" ht="15">
      <c r="C747" s="215"/>
      <c r="D747" s="215"/>
      <c r="E747" s="215"/>
      <c r="F747" s="215"/>
      <c r="G747" s="215"/>
      <c r="H747" s="215"/>
      <c r="I747" s="215"/>
      <c r="J747" s="215"/>
      <c r="K747" s="215"/>
      <c r="L747" s="215"/>
      <c r="M747" s="215"/>
      <c r="N747" s="215"/>
      <c r="O747" s="215"/>
      <c r="P747" s="215"/>
      <c r="Q747" s="215"/>
      <c r="R747" s="215"/>
      <c r="S747" s="215"/>
      <c r="T747" s="215"/>
      <c r="U747" s="215"/>
      <c r="V747" s="215"/>
      <c r="W747" s="215"/>
      <c r="X747" s="215"/>
      <c r="AD747" s="196"/>
    </row>
    <row r="748" spans="3:30" s="195" customFormat="1" ht="15">
      <c r="C748" s="215"/>
      <c r="D748" s="215"/>
      <c r="E748" s="215"/>
      <c r="F748" s="215"/>
      <c r="G748" s="215"/>
      <c r="H748" s="215"/>
      <c r="I748" s="215"/>
      <c r="J748" s="215"/>
      <c r="K748" s="215"/>
      <c r="L748" s="215"/>
      <c r="M748" s="215"/>
      <c r="N748" s="215"/>
      <c r="O748" s="215"/>
      <c r="P748" s="215"/>
      <c r="Q748" s="215"/>
      <c r="R748" s="215"/>
      <c r="S748" s="215"/>
      <c r="T748" s="215"/>
      <c r="U748" s="215"/>
      <c r="V748" s="215"/>
      <c r="W748" s="215"/>
      <c r="X748" s="215"/>
      <c r="AD748" s="196"/>
    </row>
    <row r="749" spans="3:30" s="195" customFormat="1" ht="15">
      <c r="C749" s="215"/>
      <c r="D749" s="215"/>
      <c r="E749" s="215"/>
      <c r="F749" s="215"/>
      <c r="G749" s="215"/>
      <c r="H749" s="215"/>
      <c r="I749" s="215"/>
      <c r="J749" s="215"/>
      <c r="K749" s="215"/>
      <c r="L749" s="215"/>
      <c r="M749" s="215"/>
      <c r="N749" s="215"/>
      <c r="O749" s="215"/>
      <c r="P749" s="215"/>
      <c r="Q749" s="215"/>
      <c r="R749" s="215"/>
      <c r="S749" s="215"/>
      <c r="T749" s="215"/>
      <c r="U749" s="215"/>
      <c r="V749" s="215"/>
      <c r="W749" s="215"/>
      <c r="X749" s="215"/>
      <c r="AD749" s="196"/>
    </row>
    <row r="750" spans="3:30" s="195" customFormat="1" ht="15">
      <c r="C750" s="215"/>
      <c r="D750" s="215"/>
      <c r="E750" s="215"/>
      <c r="F750" s="215"/>
      <c r="G750" s="215"/>
      <c r="H750" s="215"/>
      <c r="I750" s="215"/>
      <c r="J750" s="215"/>
      <c r="K750" s="215"/>
      <c r="L750" s="215"/>
      <c r="M750" s="215"/>
      <c r="N750" s="215"/>
      <c r="O750" s="215"/>
      <c r="P750" s="215"/>
      <c r="Q750" s="215"/>
      <c r="R750" s="215"/>
      <c r="S750" s="215"/>
      <c r="T750" s="215"/>
      <c r="U750" s="215"/>
      <c r="V750" s="215"/>
      <c r="W750" s="215"/>
      <c r="X750" s="215"/>
      <c r="AD750" s="196"/>
    </row>
    <row r="751" spans="3:30" s="195" customFormat="1" ht="15">
      <c r="C751" s="215"/>
      <c r="D751" s="215"/>
      <c r="E751" s="215"/>
      <c r="F751" s="215"/>
      <c r="G751" s="215"/>
      <c r="H751" s="215"/>
      <c r="I751" s="215"/>
      <c r="J751" s="215"/>
      <c r="K751" s="215"/>
      <c r="L751" s="215"/>
      <c r="M751" s="215"/>
      <c r="N751" s="215"/>
      <c r="O751" s="215"/>
      <c r="P751" s="215"/>
      <c r="Q751" s="215"/>
      <c r="R751" s="215"/>
      <c r="S751" s="215"/>
      <c r="T751" s="215"/>
      <c r="U751" s="215"/>
      <c r="V751" s="215"/>
      <c r="W751" s="215"/>
      <c r="X751" s="215"/>
      <c r="AD751" s="196"/>
    </row>
    <row r="752" spans="3:30" s="195" customFormat="1" ht="15">
      <c r="C752" s="215"/>
      <c r="D752" s="215"/>
      <c r="E752" s="215"/>
      <c r="F752" s="215"/>
      <c r="G752" s="215"/>
      <c r="H752" s="215"/>
      <c r="I752" s="215"/>
      <c r="J752" s="215"/>
      <c r="K752" s="215"/>
      <c r="L752" s="215"/>
      <c r="M752" s="215"/>
      <c r="N752" s="215"/>
      <c r="O752" s="215"/>
      <c r="P752" s="215"/>
      <c r="Q752" s="215"/>
      <c r="R752" s="215"/>
      <c r="S752" s="215"/>
      <c r="T752" s="215"/>
      <c r="U752" s="215"/>
      <c r="V752" s="215"/>
      <c r="W752" s="215"/>
      <c r="X752" s="215"/>
      <c r="AD752" s="196"/>
    </row>
    <row r="753" spans="3:30" s="195" customFormat="1" ht="15">
      <c r="C753" s="215"/>
      <c r="D753" s="215"/>
      <c r="E753" s="215"/>
      <c r="F753" s="215"/>
      <c r="G753" s="215"/>
      <c r="H753" s="215"/>
      <c r="I753" s="215"/>
      <c r="J753" s="215"/>
      <c r="K753" s="215"/>
      <c r="L753" s="215"/>
      <c r="M753" s="215"/>
      <c r="N753" s="215"/>
      <c r="O753" s="215"/>
      <c r="P753" s="215"/>
      <c r="Q753" s="215"/>
      <c r="R753" s="215"/>
      <c r="S753" s="215"/>
      <c r="T753" s="215"/>
      <c r="U753" s="215"/>
      <c r="V753" s="215"/>
      <c r="W753" s="215"/>
      <c r="X753" s="215"/>
      <c r="AD753" s="196"/>
    </row>
    <row r="754" spans="3:30" s="195" customFormat="1" ht="15">
      <c r="C754" s="215"/>
      <c r="D754" s="215"/>
      <c r="E754" s="215"/>
      <c r="F754" s="215"/>
      <c r="G754" s="215"/>
      <c r="H754" s="215"/>
      <c r="I754" s="215"/>
      <c r="J754" s="215"/>
      <c r="K754" s="215"/>
      <c r="L754" s="215"/>
      <c r="M754" s="215"/>
      <c r="N754" s="215"/>
      <c r="O754" s="215"/>
      <c r="P754" s="215"/>
      <c r="Q754" s="215"/>
      <c r="R754" s="215"/>
      <c r="S754" s="215"/>
      <c r="T754" s="215"/>
      <c r="U754" s="215"/>
      <c r="V754" s="215"/>
      <c r="W754" s="215"/>
      <c r="X754" s="215"/>
      <c r="AD754" s="196"/>
    </row>
    <row r="755" spans="3:30" s="195" customFormat="1" ht="15">
      <c r="C755" s="215"/>
      <c r="D755" s="215"/>
      <c r="E755" s="215"/>
      <c r="F755" s="215"/>
      <c r="G755" s="215"/>
      <c r="H755" s="215"/>
      <c r="I755" s="215"/>
      <c r="J755" s="215"/>
      <c r="K755" s="215"/>
      <c r="L755" s="215"/>
      <c r="M755" s="215"/>
      <c r="N755" s="215"/>
      <c r="O755" s="215"/>
      <c r="P755" s="215"/>
      <c r="Q755" s="215"/>
      <c r="R755" s="215"/>
      <c r="S755" s="215"/>
      <c r="T755" s="215"/>
      <c r="U755" s="215"/>
      <c r="V755" s="215"/>
      <c r="W755" s="215"/>
      <c r="X755" s="215"/>
      <c r="AD755" s="196"/>
    </row>
    <row r="756" spans="3:30" s="195" customFormat="1" ht="15">
      <c r="C756" s="215"/>
      <c r="D756" s="215"/>
      <c r="E756" s="215"/>
      <c r="F756" s="215"/>
      <c r="G756" s="215"/>
      <c r="H756" s="215"/>
      <c r="I756" s="215"/>
      <c r="J756" s="215"/>
      <c r="K756" s="215"/>
      <c r="L756" s="215"/>
      <c r="M756" s="215"/>
      <c r="N756" s="215"/>
      <c r="O756" s="215"/>
      <c r="P756" s="215"/>
      <c r="Q756" s="215"/>
      <c r="R756" s="215"/>
      <c r="S756" s="215"/>
      <c r="T756" s="215"/>
      <c r="U756" s="215"/>
      <c r="V756" s="215"/>
      <c r="W756" s="215"/>
      <c r="X756" s="215"/>
      <c r="AD756" s="196"/>
    </row>
    <row r="757" spans="3:30" s="195" customFormat="1" ht="15">
      <c r="C757" s="215"/>
      <c r="D757" s="215"/>
      <c r="E757" s="215"/>
      <c r="F757" s="215"/>
      <c r="G757" s="215"/>
      <c r="H757" s="215"/>
      <c r="I757" s="215"/>
      <c r="J757" s="215"/>
      <c r="K757" s="215"/>
      <c r="L757" s="215"/>
      <c r="M757" s="215"/>
      <c r="N757" s="215"/>
      <c r="O757" s="215"/>
      <c r="P757" s="215"/>
      <c r="Q757" s="215"/>
      <c r="R757" s="215"/>
      <c r="S757" s="215"/>
      <c r="T757" s="215"/>
      <c r="U757" s="215"/>
      <c r="V757" s="215"/>
      <c r="W757" s="215"/>
      <c r="X757" s="215"/>
      <c r="AD757" s="196"/>
    </row>
    <row r="758" spans="3:30" s="195" customFormat="1" ht="15">
      <c r="C758" s="215"/>
      <c r="D758" s="215"/>
      <c r="E758" s="215"/>
      <c r="F758" s="215"/>
      <c r="G758" s="215"/>
      <c r="H758" s="215"/>
      <c r="I758" s="215"/>
      <c r="J758" s="215"/>
      <c r="K758" s="215"/>
      <c r="L758" s="215"/>
      <c r="M758" s="215"/>
      <c r="N758" s="215"/>
      <c r="O758" s="215"/>
      <c r="P758" s="215"/>
      <c r="Q758" s="215"/>
      <c r="R758" s="215"/>
      <c r="S758" s="215"/>
      <c r="T758" s="215"/>
      <c r="U758" s="215"/>
      <c r="V758" s="215"/>
      <c r="W758" s="215"/>
      <c r="X758" s="215"/>
      <c r="AD758" s="196"/>
    </row>
    <row r="759" spans="3:30" s="195" customFormat="1" ht="15">
      <c r="C759" s="215"/>
      <c r="D759" s="215"/>
      <c r="E759" s="215"/>
      <c r="F759" s="215"/>
      <c r="G759" s="215"/>
      <c r="H759" s="215"/>
      <c r="I759" s="215"/>
      <c r="J759" s="215"/>
      <c r="K759" s="215"/>
      <c r="L759" s="215"/>
      <c r="M759" s="215"/>
      <c r="N759" s="215"/>
      <c r="O759" s="215"/>
      <c r="P759" s="215"/>
      <c r="Q759" s="215"/>
      <c r="R759" s="215"/>
      <c r="S759" s="215"/>
      <c r="T759" s="215"/>
      <c r="U759" s="215"/>
      <c r="V759" s="215"/>
      <c r="W759" s="215"/>
      <c r="X759" s="215"/>
      <c r="AD759" s="196"/>
    </row>
    <row r="760" spans="3:30" s="195" customFormat="1" ht="15">
      <c r="C760" s="215"/>
      <c r="D760" s="215"/>
      <c r="E760" s="215"/>
      <c r="F760" s="215"/>
      <c r="G760" s="215"/>
      <c r="H760" s="215"/>
      <c r="I760" s="215"/>
      <c r="J760" s="215"/>
      <c r="K760" s="215"/>
      <c r="L760" s="215"/>
      <c r="M760" s="215"/>
      <c r="N760" s="215"/>
      <c r="O760" s="215"/>
      <c r="P760" s="215"/>
      <c r="Q760" s="215"/>
      <c r="R760" s="215"/>
      <c r="S760" s="215"/>
      <c r="T760" s="215"/>
      <c r="U760" s="215"/>
      <c r="V760" s="215"/>
      <c r="W760" s="215"/>
      <c r="X760" s="215"/>
      <c r="AD760" s="196"/>
    </row>
    <row r="761" spans="3:30" s="195" customFormat="1" ht="15">
      <c r="C761" s="215"/>
      <c r="D761" s="215"/>
      <c r="E761" s="215"/>
      <c r="F761" s="215"/>
      <c r="G761" s="215"/>
      <c r="H761" s="215"/>
      <c r="I761" s="215"/>
      <c r="J761" s="215"/>
      <c r="K761" s="215"/>
      <c r="L761" s="215"/>
      <c r="M761" s="215"/>
      <c r="N761" s="215"/>
      <c r="O761" s="215"/>
      <c r="P761" s="215"/>
      <c r="Q761" s="215"/>
      <c r="R761" s="215"/>
      <c r="S761" s="215"/>
      <c r="T761" s="215"/>
      <c r="U761" s="215"/>
      <c r="V761" s="215"/>
      <c r="W761" s="215"/>
      <c r="X761" s="215"/>
      <c r="AD761" s="196"/>
    </row>
    <row r="762" spans="3:30" s="195" customFormat="1" ht="15">
      <c r="C762" s="215"/>
      <c r="D762" s="215"/>
      <c r="E762" s="215"/>
      <c r="F762" s="215"/>
      <c r="G762" s="215"/>
      <c r="H762" s="215"/>
      <c r="I762" s="215"/>
      <c r="J762" s="215"/>
      <c r="K762" s="215"/>
      <c r="L762" s="215"/>
      <c r="M762" s="215"/>
      <c r="N762" s="215"/>
      <c r="O762" s="215"/>
      <c r="P762" s="215"/>
      <c r="Q762" s="215"/>
      <c r="R762" s="215"/>
      <c r="S762" s="215"/>
      <c r="T762" s="215"/>
      <c r="U762" s="215"/>
      <c r="V762" s="215"/>
      <c r="W762" s="215"/>
      <c r="X762" s="215"/>
      <c r="AD762" s="196"/>
    </row>
    <row r="763" spans="3:30" s="195" customFormat="1" ht="15">
      <c r="C763" s="215"/>
      <c r="D763" s="215"/>
      <c r="E763" s="215"/>
      <c r="F763" s="215"/>
      <c r="G763" s="215"/>
      <c r="H763" s="215"/>
      <c r="I763" s="215"/>
      <c r="J763" s="215"/>
      <c r="K763" s="215"/>
      <c r="L763" s="215"/>
      <c r="M763" s="215"/>
      <c r="N763" s="215"/>
      <c r="O763" s="215"/>
      <c r="P763" s="215"/>
      <c r="Q763" s="215"/>
      <c r="R763" s="215"/>
      <c r="S763" s="215"/>
      <c r="T763" s="215"/>
      <c r="U763" s="215"/>
      <c r="V763" s="215"/>
      <c r="W763" s="215"/>
      <c r="X763" s="215"/>
      <c r="AD763" s="196"/>
    </row>
    <row r="764" spans="3:30" s="195" customFormat="1" ht="15">
      <c r="C764" s="215"/>
      <c r="D764" s="215"/>
      <c r="E764" s="215"/>
      <c r="F764" s="215"/>
      <c r="G764" s="215"/>
      <c r="H764" s="215"/>
      <c r="I764" s="215"/>
      <c r="J764" s="215"/>
      <c r="K764" s="215"/>
      <c r="L764" s="215"/>
      <c r="M764" s="215"/>
      <c r="N764" s="215"/>
      <c r="O764" s="215"/>
      <c r="P764" s="215"/>
      <c r="Q764" s="215"/>
      <c r="R764" s="215"/>
      <c r="S764" s="215"/>
      <c r="T764" s="215"/>
      <c r="U764" s="215"/>
      <c r="V764" s="215"/>
      <c r="W764" s="215"/>
      <c r="X764" s="215"/>
      <c r="AD764" s="196"/>
    </row>
    <row r="765" spans="3:30" s="195" customFormat="1" ht="15">
      <c r="C765" s="215"/>
      <c r="D765" s="215"/>
      <c r="E765" s="215"/>
      <c r="F765" s="215"/>
      <c r="G765" s="215"/>
      <c r="H765" s="215"/>
      <c r="I765" s="215"/>
      <c r="J765" s="215"/>
      <c r="K765" s="215"/>
      <c r="L765" s="215"/>
      <c r="M765" s="215"/>
      <c r="N765" s="215"/>
      <c r="O765" s="215"/>
      <c r="P765" s="215"/>
      <c r="Q765" s="215"/>
      <c r="R765" s="215"/>
      <c r="S765" s="215"/>
      <c r="T765" s="215"/>
      <c r="U765" s="215"/>
      <c r="V765" s="215"/>
      <c r="W765" s="215"/>
      <c r="X765" s="215"/>
      <c r="AD765" s="196"/>
    </row>
    <row r="766" spans="3:30" s="195" customFormat="1" ht="15">
      <c r="C766" s="215"/>
      <c r="D766" s="215"/>
      <c r="E766" s="215"/>
      <c r="F766" s="215"/>
      <c r="G766" s="215"/>
      <c r="H766" s="215"/>
      <c r="I766" s="215"/>
      <c r="J766" s="215"/>
      <c r="K766" s="215"/>
      <c r="L766" s="215"/>
      <c r="M766" s="215"/>
      <c r="N766" s="215"/>
      <c r="O766" s="215"/>
      <c r="P766" s="215"/>
      <c r="Q766" s="215"/>
      <c r="R766" s="215"/>
      <c r="S766" s="215"/>
      <c r="T766" s="215"/>
      <c r="U766" s="215"/>
      <c r="V766" s="215"/>
      <c r="W766" s="215"/>
      <c r="X766" s="215"/>
      <c r="AD766" s="196"/>
    </row>
    <row r="767" spans="3:30" s="195" customFormat="1" ht="15">
      <c r="C767" s="215"/>
      <c r="D767" s="215"/>
      <c r="E767" s="215"/>
      <c r="F767" s="215"/>
      <c r="G767" s="215"/>
      <c r="H767" s="215"/>
      <c r="I767" s="215"/>
      <c r="J767" s="215"/>
      <c r="K767" s="215"/>
      <c r="L767" s="215"/>
      <c r="M767" s="215"/>
      <c r="N767" s="215"/>
      <c r="O767" s="215"/>
      <c r="P767" s="215"/>
      <c r="Q767" s="215"/>
      <c r="R767" s="215"/>
      <c r="S767" s="215"/>
      <c r="T767" s="215"/>
      <c r="U767" s="215"/>
      <c r="V767" s="215"/>
      <c r="W767" s="215"/>
      <c r="X767" s="215"/>
      <c r="AD767" s="196"/>
    </row>
    <row r="768" spans="3:30" s="195" customFormat="1" ht="15">
      <c r="C768" s="215"/>
      <c r="D768" s="215"/>
      <c r="E768" s="215"/>
      <c r="F768" s="215"/>
      <c r="G768" s="215"/>
      <c r="H768" s="215"/>
      <c r="I768" s="215"/>
      <c r="J768" s="215"/>
      <c r="K768" s="215"/>
      <c r="L768" s="215"/>
      <c r="M768" s="215"/>
      <c r="N768" s="215"/>
      <c r="O768" s="215"/>
      <c r="P768" s="215"/>
      <c r="Q768" s="215"/>
      <c r="R768" s="215"/>
      <c r="S768" s="215"/>
      <c r="T768" s="215"/>
      <c r="U768" s="215"/>
      <c r="V768" s="215"/>
      <c r="W768" s="215"/>
      <c r="X768" s="215"/>
      <c r="AD768" s="196"/>
    </row>
    <row r="769" spans="3:30" s="195" customFormat="1" ht="15">
      <c r="C769" s="215"/>
      <c r="D769" s="215"/>
      <c r="E769" s="215"/>
      <c r="F769" s="215"/>
      <c r="G769" s="215"/>
      <c r="H769" s="215"/>
      <c r="I769" s="215"/>
      <c r="J769" s="215"/>
      <c r="K769" s="215"/>
      <c r="L769" s="215"/>
      <c r="M769" s="215"/>
      <c r="N769" s="215"/>
      <c r="O769" s="215"/>
      <c r="P769" s="215"/>
      <c r="Q769" s="215"/>
      <c r="R769" s="215"/>
      <c r="S769" s="215"/>
      <c r="T769" s="215"/>
      <c r="U769" s="215"/>
      <c r="V769" s="215"/>
      <c r="W769" s="215"/>
      <c r="X769" s="215"/>
      <c r="AD769" s="196"/>
    </row>
    <row r="770" spans="3:30" s="195" customFormat="1" ht="15">
      <c r="C770" s="215"/>
      <c r="D770" s="215"/>
      <c r="E770" s="215"/>
      <c r="F770" s="215"/>
      <c r="G770" s="215"/>
      <c r="H770" s="215"/>
      <c r="I770" s="215"/>
      <c r="J770" s="215"/>
      <c r="K770" s="215"/>
      <c r="L770" s="215"/>
      <c r="M770" s="215"/>
      <c r="N770" s="215"/>
      <c r="O770" s="215"/>
      <c r="P770" s="215"/>
      <c r="Q770" s="215"/>
      <c r="R770" s="215"/>
      <c r="S770" s="215"/>
      <c r="T770" s="215"/>
      <c r="U770" s="215"/>
      <c r="V770" s="215"/>
      <c r="W770" s="215"/>
      <c r="X770" s="215"/>
      <c r="AD770" s="196"/>
    </row>
    <row r="771" spans="3:30" s="195" customFormat="1" ht="15">
      <c r="C771" s="215"/>
      <c r="D771" s="215"/>
      <c r="E771" s="215"/>
      <c r="F771" s="215"/>
      <c r="G771" s="215"/>
      <c r="H771" s="215"/>
      <c r="I771" s="215"/>
      <c r="J771" s="215"/>
      <c r="K771" s="215"/>
      <c r="L771" s="215"/>
      <c r="M771" s="215"/>
      <c r="N771" s="215"/>
      <c r="O771" s="215"/>
      <c r="P771" s="215"/>
      <c r="Q771" s="215"/>
      <c r="R771" s="215"/>
      <c r="S771" s="215"/>
      <c r="T771" s="215"/>
      <c r="U771" s="215"/>
      <c r="V771" s="215"/>
      <c r="W771" s="215"/>
      <c r="X771" s="215"/>
      <c r="AD771" s="196"/>
    </row>
    <row r="772" spans="3:30" s="195" customFormat="1" ht="15">
      <c r="C772" s="215"/>
      <c r="D772" s="215"/>
      <c r="E772" s="215"/>
      <c r="F772" s="215"/>
      <c r="G772" s="215"/>
      <c r="H772" s="215"/>
      <c r="I772" s="215"/>
      <c r="J772" s="215"/>
      <c r="K772" s="215"/>
      <c r="L772" s="215"/>
      <c r="M772" s="215"/>
      <c r="N772" s="215"/>
      <c r="O772" s="215"/>
      <c r="P772" s="215"/>
      <c r="Q772" s="215"/>
      <c r="R772" s="215"/>
      <c r="S772" s="215"/>
      <c r="T772" s="215"/>
      <c r="U772" s="215"/>
      <c r="V772" s="215"/>
      <c r="W772" s="215"/>
      <c r="X772" s="215"/>
      <c r="AD772" s="196"/>
    </row>
    <row r="773" spans="3:30" s="195" customFormat="1" ht="15">
      <c r="C773" s="215"/>
      <c r="D773" s="215"/>
      <c r="E773" s="215"/>
      <c r="F773" s="215"/>
      <c r="G773" s="215"/>
      <c r="H773" s="215"/>
      <c r="I773" s="215"/>
      <c r="J773" s="215"/>
      <c r="K773" s="215"/>
      <c r="L773" s="215"/>
      <c r="M773" s="215"/>
      <c r="N773" s="215"/>
      <c r="O773" s="215"/>
      <c r="P773" s="215"/>
      <c r="Q773" s="215"/>
      <c r="R773" s="215"/>
      <c r="S773" s="215"/>
      <c r="T773" s="215"/>
      <c r="U773" s="215"/>
      <c r="V773" s="215"/>
      <c r="W773" s="215"/>
      <c r="X773" s="215"/>
      <c r="AD773" s="196"/>
    </row>
    <row r="774" spans="3:30" s="195" customFormat="1" ht="15">
      <c r="C774" s="215"/>
      <c r="D774" s="215"/>
      <c r="E774" s="215"/>
      <c r="F774" s="215"/>
      <c r="G774" s="215"/>
      <c r="H774" s="215"/>
      <c r="I774" s="215"/>
      <c r="J774" s="215"/>
      <c r="K774" s="215"/>
      <c r="L774" s="215"/>
      <c r="M774" s="215"/>
      <c r="N774" s="215"/>
      <c r="O774" s="215"/>
      <c r="P774" s="215"/>
      <c r="Q774" s="215"/>
      <c r="R774" s="215"/>
      <c r="S774" s="215"/>
      <c r="T774" s="215"/>
      <c r="U774" s="215"/>
      <c r="V774" s="215"/>
      <c r="W774" s="215"/>
      <c r="X774" s="215"/>
      <c r="AD774" s="196"/>
    </row>
    <row r="775" spans="3:30" s="195" customFormat="1" ht="15">
      <c r="C775" s="215"/>
      <c r="D775" s="215"/>
      <c r="E775" s="215"/>
      <c r="F775" s="215"/>
      <c r="G775" s="215"/>
      <c r="H775" s="215"/>
      <c r="I775" s="215"/>
      <c r="J775" s="215"/>
      <c r="K775" s="215"/>
      <c r="L775" s="215"/>
      <c r="M775" s="215"/>
      <c r="N775" s="215"/>
      <c r="O775" s="215"/>
      <c r="P775" s="215"/>
      <c r="Q775" s="215"/>
      <c r="R775" s="215"/>
      <c r="S775" s="215"/>
      <c r="T775" s="215"/>
      <c r="U775" s="215"/>
      <c r="V775" s="215"/>
      <c r="W775" s="215"/>
      <c r="X775" s="215"/>
      <c r="AD775" s="196"/>
    </row>
    <row r="776" spans="3:30" s="195" customFormat="1" ht="15">
      <c r="C776" s="215"/>
      <c r="D776" s="215"/>
      <c r="E776" s="215"/>
      <c r="F776" s="215"/>
      <c r="G776" s="215"/>
      <c r="H776" s="215"/>
      <c r="I776" s="215"/>
      <c r="J776" s="215"/>
      <c r="K776" s="215"/>
      <c r="L776" s="215"/>
      <c r="M776" s="215"/>
      <c r="N776" s="215"/>
      <c r="O776" s="215"/>
      <c r="P776" s="215"/>
      <c r="Q776" s="215"/>
      <c r="R776" s="215"/>
      <c r="S776" s="215"/>
      <c r="T776" s="215"/>
      <c r="U776" s="215"/>
      <c r="V776" s="215"/>
      <c r="W776" s="215"/>
      <c r="X776" s="215"/>
      <c r="AD776" s="196"/>
    </row>
    <row r="777" spans="3:30" s="195" customFormat="1" ht="15">
      <c r="C777" s="215"/>
      <c r="D777" s="215"/>
      <c r="E777" s="215"/>
      <c r="F777" s="215"/>
      <c r="G777" s="215"/>
      <c r="H777" s="215"/>
      <c r="I777" s="215"/>
      <c r="J777" s="215"/>
      <c r="K777" s="215"/>
      <c r="L777" s="215"/>
      <c r="M777" s="215"/>
      <c r="N777" s="215"/>
      <c r="O777" s="215"/>
      <c r="P777" s="215"/>
      <c r="Q777" s="215"/>
      <c r="R777" s="215"/>
      <c r="S777" s="215"/>
      <c r="T777" s="215"/>
      <c r="U777" s="215"/>
      <c r="V777" s="215"/>
      <c r="W777" s="215"/>
      <c r="X777" s="215"/>
      <c r="AD777" s="196"/>
    </row>
    <row r="778" spans="3:30" s="195" customFormat="1" ht="15">
      <c r="C778" s="215"/>
      <c r="D778" s="215"/>
      <c r="E778" s="215"/>
      <c r="F778" s="215"/>
      <c r="G778" s="215"/>
      <c r="H778" s="215"/>
      <c r="I778" s="215"/>
      <c r="J778" s="215"/>
      <c r="K778" s="215"/>
      <c r="L778" s="215"/>
      <c r="M778" s="215"/>
      <c r="N778" s="215"/>
      <c r="O778" s="215"/>
      <c r="P778" s="215"/>
      <c r="Q778" s="215"/>
      <c r="R778" s="215"/>
      <c r="S778" s="215"/>
      <c r="T778" s="215"/>
      <c r="U778" s="215"/>
      <c r="V778" s="215"/>
      <c r="W778" s="215"/>
      <c r="X778" s="215"/>
      <c r="AD778" s="196"/>
    </row>
    <row r="779" spans="3:30" s="195" customFormat="1" ht="15">
      <c r="C779" s="215"/>
      <c r="D779" s="215"/>
      <c r="E779" s="215"/>
      <c r="F779" s="215"/>
      <c r="G779" s="215"/>
      <c r="H779" s="215"/>
      <c r="I779" s="215"/>
      <c r="J779" s="215"/>
      <c r="K779" s="215"/>
      <c r="L779" s="215"/>
      <c r="M779" s="215"/>
      <c r="N779" s="215"/>
      <c r="O779" s="215"/>
      <c r="P779" s="215"/>
      <c r="Q779" s="215"/>
      <c r="R779" s="215"/>
      <c r="S779" s="215"/>
      <c r="T779" s="215"/>
      <c r="U779" s="215"/>
      <c r="V779" s="215"/>
      <c r="W779" s="215"/>
      <c r="X779" s="215"/>
      <c r="AD779" s="196"/>
    </row>
    <row r="780" spans="3:30" s="195" customFormat="1" ht="15">
      <c r="C780" s="215"/>
      <c r="D780" s="215"/>
      <c r="E780" s="215"/>
      <c r="F780" s="215"/>
      <c r="G780" s="215"/>
      <c r="H780" s="215"/>
      <c r="I780" s="215"/>
      <c r="J780" s="215"/>
      <c r="K780" s="215"/>
      <c r="L780" s="215"/>
      <c r="M780" s="215"/>
      <c r="N780" s="215"/>
      <c r="O780" s="215"/>
      <c r="P780" s="215"/>
      <c r="Q780" s="215"/>
      <c r="R780" s="215"/>
      <c r="S780" s="215"/>
      <c r="T780" s="215"/>
      <c r="U780" s="215"/>
      <c r="V780" s="215"/>
      <c r="W780" s="215"/>
      <c r="X780" s="215"/>
      <c r="AD780" s="196"/>
    </row>
    <row r="781" spans="3:30" s="195" customFormat="1" ht="15">
      <c r="C781" s="215"/>
      <c r="D781" s="215"/>
      <c r="E781" s="215"/>
      <c r="F781" s="215"/>
      <c r="G781" s="215"/>
      <c r="H781" s="215"/>
      <c r="I781" s="215"/>
      <c r="J781" s="215"/>
      <c r="K781" s="215"/>
      <c r="L781" s="215"/>
      <c r="M781" s="215"/>
      <c r="N781" s="215"/>
      <c r="O781" s="215"/>
      <c r="P781" s="215"/>
      <c r="Q781" s="215"/>
      <c r="R781" s="215"/>
      <c r="S781" s="215"/>
      <c r="T781" s="215"/>
      <c r="U781" s="215"/>
      <c r="V781" s="215"/>
      <c r="W781" s="215"/>
      <c r="X781" s="215"/>
      <c r="AD781" s="196"/>
    </row>
    <row r="782" spans="3:30" s="195" customFormat="1" ht="15">
      <c r="C782" s="215"/>
      <c r="D782" s="215"/>
      <c r="E782" s="215"/>
      <c r="F782" s="215"/>
      <c r="G782" s="215"/>
      <c r="H782" s="215"/>
      <c r="I782" s="215"/>
      <c r="J782" s="215"/>
      <c r="K782" s="215"/>
      <c r="L782" s="215"/>
      <c r="M782" s="215"/>
      <c r="N782" s="215"/>
      <c r="O782" s="215"/>
      <c r="P782" s="215"/>
      <c r="Q782" s="215"/>
      <c r="R782" s="215"/>
      <c r="S782" s="215"/>
      <c r="T782" s="215"/>
      <c r="U782" s="215"/>
      <c r="V782" s="215"/>
      <c r="W782" s="215"/>
      <c r="X782" s="215"/>
      <c r="AD782" s="196"/>
    </row>
    <row r="783" spans="3:30" s="195" customFormat="1" ht="15">
      <c r="C783" s="215"/>
      <c r="D783" s="215"/>
      <c r="E783" s="215"/>
      <c r="F783" s="215"/>
      <c r="G783" s="215"/>
      <c r="H783" s="215"/>
      <c r="I783" s="215"/>
      <c r="J783" s="215"/>
      <c r="K783" s="215"/>
      <c r="L783" s="215"/>
      <c r="M783" s="215"/>
      <c r="N783" s="215"/>
      <c r="O783" s="215"/>
      <c r="P783" s="215"/>
      <c r="Q783" s="215"/>
      <c r="R783" s="215"/>
      <c r="S783" s="215"/>
      <c r="T783" s="215"/>
      <c r="U783" s="215"/>
      <c r="V783" s="215"/>
      <c r="W783" s="215"/>
      <c r="X783" s="215"/>
      <c r="AD783" s="196"/>
    </row>
    <row r="784" spans="3:30" s="195" customFormat="1" ht="15">
      <c r="C784" s="215"/>
      <c r="D784" s="215"/>
      <c r="E784" s="215"/>
      <c r="F784" s="215"/>
      <c r="G784" s="215"/>
      <c r="H784" s="215"/>
      <c r="I784" s="215"/>
      <c r="J784" s="215"/>
      <c r="K784" s="215"/>
      <c r="L784" s="215"/>
      <c r="M784" s="215"/>
      <c r="N784" s="215"/>
      <c r="O784" s="215"/>
      <c r="P784" s="215"/>
      <c r="Q784" s="215"/>
      <c r="R784" s="215"/>
      <c r="S784" s="215"/>
      <c r="T784" s="215"/>
      <c r="U784" s="215"/>
      <c r="V784" s="215"/>
      <c r="W784" s="215"/>
      <c r="X784" s="215"/>
      <c r="AD784" s="196"/>
    </row>
    <row r="785" spans="3:30" s="195" customFormat="1" ht="15">
      <c r="C785" s="215"/>
      <c r="D785" s="215"/>
      <c r="E785" s="215"/>
      <c r="F785" s="215"/>
      <c r="G785" s="215"/>
      <c r="H785" s="215"/>
      <c r="I785" s="215"/>
      <c r="J785" s="215"/>
      <c r="K785" s="215"/>
      <c r="L785" s="215"/>
      <c r="M785" s="215"/>
      <c r="N785" s="215"/>
      <c r="O785" s="215"/>
      <c r="P785" s="215"/>
      <c r="Q785" s="215"/>
      <c r="R785" s="215"/>
      <c r="S785" s="215"/>
      <c r="T785" s="215"/>
      <c r="U785" s="215"/>
      <c r="V785" s="215"/>
      <c r="W785" s="215"/>
      <c r="X785" s="215"/>
      <c r="AD785" s="196"/>
    </row>
    <row r="786" spans="3:30" s="195" customFormat="1" ht="15">
      <c r="C786" s="215"/>
      <c r="D786" s="215"/>
      <c r="E786" s="215"/>
      <c r="F786" s="215"/>
      <c r="G786" s="215"/>
      <c r="H786" s="215"/>
      <c r="I786" s="215"/>
      <c r="J786" s="215"/>
      <c r="K786" s="215"/>
      <c r="L786" s="215"/>
      <c r="M786" s="215"/>
      <c r="N786" s="215"/>
      <c r="O786" s="215"/>
      <c r="P786" s="215"/>
      <c r="Q786" s="215"/>
      <c r="R786" s="215"/>
      <c r="S786" s="215"/>
      <c r="T786" s="215"/>
      <c r="U786" s="215"/>
      <c r="V786" s="215"/>
      <c r="W786" s="215"/>
      <c r="X786" s="215"/>
      <c r="AD786" s="196"/>
    </row>
    <row r="787" spans="3:30" s="195" customFormat="1" ht="15">
      <c r="C787" s="215"/>
      <c r="D787" s="215"/>
      <c r="E787" s="215"/>
      <c r="F787" s="215"/>
      <c r="G787" s="215"/>
      <c r="H787" s="215"/>
      <c r="I787" s="215"/>
      <c r="J787" s="215"/>
      <c r="K787" s="215"/>
      <c r="L787" s="215"/>
      <c r="M787" s="215"/>
      <c r="N787" s="215"/>
      <c r="O787" s="215"/>
      <c r="P787" s="215"/>
      <c r="Q787" s="215"/>
      <c r="R787" s="215"/>
      <c r="S787" s="215"/>
      <c r="T787" s="215"/>
      <c r="U787" s="215"/>
      <c r="V787" s="215"/>
      <c r="W787" s="215"/>
      <c r="X787" s="215"/>
      <c r="AD787" s="196"/>
    </row>
    <row r="788" spans="3:30" s="195" customFormat="1" ht="15">
      <c r="C788" s="215"/>
      <c r="D788" s="215"/>
      <c r="E788" s="215"/>
      <c r="F788" s="215"/>
      <c r="G788" s="215"/>
      <c r="H788" s="215"/>
      <c r="I788" s="215"/>
      <c r="J788" s="215"/>
      <c r="K788" s="215"/>
      <c r="L788" s="215"/>
      <c r="M788" s="215"/>
      <c r="N788" s="215"/>
      <c r="O788" s="215"/>
      <c r="P788" s="215"/>
      <c r="Q788" s="215"/>
      <c r="R788" s="215"/>
      <c r="S788" s="215"/>
      <c r="T788" s="215"/>
      <c r="U788" s="215"/>
      <c r="V788" s="215"/>
      <c r="W788" s="215"/>
      <c r="X788" s="215"/>
      <c r="AD788" s="196"/>
    </row>
    <row r="789" spans="3:30" s="195" customFormat="1" ht="15">
      <c r="C789" s="215"/>
      <c r="D789" s="215"/>
      <c r="E789" s="215"/>
      <c r="F789" s="215"/>
      <c r="G789" s="215"/>
      <c r="H789" s="215"/>
      <c r="I789" s="215"/>
      <c r="J789" s="215"/>
      <c r="K789" s="215"/>
      <c r="L789" s="215"/>
      <c r="M789" s="215"/>
      <c r="N789" s="215"/>
      <c r="O789" s="215"/>
      <c r="P789" s="215"/>
      <c r="Q789" s="215"/>
      <c r="R789" s="215"/>
      <c r="S789" s="215"/>
      <c r="T789" s="215"/>
      <c r="U789" s="215"/>
      <c r="V789" s="215"/>
      <c r="W789" s="215"/>
      <c r="X789" s="215"/>
      <c r="AD789" s="196"/>
    </row>
    <row r="790" spans="3:30" s="195" customFormat="1" ht="15">
      <c r="C790" s="215"/>
      <c r="D790" s="215"/>
      <c r="E790" s="215"/>
      <c r="F790" s="215"/>
      <c r="G790" s="215"/>
      <c r="H790" s="215"/>
      <c r="I790" s="215"/>
      <c r="J790" s="215"/>
      <c r="K790" s="215"/>
      <c r="L790" s="215"/>
      <c r="M790" s="215"/>
      <c r="N790" s="215"/>
      <c r="O790" s="215"/>
      <c r="P790" s="215"/>
      <c r="Q790" s="215"/>
      <c r="R790" s="215"/>
      <c r="S790" s="215"/>
      <c r="T790" s="215"/>
      <c r="U790" s="215"/>
      <c r="V790" s="215"/>
      <c r="W790" s="215"/>
      <c r="X790" s="215"/>
      <c r="AD790" s="196"/>
    </row>
    <row r="791" spans="3:30" s="195" customFormat="1" ht="15">
      <c r="C791" s="215"/>
      <c r="D791" s="215"/>
      <c r="E791" s="215"/>
      <c r="F791" s="215"/>
      <c r="G791" s="215"/>
      <c r="H791" s="215"/>
      <c r="I791" s="215"/>
      <c r="J791" s="215"/>
      <c r="K791" s="215"/>
      <c r="L791" s="215"/>
      <c r="M791" s="215"/>
      <c r="N791" s="215"/>
      <c r="O791" s="215"/>
      <c r="P791" s="215"/>
      <c r="Q791" s="215"/>
      <c r="R791" s="215"/>
      <c r="S791" s="215"/>
      <c r="T791" s="215"/>
      <c r="U791" s="215"/>
      <c r="V791" s="215"/>
      <c r="W791" s="215"/>
      <c r="X791" s="215"/>
      <c r="AD791" s="196"/>
    </row>
    <row r="792" spans="3:30" s="195" customFormat="1" ht="15">
      <c r="C792" s="215"/>
      <c r="D792" s="215"/>
      <c r="E792" s="215"/>
      <c r="F792" s="215"/>
      <c r="G792" s="215"/>
      <c r="H792" s="215"/>
      <c r="I792" s="215"/>
      <c r="J792" s="215"/>
      <c r="K792" s="215"/>
      <c r="L792" s="215"/>
      <c r="M792" s="215"/>
      <c r="N792" s="215"/>
      <c r="O792" s="215"/>
      <c r="P792" s="215"/>
      <c r="Q792" s="215"/>
      <c r="R792" s="215"/>
      <c r="S792" s="215"/>
      <c r="T792" s="215"/>
      <c r="U792" s="215"/>
      <c r="V792" s="215"/>
      <c r="W792" s="215"/>
      <c r="X792" s="215"/>
      <c r="AD792" s="196"/>
    </row>
    <row r="793" spans="3:30" s="195" customFormat="1" ht="15">
      <c r="C793" s="215"/>
      <c r="D793" s="215"/>
      <c r="E793" s="215"/>
      <c r="F793" s="215"/>
      <c r="G793" s="215"/>
      <c r="H793" s="215"/>
      <c r="I793" s="215"/>
      <c r="J793" s="215"/>
      <c r="K793" s="215"/>
      <c r="L793" s="215"/>
      <c r="M793" s="215"/>
      <c r="N793" s="215"/>
      <c r="O793" s="215"/>
      <c r="P793" s="215"/>
      <c r="Q793" s="215"/>
      <c r="R793" s="215"/>
      <c r="S793" s="215"/>
      <c r="T793" s="215"/>
      <c r="U793" s="215"/>
      <c r="V793" s="215"/>
      <c r="W793" s="215"/>
      <c r="X793" s="215"/>
      <c r="AD793" s="196"/>
    </row>
    <row r="794" spans="3:30" s="195" customFormat="1" ht="15">
      <c r="C794" s="215"/>
      <c r="D794" s="215"/>
      <c r="E794" s="215"/>
      <c r="F794" s="215"/>
      <c r="G794" s="215"/>
      <c r="H794" s="215"/>
      <c r="I794" s="215"/>
      <c r="J794" s="215"/>
      <c r="K794" s="215"/>
      <c r="L794" s="215"/>
      <c r="M794" s="215"/>
      <c r="N794" s="215"/>
      <c r="O794" s="215"/>
      <c r="P794" s="215"/>
      <c r="Q794" s="215"/>
      <c r="R794" s="215"/>
      <c r="S794" s="215"/>
      <c r="T794" s="215"/>
      <c r="U794" s="215"/>
      <c r="V794" s="215"/>
      <c r="W794" s="215"/>
      <c r="X794" s="215"/>
      <c r="AD794" s="196"/>
    </row>
    <row r="795" spans="3:30" s="195" customFormat="1" ht="15">
      <c r="C795" s="215"/>
      <c r="D795" s="215"/>
      <c r="E795" s="215"/>
      <c r="F795" s="215"/>
      <c r="G795" s="215"/>
      <c r="H795" s="215"/>
      <c r="I795" s="215"/>
      <c r="J795" s="215"/>
      <c r="K795" s="215"/>
      <c r="L795" s="215"/>
      <c r="M795" s="215"/>
      <c r="N795" s="215"/>
      <c r="O795" s="215"/>
      <c r="P795" s="215"/>
      <c r="Q795" s="215"/>
      <c r="R795" s="215"/>
      <c r="S795" s="215"/>
      <c r="T795" s="215"/>
      <c r="U795" s="215"/>
      <c r="V795" s="215"/>
      <c r="W795" s="215"/>
      <c r="X795" s="215"/>
      <c r="AD795" s="196"/>
    </row>
    <row r="796" spans="3:30" s="195" customFormat="1" ht="15">
      <c r="C796" s="215"/>
      <c r="D796" s="215"/>
      <c r="E796" s="215"/>
      <c r="F796" s="215"/>
      <c r="G796" s="215"/>
      <c r="H796" s="215"/>
      <c r="I796" s="215"/>
      <c r="J796" s="215"/>
      <c r="K796" s="215"/>
      <c r="L796" s="215"/>
      <c r="M796" s="215"/>
      <c r="N796" s="215"/>
      <c r="O796" s="215"/>
      <c r="P796" s="215"/>
      <c r="Q796" s="215"/>
      <c r="R796" s="215"/>
      <c r="S796" s="215"/>
      <c r="T796" s="215"/>
      <c r="U796" s="215"/>
      <c r="V796" s="215"/>
      <c r="W796" s="215"/>
      <c r="X796" s="215"/>
      <c r="AD796" s="196"/>
    </row>
    <row r="797" spans="3:30" s="195" customFormat="1" ht="15">
      <c r="C797" s="215"/>
      <c r="D797" s="215"/>
      <c r="E797" s="215"/>
      <c r="F797" s="215"/>
      <c r="G797" s="215"/>
      <c r="H797" s="215"/>
      <c r="I797" s="215"/>
      <c r="J797" s="215"/>
      <c r="K797" s="215"/>
      <c r="L797" s="215"/>
      <c r="M797" s="215"/>
      <c r="N797" s="215"/>
      <c r="O797" s="215"/>
      <c r="P797" s="215"/>
      <c r="Q797" s="215"/>
      <c r="R797" s="215"/>
      <c r="S797" s="215"/>
      <c r="T797" s="215"/>
      <c r="U797" s="215"/>
      <c r="V797" s="215"/>
      <c r="W797" s="215"/>
      <c r="X797" s="215"/>
      <c r="AD797" s="196"/>
    </row>
    <row r="798" spans="3:30" s="195" customFormat="1" ht="15">
      <c r="C798" s="215"/>
      <c r="D798" s="215"/>
      <c r="E798" s="215"/>
      <c r="F798" s="215"/>
      <c r="G798" s="215"/>
      <c r="H798" s="215"/>
      <c r="I798" s="215"/>
      <c r="J798" s="215"/>
      <c r="K798" s="215"/>
      <c r="L798" s="215"/>
      <c r="M798" s="215"/>
      <c r="N798" s="215"/>
      <c r="O798" s="215"/>
      <c r="P798" s="215"/>
      <c r="Q798" s="215"/>
      <c r="R798" s="215"/>
      <c r="S798" s="215"/>
      <c r="T798" s="215"/>
      <c r="U798" s="215"/>
      <c r="V798" s="215"/>
      <c r="W798" s="215"/>
      <c r="X798" s="215"/>
      <c r="AD798" s="196"/>
    </row>
    <row r="799" spans="3:30" s="195" customFormat="1" ht="15">
      <c r="C799" s="215"/>
      <c r="D799" s="215"/>
      <c r="E799" s="215"/>
      <c r="F799" s="215"/>
      <c r="G799" s="215"/>
      <c r="H799" s="215"/>
      <c r="I799" s="215"/>
      <c r="J799" s="215"/>
      <c r="K799" s="215"/>
      <c r="L799" s="215"/>
      <c r="M799" s="215"/>
      <c r="N799" s="215"/>
      <c r="O799" s="215"/>
      <c r="P799" s="215"/>
      <c r="Q799" s="215"/>
      <c r="R799" s="215"/>
      <c r="S799" s="215"/>
      <c r="T799" s="215"/>
      <c r="U799" s="215"/>
      <c r="V799" s="215"/>
      <c r="W799" s="215"/>
      <c r="X799" s="215"/>
      <c r="AD799" s="196"/>
    </row>
    <row r="800" spans="3:30" s="195" customFormat="1" ht="15">
      <c r="C800" s="215"/>
      <c r="D800" s="215"/>
      <c r="E800" s="215"/>
      <c r="F800" s="215"/>
      <c r="G800" s="215"/>
      <c r="H800" s="215"/>
      <c r="I800" s="215"/>
      <c r="J800" s="215"/>
      <c r="K800" s="215"/>
      <c r="L800" s="215"/>
      <c r="M800" s="215"/>
      <c r="N800" s="215"/>
      <c r="O800" s="215"/>
      <c r="P800" s="215"/>
      <c r="Q800" s="215"/>
      <c r="R800" s="215"/>
      <c r="S800" s="215"/>
      <c r="T800" s="215"/>
      <c r="U800" s="215"/>
      <c r="V800" s="215"/>
      <c r="W800" s="215"/>
      <c r="X800" s="215"/>
      <c r="AD800" s="196"/>
    </row>
    <row r="801" spans="3:30" s="195" customFormat="1" ht="15">
      <c r="C801" s="215"/>
      <c r="D801" s="215"/>
      <c r="E801" s="215"/>
      <c r="F801" s="215"/>
      <c r="G801" s="215"/>
      <c r="H801" s="215"/>
      <c r="I801" s="215"/>
      <c r="J801" s="215"/>
      <c r="K801" s="215"/>
      <c r="L801" s="215"/>
      <c r="M801" s="215"/>
      <c r="N801" s="215"/>
      <c r="O801" s="215"/>
      <c r="P801" s="215"/>
      <c r="Q801" s="215"/>
      <c r="R801" s="215"/>
      <c r="S801" s="215"/>
      <c r="T801" s="215"/>
      <c r="U801" s="215"/>
      <c r="V801" s="215"/>
      <c r="W801" s="215"/>
      <c r="X801" s="215"/>
      <c r="AD801" s="196"/>
    </row>
    <row r="802" spans="3:30" s="195" customFormat="1" ht="15">
      <c r="C802" s="215"/>
      <c r="D802" s="215"/>
      <c r="E802" s="215"/>
      <c r="F802" s="215"/>
      <c r="G802" s="215"/>
      <c r="H802" s="215"/>
      <c r="I802" s="215"/>
      <c r="J802" s="215"/>
      <c r="K802" s="215"/>
      <c r="L802" s="215"/>
      <c r="M802" s="215"/>
      <c r="N802" s="215"/>
      <c r="O802" s="215"/>
      <c r="P802" s="215"/>
      <c r="Q802" s="215"/>
      <c r="R802" s="215"/>
      <c r="S802" s="215"/>
      <c r="T802" s="215"/>
      <c r="U802" s="215"/>
      <c r="V802" s="215"/>
      <c r="W802" s="215"/>
      <c r="X802" s="215"/>
      <c r="AD802" s="196"/>
    </row>
    <row r="803" spans="3:30" s="195" customFormat="1" ht="15">
      <c r="C803" s="215"/>
      <c r="D803" s="215"/>
      <c r="E803" s="215"/>
      <c r="F803" s="215"/>
      <c r="G803" s="215"/>
      <c r="H803" s="215"/>
      <c r="I803" s="215"/>
      <c r="J803" s="215"/>
      <c r="K803" s="215"/>
      <c r="L803" s="215"/>
      <c r="M803" s="215"/>
      <c r="N803" s="215"/>
      <c r="O803" s="215"/>
      <c r="P803" s="215"/>
      <c r="Q803" s="215"/>
      <c r="R803" s="215"/>
      <c r="S803" s="215"/>
      <c r="T803" s="215"/>
      <c r="U803" s="215"/>
      <c r="V803" s="215"/>
      <c r="W803" s="215"/>
      <c r="X803" s="215"/>
      <c r="AD803" s="196"/>
    </row>
    <row r="804" spans="3:30" s="195" customFormat="1" ht="15">
      <c r="C804" s="215"/>
      <c r="D804" s="215"/>
      <c r="E804" s="215"/>
      <c r="F804" s="215"/>
      <c r="G804" s="215"/>
      <c r="H804" s="215"/>
      <c r="I804" s="215"/>
      <c r="J804" s="215"/>
      <c r="K804" s="215"/>
      <c r="L804" s="215"/>
      <c r="M804" s="215"/>
      <c r="N804" s="215"/>
      <c r="O804" s="215"/>
      <c r="P804" s="215"/>
      <c r="Q804" s="215"/>
      <c r="R804" s="215"/>
      <c r="S804" s="215"/>
      <c r="T804" s="215"/>
      <c r="U804" s="215"/>
      <c r="V804" s="215"/>
      <c r="W804" s="215"/>
      <c r="X804" s="215"/>
      <c r="AD804" s="196"/>
    </row>
    <row r="805" spans="3:30" s="195" customFormat="1" ht="15">
      <c r="C805" s="215"/>
      <c r="D805" s="215"/>
      <c r="E805" s="215"/>
      <c r="F805" s="215"/>
      <c r="G805" s="215"/>
      <c r="H805" s="215"/>
      <c r="I805" s="215"/>
      <c r="J805" s="215"/>
      <c r="K805" s="215"/>
      <c r="L805" s="215"/>
      <c r="M805" s="215"/>
      <c r="N805" s="215"/>
      <c r="O805" s="215"/>
      <c r="P805" s="215"/>
      <c r="Q805" s="215"/>
      <c r="R805" s="215"/>
      <c r="S805" s="215"/>
      <c r="T805" s="215"/>
      <c r="U805" s="215"/>
      <c r="V805" s="215"/>
      <c r="W805" s="215"/>
      <c r="X805" s="215"/>
      <c r="AD805" s="196"/>
    </row>
    <row r="806" spans="3:30" s="195" customFormat="1" ht="15">
      <c r="C806" s="215"/>
      <c r="D806" s="215"/>
      <c r="E806" s="215"/>
      <c r="F806" s="215"/>
      <c r="G806" s="215"/>
      <c r="H806" s="215"/>
      <c r="I806" s="215"/>
      <c r="J806" s="215"/>
      <c r="K806" s="215"/>
      <c r="L806" s="215"/>
      <c r="M806" s="215"/>
      <c r="N806" s="215"/>
      <c r="O806" s="215"/>
      <c r="P806" s="215"/>
      <c r="Q806" s="215"/>
      <c r="R806" s="215"/>
      <c r="S806" s="215"/>
      <c r="T806" s="215"/>
      <c r="U806" s="215"/>
      <c r="V806" s="215"/>
      <c r="W806" s="215"/>
      <c r="X806" s="215"/>
      <c r="AD806" s="196"/>
    </row>
    <row r="807" spans="3:30" s="195" customFormat="1" ht="15">
      <c r="C807" s="215"/>
      <c r="D807" s="215"/>
      <c r="E807" s="215"/>
      <c r="F807" s="215"/>
      <c r="G807" s="215"/>
      <c r="H807" s="215"/>
      <c r="I807" s="215"/>
      <c r="J807" s="215"/>
      <c r="K807" s="215"/>
      <c r="L807" s="215"/>
      <c r="M807" s="215"/>
      <c r="N807" s="215"/>
      <c r="O807" s="215"/>
      <c r="P807" s="215"/>
      <c r="Q807" s="215"/>
      <c r="R807" s="215"/>
      <c r="S807" s="215"/>
      <c r="T807" s="215"/>
      <c r="U807" s="215"/>
      <c r="V807" s="215"/>
      <c r="W807" s="215"/>
      <c r="X807" s="215"/>
      <c r="AD807" s="196"/>
    </row>
    <row r="808" spans="3:30" s="195" customFormat="1" ht="15">
      <c r="C808" s="215"/>
      <c r="D808" s="215"/>
      <c r="E808" s="215"/>
      <c r="F808" s="215"/>
      <c r="G808" s="215"/>
      <c r="H808" s="215"/>
      <c r="I808" s="215"/>
      <c r="J808" s="215"/>
      <c r="K808" s="215"/>
      <c r="L808" s="215"/>
      <c r="M808" s="215"/>
      <c r="N808" s="215"/>
      <c r="O808" s="215"/>
      <c r="P808" s="215"/>
      <c r="Q808" s="215"/>
      <c r="R808" s="215"/>
      <c r="S808" s="215"/>
      <c r="T808" s="215"/>
      <c r="U808" s="215"/>
      <c r="V808" s="215"/>
      <c r="W808" s="215"/>
      <c r="X808" s="215"/>
      <c r="AD808" s="196"/>
    </row>
    <row r="809" spans="3:30" s="195" customFormat="1" ht="15">
      <c r="C809" s="215"/>
      <c r="D809" s="215"/>
      <c r="E809" s="215"/>
      <c r="F809" s="215"/>
      <c r="G809" s="215"/>
      <c r="H809" s="215"/>
      <c r="I809" s="215"/>
      <c r="J809" s="215"/>
      <c r="K809" s="215"/>
      <c r="L809" s="215"/>
      <c r="M809" s="215"/>
      <c r="N809" s="215"/>
      <c r="O809" s="215"/>
      <c r="P809" s="215"/>
      <c r="Q809" s="215"/>
      <c r="R809" s="215"/>
      <c r="S809" s="215"/>
      <c r="T809" s="215"/>
      <c r="U809" s="215"/>
      <c r="V809" s="215"/>
      <c r="W809" s="215"/>
      <c r="X809" s="215"/>
      <c r="AD809" s="196"/>
    </row>
    <row r="810" spans="3:30" s="195" customFormat="1" ht="15">
      <c r="C810" s="215"/>
      <c r="D810" s="215"/>
      <c r="E810" s="215"/>
      <c r="F810" s="215"/>
      <c r="G810" s="215"/>
      <c r="H810" s="215"/>
      <c r="I810" s="215"/>
      <c r="J810" s="215"/>
      <c r="K810" s="215"/>
      <c r="L810" s="215"/>
      <c r="M810" s="215"/>
      <c r="N810" s="215"/>
      <c r="O810" s="215"/>
      <c r="P810" s="215"/>
      <c r="Q810" s="215"/>
      <c r="R810" s="215"/>
      <c r="S810" s="215"/>
      <c r="T810" s="215"/>
      <c r="U810" s="215"/>
      <c r="V810" s="215"/>
      <c r="W810" s="215"/>
      <c r="X810" s="215"/>
      <c r="AD810" s="196"/>
    </row>
    <row r="811" spans="3:30" s="195" customFormat="1" ht="15">
      <c r="C811" s="215"/>
      <c r="D811" s="215"/>
      <c r="E811" s="215"/>
      <c r="F811" s="215"/>
      <c r="G811" s="215"/>
      <c r="H811" s="215"/>
      <c r="I811" s="215"/>
      <c r="J811" s="215"/>
      <c r="K811" s="215"/>
      <c r="L811" s="215"/>
      <c r="M811" s="215"/>
      <c r="N811" s="215"/>
      <c r="O811" s="215"/>
      <c r="P811" s="215"/>
      <c r="Q811" s="215"/>
      <c r="R811" s="215"/>
      <c r="S811" s="215"/>
      <c r="T811" s="215"/>
      <c r="U811" s="215"/>
      <c r="V811" s="215"/>
      <c r="W811" s="215"/>
      <c r="X811" s="215"/>
      <c r="AD811" s="196"/>
    </row>
    <row r="812" spans="3:30" s="195" customFormat="1" ht="15">
      <c r="C812" s="215"/>
      <c r="D812" s="215"/>
      <c r="E812" s="215"/>
      <c r="F812" s="215"/>
      <c r="G812" s="215"/>
      <c r="H812" s="215"/>
      <c r="I812" s="215"/>
      <c r="J812" s="215"/>
      <c r="K812" s="215"/>
      <c r="L812" s="215"/>
      <c r="M812" s="215"/>
      <c r="N812" s="215"/>
      <c r="O812" s="215"/>
      <c r="P812" s="215"/>
      <c r="Q812" s="215"/>
      <c r="R812" s="215"/>
      <c r="S812" s="215"/>
      <c r="T812" s="215"/>
      <c r="U812" s="215"/>
      <c r="V812" s="215"/>
      <c r="W812" s="215"/>
      <c r="X812" s="215"/>
      <c r="AD812" s="196"/>
    </row>
    <row r="813" spans="3:30" s="195" customFormat="1" ht="15">
      <c r="C813" s="215"/>
      <c r="D813" s="215"/>
      <c r="E813" s="215"/>
      <c r="F813" s="215"/>
      <c r="G813" s="215"/>
      <c r="H813" s="215"/>
      <c r="I813" s="215"/>
      <c r="J813" s="215"/>
      <c r="K813" s="215"/>
      <c r="L813" s="215"/>
      <c r="M813" s="215"/>
      <c r="N813" s="215"/>
      <c r="O813" s="215"/>
      <c r="P813" s="215"/>
      <c r="Q813" s="215"/>
      <c r="R813" s="215"/>
      <c r="S813" s="215"/>
      <c r="T813" s="215"/>
      <c r="U813" s="215"/>
      <c r="V813" s="215"/>
      <c r="W813" s="215"/>
      <c r="X813" s="215"/>
      <c r="AD813" s="196"/>
    </row>
    <row r="814" spans="3:30" s="195" customFormat="1" ht="15">
      <c r="C814" s="215"/>
      <c r="D814" s="215"/>
      <c r="E814" s="215"/>
      <c r="F814" s="215"/>
      <c r="G814" s="215"/>
      <c r="H814" s="215"/>
      <c r="I814" s="215"/>
      <c r="J814" s="215"/>
      <c r="K814" s="215"/>
      <c r="L814" s="215"/>
      <c r="M814" s="215"/>
      <c r="N814" s="215"/>
      <c r="O814" s="215"/>
      <c r="P814" s="215"/>
      <c r="Q814" s="215"/>
      <c r="R814" s="215"/>
      <c r="S814" s="215"/>
      <c r="T814" s="215"/>
      <c r="U814" s="215"/>
      <c r="V814" s="215"/>
      <c r="W814" s="215"/>
      <c r="X814" s="215"/>
      <c r="AD814" s="196"/>
    </row>
    <row r="815" spans="3:30" s="195" customFormat="1" ht="15">
      <c r="C815" s="215"/>
      <c r="D815" s="215"/>
      <c r="E815" s="215"/>
      <c r="F815" s="215"/>
      <c r="G815" s="215"/>
      <c r="H815" s="215"/>
      <c r="I815" s="215"/>
      <c r="J815" s="215"/>
      <c r="K815" s="215"/>
      <c r="L815" s="215"/>
      <c r="M815" s="215"/>
      <c r="N815" s="215"/>
      <c r="O815" s="215"/>
      <c r="P815" s="215"/>
      <c r="Q815" s="215"/>
      <c r="R815" s="215"/>
      <c r="S815" s="215"/>
      <c r="T815" s="215"/>
      <c r="U815" s="215"/>
      <c r="V815" s="215"/>
      <c r="W815" s="215"/>
      <c r="X815" s="215"/>
      <c r="AD815" s="196"/>
    </row>
    <row r="816" spans="3:30" s="195" customFormat="1" ht="15">
      <c r="C816" s="215"/>
      <c r="D816" s="215"/>
      <c r="E816" s="215"/>
      <c r="F816" s="215"/>
      <c r="G816" s="215"/>
      <c r="H816" s="215"/>
      <c r="I816" s="215"/>
      <c r="J816" s="215"/>
      <c r="K816" s="215"/>
      <c r="L816" s="215"/>
      <c r="M816" s="215"/>
      <c r="N816" s="215"/>
      <c r="O816" s="215"/>
      <c r="P816" s="215"/>
      <c r="Q816" s="215"/>
      <c r="R816" s="215"/>
      <c r="S816" s="215"/>
      <c r="T816" s="215"/>
      <c r="U816" s="215"/>
      <c r="V816" s="215"/>
      <c r="W816" s="215"/>
      <c r="X816" s="215"/>
      <c r="AD816" s="196"/>
    </row>
    <row r="817" spans="3:30" s="195" customFormat="1" ht="15">
      <c r="C817" s="215"/>
      <c r="D817" s="215"/>
      <c r="E817" s="215"/>
      <c r="F817" s="215"/>
      <c r="G817" s="215"/>
      <c r="H817" s="215"/>
      <c r="I817" s="215"/>
      <c r="J817" s="215"/>
      <c r="K817" s="215"/>
      <c r="L817" s="215"/>
      <c r="M817" s="215"/>
      <c r="N817" s="215"/>
      <c r="O817" s="215"/>
      <c r="P817" s="215"/>
      <c r="Q817" s="215"/>
      <c r="R817" s="215"/>
      <c r="S817" s="215"/>
      <c r="T817" s="215"/>
      <c r="U817" s="215"/>
      <c r="V817" s="215"/>
      <c r="W817" s="215"/>
      <c r="X817" s="215"/>
      <c r="AD817" s="196"/>
    </row>
    <row r="818" spans="3:30" s="195" customFormat="1" ht="15">
      <c r="C818" s="215"/>
      <c r="D818" s="215"/>
      <c r="E818" s="215"/>
      <c r="F818" s="215"/>
      <c r="G818" s="215"/>
      <c r="H818" s="215"/>
      <c r="I818" s="215"/>
      <c r="J818" s="215"/>
      <c r="K818" s="215"/>
      <c r="L818" s="215"/>
      <c r="M818" s="215"/>
      <c r="N818" s="215"/>
      <c r="O818" s="215"/>
      <c r="P818" s="215"/>
      <c r="Q818" s="215"/>
      <c r="R818" s="215"/>
      <c r="S818" s="215"/>
      <c r="T818" s="215"/>
      <c r="U818" s="215"/>
      <c r="V818" s="215"/>
      <c r="W818" s="215"/>
      <c r="X818" s="215"/>
      <c r="AD818" s="196"/>
    </row>
    <row r="819" spans="3:30" s="195" customFormat="1" ht="15">
      <c r="C819" s="215"/>
      <c r="D819" s="215"/>
      <c r="E819" s="215"/>
      <c r="F819" s="215"/>
      <c r="G819" s="215"/>
      <c r="H819" s="215"/>
      <c r="I819" s="215"/>
      <c r="J819" s="215"/>
      <c r="K819" s="215"/>
      <c r="L819" s="215"/>
      <c r="M819" s="215"/>
      <c r="N819" s="215"/>
      <c r="O819" s="215"/>
      <c r="P819" s="215"/>
      <c r="Q819" s="215"/>
      <c r="R819" s="215"/>
      <c r="S819" s="215"/>
      <c r="T819" s="215"/>
      <c r="U819" s="215"/>
      <c r="V819" s="215"/>
      <c r="W819" s="215"/>
      <c r="X819" s="215"/>
      <c r="AD819" s="196"/>
    </row>
    <row r="820" spans="3:30" s="195" customFormat="1" ht="15">
      <c r="C820" s="215"/>
      <c r="D820" s="215"/>
      <c r="E820" s="215"/>
      <c r="F820" s="215"/>
      <c r="G820" s="215"/>
      <c r="H820" s="215"/>
      <c r="I820" s="215"/>
      <c r="J820" s="215"/>
      <c r="K820" s="215"/>
      <c r="L820" s="215"/>
      <c r="M820" s="215"/>
      <c r="N820" s="215"/>
      <c r="O820" s="215"/>
      <c r="P820" s="215"/>
      <c r="Q820" s="215"/>
      <c r="R820" s="215"/>
      <c r="S820" s="215"/>
      <c r="T820" s="215"/>
      <c r="U820" s="215"/>
      <c r="V820" s="215"/>
      <c r="W820" s="215"/>
      <c r="X820" s="215"/>
      <c r="AD820" s="196"/>
    </row>
    <row r="821" spans="3:30" s="195" customFormat="1" ht="15">
      <c r="C821" s="215"/>
      <c r="D821" s="215"/>
      <c r="E821" s="215"/>
      <c r="F821" s="215"/>
      <c r="G821" s="215"/>
      <c r="H821" s="215"/>
      <c r="I821" s="215"/>
      <c r="J821" s="215"/>
      <c r="K821" s="215"/>
      <c r="L821" s="215"/>
      <c r="M821" s="215"/>
      <c r="N821" s="215"/>
      <c r="O821" s="215"/>
      <c r="P821" s="215"/>
      <c r="Q821" s="215"/>
      <c r="R821" s="215"/>
      <c r="S821" s="215"/>
      <c r="T821" s="215"/>
      <c r="U821" s="215"/>
      <c r="V821" s="215"/>
      <c r="W821" s="215"/>
      <c r="X821" s="215"/>
      <c r="AD821" s="196"/>
    </row>
    <row r="822" spans="3:30" s="195" customFormat="1" ht="15">
      <c r="C822" s="215"/>
      <c r="D822" s="215"/>
      <c r="E822" s="215"/>
      <c r="F822" s="215"/>
      <c r="G822" s="215"/>
      <c r="H822" s="215"/>
      <c r="I822" s="215"/>
      <c r="J822" s="215"/>
      <c r="K822" s="215"/>
      <c r="L822" s="215"/>
      <c r="M822" s="215"/>
      <c r="N822" s="215"/>
      <c r="O822" s="215"/>
      <c r="P822" s="215"/>
      <c r="Q822" s="215"/>
      <c r="R822" s="215"/>
      <c r="S822" s="215"/>
      <c r="T822" s="215"/>
      <c r="U822" s="215"/>
      <c r="V822" s="215"/>
      <c r="W822" s="215"/>
      <c r="X822" s="215"/>
      <c r="AD822" s="196"/>
    </row>
    <row r="823" spans="3:30" s="195" customFormat="1" ht="15">
      <c r="C823" s="215"/>
      <c r="D823" s="215"/>
      <c r="E823" s="215"/>
      <c r="F823" s="215"/>
      <c r="G823" s="215"/>
      <c r="H823" s="215"/>
      <c r="I823" s="215"/>
      <c r="J823" s="215"/>
      <c r="K823" s="215"/>
      <c r="L823" s="215"/>
      <c r="M823" s="215"/>
      <c r="N823" s="215"/>
      <c r="O823" s="215"/>
      <c r="P823" s="215"/>
      <c r="Q823" s="215"/>
      <c r="R823" s="215"/>
      <c r="S823" s="215"/>
      <c r="T823" s="215"/>
      <c r="U823" s="215"/>
      <c r="V823" s="215"/>
      <c r="W823" s="215"/>
      <c r="X823" s="215"/>
      <c r="AD823" s="196"/>
    </row>
    <row r="824" spans="3:30" s="195" customFormat="1" ht="15">
      <c r="C824" s="215"/>
      <c r="D824" s="215"/>
      <c r="E824" s="215"/>
      <c r="F824" s="215"/>
      <c r="G824" s="215"/>
      <c r="H824" s="215"/>
      <c r="I824" s="215"/>
      <c r="J824" s="215"/>
      <c r="K824" s="215"/>
      <c r="L824" s="215"/>
      <c r="M824" s="215"/>
      <c r="N824" s="215"/>
      <c r="O824" s="215"/>
      <c r="P824" s="215"/>
      <c r="Q824" s="215"/>
      <c r="R824" s="215"/>
      <c r="S824" s="215"/>
      <c r="T824" s="215"/>
      <c r="U824" s="215"/>
      <c r="V824" s="215"/>
      <c r="W824" s="215"/>
      <c r="X824" s="215"/>
      <c r="AD824" s="196"/>
    </row>
    <row r="825" spans="3:30" s="195" customFormat="1" ht="15">
      <c r="C825" s="215"/>
      <c r="D825" s="215"/>
      <c r="E825" s="215"/>
      <c r="F825" s="215"/>
      <c r="G825" s="215"/>
      <c r="H825" s="215"/>
      <c r="I825" s="215"/>
      <c r="J825" s="215"/>
      <c r="K825" s="215"/>
      <c r="L825" s="215"/>
      <c r="M825" s="215"/>
      <c r="N825" s="215"/>
      <c r="O825" s="215"/>
      <c r="P825" s="215"/>
      <c r="Q825" s="215"/>
      <c r="R825" s="215"/>
      <c r="S825" s="215"/>
      <c r="T825" s="215"/>
      <c r="U825" s="215"/>
      <c r="V825" s="215"/>
      <c r="W825" s="215"/>
      <c r="X825" s="215"/>
      <c r="AD825" s="196"/>
    </row>
    <row r="826" spans="3:30" s="195" customFormat="1" ht="15">
      <c r="C826" s="215"/>
      <c r="D826" s="215"/>
      <c r="E826" s="215"/>
      <c r="F826" s="215"/>
      <c r="G826" s="215"/>
      <c r="H826" s="215"/>
      <c r="I826" s="215"/>
      <c r="J826" s="215"/>
      <c r="K826" s="215"/>
      <c r="L826" s="215"/>
      <c r="M826" s="215"/>
      <c r="N826" s="215"/>
      <c r="O826" s="215"/>
      <c r="P826" s="215"/>
      <c r="Q826" s="215"/>
      <c r="R826" s="215"/>
      <c r="S826" s="215"/>
      <c r="T826" s="215"/>
      <c r="U826" s="215"/>
      <c r="V826" s="215"/>
      <c r="W826" s="215"/>
      <c r="X826" s="215"/>
      <c r="AD826" s="196"/>
    </row>
    <row r="827" spans="3:30" s="195" customFormat="1" ht="15">
      <c r="C827" s="215"/>
      <c r="D827" s="215"/>
      <c r="E827" s="215"/>
      <c r="F827" s="215"/>
      <c r="G827" s="215"/>
      <c r="H827" s="215"/>
      <c r="I827" s="215"/>
      <c r="J827" s="215"/>
      <c r="K827" s="215"/>
      <c r="L827" s="215"/>
      <c r="M827" s="215"/>
      <c r="N827" s="215"/>
      <c r="O827" s="215"/>
      <c r="P827" s="215"/>
      <c r="Q827" s="215"/>
      <c r="R827" s="215"/>
      <c r="S827" s="215"/>
      <c r="T827" s="215"/>
      <c r="U827" s="215"/>
      <c r="V827" s="215"/>
      <c r="W827" s="215"/>
      <c r="X827" s="215"/>
      <c r="AD827" s="196"/>
    </row>
    <row r="828" spans="3:30" s="195" customFormat="1" ht="15">
      <c r="C828" s="215"/>
      <c r="D828" s="215"/>
      <c r="E828" s="215"/>
      <c r="F828" s="215"/>
      <c r="G828" s="215"/>
      <c r="H828" s="215"/>
      <c r="I828" s="215"/>
      <c r="J828" s="215"/>
      <c r="K828" s="215"/>
      <c r="L828" s="215"/>
      <c r="M828" s="215"/>
      <c r="N828" s="215"/>
      <c r="O828" s="215"/>
      <c r="P828" s="215"/>
      <c r="Q828" s="215"/>
      <c r="R828" s="215"/>
      <c r="S828" s="215"/>
      <c r="T828" s="215"/>
      <c r="U828" s="215"/>
      <c r="V828" s="215"/>
      <c r="W828" s="215"/>
      <c r="X828" s="215"/>
      <c r="AD828" s="196"/>
    </row>
    <row r="829" spans="3:30" s="195" customFormat="1" ht="15">
      <c r="C829" s="215"/>
      <c r="D829" s="215"/>
      <c r="E829" s="215"/>
      <c r="F829" s="215"/>
      <c r="G829" s="215"/>
      <c r="H829" s="215"/>
      <c r="I829" s="215"/>
      <c r="J829" s="215"/>
      <c r="K829" s="215"/>
      <c r="L829" s="215"/>
      <c r="M829" s="215"/>
      <c r="N829" s="215"/>
      <c r="O829" s="215"/>
      <c r="P829" s="215"/>
      <c r="Q829" s="215"/>
      <c r="R829" s="215"/>
      <c r="S829" s="215"/>
      <c r="T829" s="215"/>
      <c r="U829" s="215"/>
      <c r="V829" s="215"/>
      <c r="W829" s="215"/>
      <c r="X829" s="215"/>
      <c r="AD829" s="196"/>
    </row>
    <row r="830" spans="3:30" s="195" customFormat="1" ht="15">
      <c r="C830" s="215"/>
      <c r="D830" s="215"/>
      <c r="E830" s="215"/>
      <c r="F830" s="215"/>
      <c r="G830" s="215"/>
      <c r="H830" s="215"/>
      <c r="I830" s="215"/>
      <c r="J830" s="215"/>
      <c r="K830" s="215"/>
      <c r="L830" s="215"/>
      <c r="M830" s="215"/>
      <c r="N830" s="215"/>
      <c r="O830" s="215"/>
      <c r="P830" s="215"/>
      <c r="Q830" s="215"/>
      <c r="R830" s="215"/>
      <c r="S830" s="215"/>
      <c r="T830" s="215"/>
      <c r="U830" s="215"/>
      <c r="V830" s="215"/>
      <c r="W830" s="215"/>
      <c r="X830" s="215"/>
      <c r="AD830" s="196"/>
    </row>
    <row r="831" spans="3:30" s="195" customFormat="1" ht="15">
      <c r="C831" s="215"/>
      <c r="D831" s="215"/>
      <c r="E831" s="215"/>
      <c r="F831" s="215"/>
      <c r="G831" s="215"/>
      <c r="H831" s="215"/>
      <c r="I831" s="215"/>
      <c r="J831" s="215"/>
      <c r="K831" s="215"/>
      <c r="L831" s="215"/>
      <c r="M831" s="215"/>
      <c r="N831" s="215"/>
      <c r="O831" s="215"/>
      <c r="P831" s="215"/>
      <c r="Q831" s="215"/>
      <c r="R831" s="215"/>
      <c r="S831" s="215"/>
      <c r="T831" s="215"/>
      <c r="U831" s="215"/>
      <c r="V831" s="215"/>
      <c r="W831" s="215"/>
      <c r="X831" s="215"/>
      <c r="AD831" s="196"/>
    </row>
    <row r="832" spans="3:30" s="195" customFormat="1" ht="15">
      <c r="C832" s="215"/>
      <c r="D832" s="215"/>
      <c r="E832" s="215"/>
      <c r="F832" s="215"/>
      <c r="G832" s="215"/>
      <c r="H832" s="215"/>
      <c r="I832" s="215"/>
      <c r="J832" s="215"/>
      <c r="K832" s="215"/>
      <c r="L832" s="215"/>
      <c r="M832" s="215"/>
      <c r="N832" s="215"/>
      <c r="O832" s="215"/>
      <c r="P832" s="215"/>
      <c r="Q832" s="215"/>
      <c r="R832" s="215"/>
      <c r="S832" s="215"/>
      <c r="T832" s="215"/>
      <c r="U832" s="215"/>
      <c r="V832" s="215"/>
      <c r="W832" s="215"/>
      <c r="X832" s="215"/>
      <c r="AD832" s="196"/>
    </row>
    <row r="833" spans="3:30" s="195" customFormat="1" ht="15">
      <c r="C833" s="215"/>
      <c r="D833" s="215"/>
      <c r="E833" s="215"/>
      <c r="F833" s="215"/>
      <c r="G833" s="215"/>
      <c r="H833" s="215"/>
      <c r="I833" s="215"/>
      <c r="J833" s="215"/>
      <c r="K833" s="215"/>
      <c r="L833" s="215"/>
      <c r="M833" s="215"/>
      <c r="N833" s="215"/>
      <c r="O833" s="215"/>
      <c r="P833" s="215"/>
      <c r="Q833" s="215"/>
      <c r="R833" s="215"/>
      <c r="S833" s="215"/>
      <c r="T833" s="215"/>
      <c r="U833" s="215"/>
      <c r="V833" s="215"/>
      <c r="W833" s="215"/>
      <c r="X833" s="215"/>
      <c r="AD833" s="196"/>
    </row>
    <row r="834" spans="3:30" s="195" customFormat="1" ht="15">
      <c r="C834" s="215"/>
      <c r="D834" s="215"/>
      <c r="E834" s="215"/>
      <c r="F834" s="215"/>
      <c r="G834" s="215"/>
      <c r="H834" s="215"/>
      <c r="I834" s="215"/>
      <c r="J834" s="215"/>
      <c r="K834" s="215"/>
      <c r="L834" s="215"/>
      <c r="M834" s="215"/>
      <c r="N834" s="215"/>
      <c r="O834" s="215"/>
      <c r="P834" s="215"/>
      <c r="Q834" s="215"/>
      <c r="R834" s="215"/>
      <c r="S834" s="215"/>
      <c r="T834" s="215"/>
      <c r="U834" s="215"/>
      <c r="V834" s="215"/>
      <c r="W834" s="215"/>
      <c r="X834" s="215"/>
      <c r="AD834" s="196"/>
    </row>
    <row r="835" spans="3:30" s="195" customFormat="1" ht="15">
      <c r="C835" s="215"/>
      <c r="D835" s="215"/>
      <c r="E835" s="215"/>
      <c r="F835" s="215"/>
      <c r="G835" s="215"/>
      <c r="H835" s="215"/>
      <c r="I835" s="215"/>
      <c r="J835" s="215"/>
      <c r="K835" s="215"/>
      <c r="L835" s="215"/>
      <c r="M835" s="215"/>
      <c r="N835" s="215"/>
      <c r="O835" s="215"/>
      <c r="P835" s="215"/>
      <c r="Q835" s="215"/>
      <c r="R835" s="215"/>
      <c r="S835" s="215"/>
      <c r="T835" s="215"/>
      <c r="U835" s="215"/>
      <c r="V835" s="215"/>
      <c r="W835" s="215"/>
      <c r="X835" s="215"/>
      <c r="AD835" s="196"/>
    </row>
    <row r="836" spans="3:30" s="195" customFormat="1" ht="15">
      <c r="C836" s="215"/>
      <c r="D836" s="215"/>
      <c r="E836" s="215"/>
      <c r="F836" s="215"/>
      <c r="G836" s="215"/>
      <c r="H836" s="215"/>
      <c r="I836" s="215"/>
      <c r="J836" s="215"/>
      <c r="K836" s="215"/>
      <c r="L836" s="215"/>
      <c r="M836" s="215"/>
      <c r="N836" s="215"/>
      <c r="O836" s="215"/>
      <c r="P836" s="215"/>
      <c r="Q836" s="215"/>
      <c r="R836" s="215"/>
      <c r="S836" s="215"/>
      <c r="T836" s="215"/>
      <c r="U836" s="215"/>
      <c r="V836" s="215"/>
      <c r="W836" s="215"/>
      <c r="X836" s="215"/>
      <c r="AD836" s="196"/>
    </row>
    <row r="837" spans="3:30" s="195" customFormat="1" ht="15">
      <c r="C837" s="215"/>
      <c r="D837" s="215"/>
      <c r="E837" s="215"/>
      <c r="F837" s="215"/>
      <c r="G837" s="215"/>
      <c r="H837" s="215"/>
      <c r="I837" s="215"/>
      <c r="J837" s="215"/>
      <c r="K837" s="215"/>
      <c r="L837" s="215"/>
      <c r="M837" s="215"/>
      <c r="N837" s="215"/>
      <c r="O837" s="215"/>
      <c r="P837" s="215"/>
      <c r="Q837" s="215"/>
      <c r="R837" s="215"/>
      <c r="S837" s="215"/>
      <c r="T837" s="215"/>
      <c r="U837" s="215"/>
      <c r="V837" s="215"/>
      <c r="W837" s="215"/>
      <c r="X837" s="215"/>
      <c r="AD837" s="196"/>
    </row>
    <row r="838" spans="3:30" s="195" customFormat="1" ht="15">
      <c r="C838" s="215"/>
      <c r="D838" s="215"/>
      <c r="E838" s="215"/>
      <c r="F838" s="215"/>
      <c r="G838" s="215"/>
      <c r="H838" s="215"/>
      <c r="I838" s="215"/>
      <c r="J838" s="215"/>
      <c r="K838" s="215"/>
      <c r="L838" s="215"/>
      <c r="M838" s="215"/>
      <c r="N838" s="215"/>
      <c r="O838" s="215"/>
      <c r="P838" s="215"/>
      <c r="Q838" s="215"/>
      <c r="R838" s="215"/>
      <c r="S838" s="215"/>
      <c r="T838" s="215"/>
      <c r="U838" s="215"/>
      <c r="V838" s="215"/>
      <c r="W838" s="215"/>
      <c r="X838" s="215"/>
      <c r="AD838" s="196"/>
    </row>
    <row r="839" spans="3:30" s="195" customFormat="1" ht="15">
      <c r="C839" s="215"/>
      <c r="D839" s="215"/>
      <c r="E839" s="215"/>
      <c r="F839" s="215"/>
      <c r="G839" s="215"/>
      <c r="H839" s="215"/>
      <c r="I839" s="215"/>
      <c r="J839" s="215"/>
      <c r="K839" s="215"/>
      <c r="L839" s="215"/>
      <c r="M839" s="215"/>
      <c r="N839" s="215"/>
      <c r="O839" s="215"/>
      <c r="P839" s="215"/>
      <c r="Q839" s="215"/>
      <c r="R839" s="215"/>
      <c r="S839" s="215"/>
      <c r="T839" s="215"/>
      <c r="U839" s="215"/>
      <c r="V839" s="215"/>
      <c r="W839" s="215"/>
      <c r="X839" s="215"/>
      <c r="AD839" s="196"/>
    </row>
    <row r="840" spans="3:30" s="195" customFormat="1" ht="15">
      <c r="C840" s="215"/>
      <c r="D840" s="215"/>
      <c r="E840" s="215"/>
      <c r="F840" s="215"/>
      <c r="G840" s="215"/>
      <c r="H840" s="215"/>
      <c r="I840" s="215"/>
      <c r="J840" s="215"/>
      <c r="K840" s="215"/>
      <c r="L840" s="215"/>
      <c r="M840" s="215"/>
      <c r="N840" s="215"/>
      <c r="O840" s="215"/>
      <c r="P840" s="215"/>
      <c r="Q840" s="215"/>
      <c r="R840" s="215"/>
      <c r="S840" s="215"/>
      <c r="T840" s="215"/>
      <c r="U840" s="215"/>
      <c r="V840" s="215"/>
      <c r="W840" s="215"/>
      <c r="X840" s="215"/>
      <c r="AD840" s="196"/>
    </row>
    <row r="841" spans="3:30" s="195" customFormat="1" ht="15">
      <c r="C841" s="215"/>
      <c r="D841" s="215"/>
      <c r="E841" s="215"/>
      <c r="F841" s="215"/>
      <c r="G841" s="215"/>
      <c r="H841" s="215"/>
      <c r="I841" s="215"/>
      <c r="J841" s="215"/>
      <c r="K841" s="215"/>
      <c r="L841" s="215"/>
      <c r="M841" s="215"/>
      <c r="N841" s="215"/>
      <c r="O841" s="215"/>
      <c r="P841" s="215"/>
      <c r="Q841" s="215"/>
      <c r="R841" s="215"/>
      <c r="S841" s="215"/>
      <c r="T841" s="215"/>
      <c r="U841" s="215"/>
      <c r="V841" s="215"/>
      <c r="W841" s="215"/>
      <c r="X841" s="215"/>
      <c r="AD841" s="196"/>
    </row>
    <row r="842" spans="3:30" s="195" customFormat="1" ht="15">
      <c r="C842" s="215"/>
      <c r="D842" s="215"/>
      <c r="E842" s="215"/>
      <c r="F842" s="215"/>
      <c r="G842" s="215"/>
      <c r="H842" s="215"/>
      <c r="I842" s="215"/>
      <c r="J842" s="215"/>
      <c r="K842" s="215"/>
      <c r="L842" s="215"/>
      <c r="M842" s="215"/>
      <c r="N842" s="215"/>
      <c r="O842" s="215"/>
      <c r="P842" s="215"/>
      <c r="Q842" s="215"/>
      <c r="R842" s="215"/>
      <c r="S842" s="215"/>
      <c r="T842" s="215"/>
      <c r="U842" s="215"/>
      <c r="V842" s="215"/>
      <c r="W842" s="215"/>
      <c r="X842" s="215"/>
      <c r="AD842" s="196"/>
    </row>
    <row r="843" spans="3:30" s="195" customFormat="1" ht="15">
      <c r="C843" s="215"/>
      <c r="D843" s="215"/>
      <c r="E843" s="215"/>
      <c r="F843" s="215"/>
      <c r="G843" s="215"/>
      <c r="H843" s="215"/>
      <c r="I843" s="215"/>
      <c r="J843" s="215"/>
      <c r="K843" s="215"/>
      <c r="L843" s="215"/>
      <c r="M843" s="215"/>
      <c r="N843" s="215"/>
      <c r="O843" s="215"/>
      <c r="P843" s="215"/>
      <c r="Q843" s="215"/>
      <c r="R843" s="215"/>
      <c r="S843" s="215"/>
      <c r="T843" s="215"/>
      <c r="U843" s="215"/>
      <c r="V843" s="215"/>
      <c r="W843" s="215"/>
      <c r="X843" s="215"/>
      <c r="AD843" s="196"/>
    </row>
    <row r="844" spans="3:30" s="195" customFormat="1" ht="15">
      <c r="C844" s="215"/>
      <c r="D844" s="215"/>
      <c r="E844" s="215"/>
      <c r="F844" s="215"/>
      <c r="G844" s="215"/>
      <c r="H844" s="215"/>
      <c r="I844" s="215"/>
      <c r="J844" s="215"/>
      <c r="K844" s="215"/>
      <c r="L844" s="215"/>
      <c r="M844" s="215"/>
      <c r="N844" s="215"/>
      <c r="O844" s="215"/>
      <c r="P844" s="215"/>
      <c r="Q844" s="215"/>
      <c r="R844" s="215"/>
      <c r="S844" s="215"/>
      <c r="T844" s="215"/>
      <c r="U844" s="215"/>
      <c r="V844" s="215"/>
      <c r="W844" s="215"/>
      <c r="X844" s="215"/>
      <c r="AD844" s="196"/>
    </row>
    <row r="845" spans="3:30" s="195" customFormat="1" ht="15">
      <c r="C845" s="215"/>
      <c r="D845" s="215"/>
      <c r="E845" s="215"/>
      <c r="F845" s="215"/>
      <c r="G845" s="215"/>
      <c r="H845" s="215"/>
      <c r="I845" s="215"/>
      <c r="J845" s="215"/>
      <c r="K845" s="215"/>
      <c r="L845" s="215"/>
      <c r="M845" s="215"/>
      <c r="N845" s="215"/>
      <c r="O845" s="215"/>
      <c r="P845" s="215"/>
      <c r="Q845" s="215"/>
      <c r="R845" s="215"/>
      <c r="S845" s="215"/>
      <c r="T845" s="215"/>
      <c r="U845" s="215"/>
      <c r="V845" s="215"/>
      <c r="W845" s="215"/>
      <c r="X845" s="215"/>
      <c r="AD845" s="196"/>
    </row>
    <row r="846" spans="3:30" s="195" customFormat="1" ht="15">
      <c r="C846" s="215"/>
      <c r="D846" s="215"/>
      <c r="E846" s="215"/>
      <c r="F846" s="215"/>
      <c r="G846" s="215"/>
      <c r="H846" s="215"/>
      <c r="I846" s="215"/>
      <c r="J846" s="215"/>
      <c r="K846" s="215"/>
      <c r="L846" s="215"/>
      <c r="M846" s="215"/>
      <c r="N846" s="215"/>
      <c r="O846" s="215"/>
      <c r="P846" s="215"/>
      <c r="Q846" s="215"/>
      <c r="R846" s="215"/>
      <c r="S846" s="215"/>
      <c r="T846" s="215"/>
      <c r="U846" s="215"/>
      <c r="V846" s="215"/>
      <c r="W846" s="215"/>
      <c r="X846" s="215"/>
      <c r="AD846" s="196"/>
    </row>
    <row r="847" spans="3:30" s="195" customFormat="1" ht="15">
      <c r="C847" s="215"/>
      <c r="D847" s="215"/>
      <c r="E847" s="215"/>
      <c r="F847" s="215"/>
      <c r="G847" s="215"/>
      <c r="H847" s="215"/>
      <c r="I847" s="215"/>
      <c r="J847" s="215"/>
      <c r="K847" s="215"/>
      <c r="L847" s="215"/>
      <c r="M847" s="215"/>
      <c r="N847" s="215"/>
      <c r="O847" s="215"/>
      <c r="P847" s="215"/>
      <c r="Q847" s="215"/>
      <c r="R847" s="215"/>
      <c r="S847" s="215"/>
      <c r="T847" s="215"/>
      <c r="U847" s="215"/>
      <c r="V847" s="215"/>
      <c r="W847" s="215"/>
      <c r="X847" s="215"/>
      <c r="AD847" s="196"/>
    </row>
    <row r="848" spans="3:30" s="195" customFormat="1" ht="15">
      <c r="C848" s="215"/>
      <c r="D848" s="215"/>
      <c r="E848" s="215"/>
      <c r="F848" s="215"/>
      <c r="G848" s="215"/>
      <c r="H848" s="215"/>
      <c r="I848" s="215"/>
      <c r="J848" s="215"/>
      <c r="K848" s="215"/>
      <c r="L848" s="215"/>
      <c r="M848" s="215"/>
      <c r="N848" s="215"/>
      <c r="O848" s="215"/>
      <c r="P848" s="215"/>
      <c r="Q848" s="215"/>
      <c r="R848" s="215"/>
      <c r="S848" s="215"/>
      <c r="T848" s="215"/>
      <c r="U848" s="215"/>
      <c r="V848" s="215"/>
      <c r="W848" s="215"/>
      <c r="X848" s="215"/>
      <c r="AD848" s="196"/>
    </row>
    <row r="849" spans="3:30" s="195" customFormat="1" ht="15">
      <c r="C849" s="215"/>
      <c r="D849" s="215"/>
      <c r="E849" s="215"/>
      <c r="F849" s="215"/>
      <c r="G849" s="215"/>
      <c r="H849" s="215"/>
      <c r="I849" s="215"/>
      <c r="J849" s="215"/>
      <c r="K849" s="215"/>
      <c r="L849" s="215"/>
      <c r="M849" s="215"/>
      <c r="N849" s="215"/>
      <c r="O849" s="215"/>
      <c r="P849" s="215"/>
      <c r="Q849" s="215"/>
      <c r="R849" s="215"/>
      <c r="S849" s="215"/>
      <c r="T849" s="215"/>
      <c r="U849" s="215"/>
      <c r="V849" s="215"/>
      <c r="W849" s="215"/>
      <c r="X849" s="215"/>
      <c r="AD849" s="196"/>
    </row>
    <row r="850" spans="3:30" s="195" customFormat="1" ht="15">
      <c r="C850" s="215"/>
      <c r="D850" s="215"/>
      <c r="E850" s="215"/>
      <c r="F850" s="215"/>
      <c r="G850" s="215"/>
      <c r="H850" s="215"/>
      <c r="I850" s="215"/>
      <c r="J850" s="215"/>
      <c r="K850" s="215"/>
      <c r="L850" s="215"/>
      <c r="M850" s="215"/>
      <c r="N850" s="215"/>
      <c r="O850" s="215"/>
      <c r="P850" s="215"/>
      <c r="Q850" s="215"/>
      <c r="R850" s="215"/>
      <c r="S850" s="215"/>
      <c r="T850" s="215"/>
      <c r="U850" s="215"/>
      <c r="V850" s="215"/>
      <c r="W850" s="215"/>
      <c r="X850" s="215"/>
      <c r="AD850" s="196"/>
    </row>
    <row r="851" spans="3:30" s="195" customFormat="1" ht="15">
      <c r="C851" s="215"/>
      <c r="D851" s="215"/>
      <c r="E851" s="215"/>
      <c r="F851" s="215"/>
      <c r="G851" s="215"/>
      <c r="H851" s="215"/>
      <c r="I851" s="215"/>
      <c r="J851" s="215"/>
      <c r="K851" s="215"/>
      <c r="L851" s="215"/>
      <c r="M851" s="215"/>
      <c r="N851" s="215"/>
      <c r="O851" s="215"/>
      <c r="P851" s="215"/>
      <c r="Q851" s="215"/>
      <c r="R851" s="215"/>
      <c r="S851" s="215"/>
      <c r="T851" s="215"/>
      <c r="U851" s="215"/>
      <c r="V851" s="215"/>
      <c r="W851" s="215"/>
      <c r="X851" s="215"/>
      <c r="AD851" s="196"/>
    </row>
    <row r="852" spans="3:30" s="195" customFormat="1" ht="15">
      <c r="C852" s="215"/>
      <c r="D852" s="215"/>
      <c r="E852" s="215"/>
      <c r="F852" s="215"/>
      <c r="G852" s="215"/>
      <c r="H852" s="215"/>
      <c r="I852" s="215"/>
      <c r="J852" s="215"/>
      <c r="K852" s="215"/>
      <c r="L852" s="215"/>
      <c r="M852" s="215"/>
      <c r="N852" s="215"/>
      <c r="O852" s="215"/>
      <c r="P852" s="215"/>
      <c r="Q852" s="215"/>
      <c r="R852" s="215"/>
      <c r="S852" s="215"/>
      <c r="T852" s="215"/>
      <c r="U852" s="215"/>
      <c r="V852" s="215"/>
      <c r="W852" s="215"/>
      <c r="X852" s="215"/>
      <c r="AD852" s="196"/>
    </row>
    <row r="853" spans="3:30" s="195" customFormat="1" ht="15">
      <c r="C853" s="215"/>
      <c r="D853" s="215"/>
      <c r="E853" s="215"/>
      <c r="F853" s="215"/>
      <c r="G853" s="215"/>
      <c r="H853" s="215"/>
      <c r="I853" s="215"/>
      <c r="J853" s="215"/>
      <c r="K853" s="215"/>
      <c r="L853" s="215"/>
      <c r="M853" s="215"/>
      <c r="N853" s="215"/>
      <c r="O853" s="215"/>
      <c r="P853" s="215"/>
      <c r="Q853" s="215"/>
      <c r="R853" s="215"/>
      <c r="S853" s="215"/>
      <c r="T853" s="215"/>
      <c r="U853" s="215"/>
      <c r="V853" s="215"/>
      <c r="W853" s="215"/>
      <c r="X853" s="215"/>
      <c r="AD853" s="196"/>
    </row>
    <row r="854" spans="3:30" s="195" customFormat="1" ht="15">
      <c r="C854" s="215"/>
      <c r="D854" s="215"/>
      <c r="E854" s="215"/>
      <c r="F854" s="215"/>
      <c r="G854" s="215"/>
      <c r="H854" s="215"/>
      <c r="I854" s="215"/>
      <c r="J854" s="215"/>
      <c r="K854" s="215"/>
      <c r="L854" s="215"/>
      <c r="M854" s="215"/>
      <c r="N854" s="215"/>
      <c r="O854" s="215"/>
      <c r="P854" s="215"/>
      <c r="Q854" s="215"/>
      <c r="R854" s="215"/>
      <c r="S854" s="215"/>
      <c r="T854" s="215"/>
      <c r="U854" s="215"/>
      <c r="V854" s="215"/>
      <c r="W854" s="215"/>
      <c r="X854" s="215"/>
      <c r="AD854" s="196"/>
    </row>
    <row r="855" spans="3:30" s="195" customFormat="1" ht="15">
      <c r="C855" s="215"/>
      <c r="D855" s="215"/>
      <c r="E855" s="215"/>
      <c r="F855" s="215"/>
      <c r="G855" s="215"/>
      <c r="H855" s="215"/>
      <c r="I855" s="215"/>
      <c r="J855" s="215"/>
      <c r="K855" s="215"/>
      <c r="L855" s="215"/>
      <c r="M855" s="215"/>
      <c r="N855" s="215"/>
      <c r="O855" s="215"/>
      <c r="P855" s="215"/>
      <c r="Q855" s="215"/>
      <c r="R855" s="215"/>
      <c r="S855" s="215"/>
      <c r="T855" s="215"/>
      <c r="U855" s="215"/>
      <c r="V855" s="215"/>
      <c r="W855" s="215"/>
      <c r="X855" s="215"/>
      <c r="AD855" s="196"/>
    </row>
    <row r="856" spans="3:30" s="195" customFormat="1" ht="15">
      <c r="C856" s="215"/>
      <c r="D856" s="215"/>
      <c r="E856" s="215"/>
      <c r="F856" s="215"/>
      <c r="G856" s="215"/>
      <c r="H856" s="215"/>
      <c r="I856" s="215"/>
      <c r="J856" s="215"/>
      <c r="K856" s="215"/>
      <c r="L856" s="215"/>
      <c r="M856" s="215"/>
      <c r="N856" s="215"/>
      <c r="O856" s="215"/>
      <c r="P856" s="215"/>
      <c r="Q856" s="215"/>
      <c r="R856" s="215"/>
      <c r="S856" s="215"/>
      <c r="T856" s="215"/>
      <c r="U856" s="215"/>
      <c r="V856" s="215"/>
      <c r="W856" s="215"/>
      <c r="X856" s="215"/>
      <c r="AD856" s="196"/>
    </row>
    <row r="857" spans="3:30" s="195" customFormat="1" ht="15">
      <c r="C857" s="215"/>
      <c r="D857" s="215"/>
      <c r="E857" s="215"/>
      <c r="F857" s="215"/>
      <c r="G857" s="215"/>
      <c r="H857" s="215"/>
      <c r="I857" s="215"/>
      <c r="J857" s="215"/>
      <c r="K857" s="215"/>
      <c r="L857" s="215"/>
      <c r="M857" s="215"/>
      <c r="N857" s="215"/>
      <c r="O857" s="215"/>
      <c r="P857" s="215"/>
      <c r="Q857" s="215"/>
      <c r="R857" s="215"/>
      <c r="S857" s="215"/>
      <c r="T857" s="215"/>
      <c r="U857" s="215"/>
      <c r="V857" s="215"/>
      <c r="W857" s="215"/>
      <c r="X857" s="215"/>
      <c r="AD857" s="196"/>
    </row>
    <row r="858" spans="3:30" s="195" customFormat="1" ht="15">
      <c r="C858" s="215"/>
      <c r="D858" s="215"/>
      <c r="E858" s="215"/>
      <c r="F858" s="215"/>
      <c r="G858" s="215"/>
      <c r="H858" s="215"/>
      <c r="I858" s="215"/>
      <c r="J858" s="215"/>
      <c r="K858" s="215"/>
      <c r="L858" s="215"/>
      <c r="M858" s="215"/>
      <c r="N858" s="215"/>
      <c r="O858" s="215"/>
      <c r="P858" s="215"/>
      <c r="Q858" s="215"/>
      <c r="R858" s="215"/>
      <c r="S858" s="215"/>
      <c r="T858" s="215"/>
      <c r="U858" s="215"/>
      <c r="V858" s="215"/>
      <c r="W858" s="215"/>
      <c r="X858" s="215"/>
      <c r="AD858" s="196"/>
    </row>
    <row r="859" spans="3:30" s="195" customFormat="1" ht="15">
      <c r="C859" s="215"/>
      <c r="D859" s="215"/>
      <c r="E859" s="215"/>
      <c r="F859" s="215"/>
      <c r="G859" s="215"/>
      <c r="H859" s="215"/>
      <c r="I859" s="215"/>
      <c r="J859" s="215"/>
      <c r="K859" s="215"/>
      <c r="L859" s="215"/>
      <c r="M859" s="215"/>
      <c r="N859" s="215"/>
      <c r="O859" s="215"/>
      <c r="P859" s="215"/>
      <c r="Q859" s="215"/>
      <c r="R859" s="215"/>
      <c r="S859" s="215"/>
      <c r="T859" s="215"/>
      <c r="U859" s="215"/>
      <c r="V859" s="215"/>
      <c r="W859" s="215"/>
      <c r="X859" s="215"/>
      <c r="AD859" s="196"/>
    </row>
    <row r="860" spans="3:30" s="195" customFormat="1" ht="15">
      <c r="C860" s="215"/>
      <c r="D860" s="215"/>
      <c r="E860" s="215"/>
      <c r="F860" s="215"/>
      <c r="G860" s="215"/>
      <c r="H860" s="215"/>
      <c r="I860" s="215"/>
      <c r="J860" s="215"/>
      <c r="K860" s="215"/>
      <c r="L860" s="215"/>
      <c r="M860" s="215"/>
      <c r="N860" s="215"/>
      <c r="O860" s="215"/>
      <c r="P860" s="215"/>
      <c r="Q860" s="215"/>
      <c r="R860" s="215"/>
      <c r="S860" s="215"/>
      <c r="T860" s="215"/>
      <c r="U860" s="215"/>
      <c r="V860" s="215"/>
      <c r="W860" s="215"/>
      <c r="X860" s="215"/>
      <c r="AD860" s="196"/>
    </row>
    <row r="861" spans="3:30" s="195" customFormat="1" ht="15">
      <c r="C861" s="215"/>
      <c r="D861" s="215"/>
      <c r="E861" s="215"/>
      <c r="F861" s="215"/>
      <c r="G861" s="215"/>
      <c r="H861" s="215"/>
      <c r="I861" s="215"/>
      <c r="J861" s="215"/>
      <c r="K861" s="215"/>
      <c r="L861" s="215"/>
      <c r="M861" s="215"/>
      <c r="N861" s="215"/>
      <c r="O861" s="215"/>
      <c r="P861" s="215"/>
      <c r="Q861" s="215"/>
      <c r="R861" s="215"/>
      <c r="S861" s="215"/>
      <c r="T861" s="215"/>
      <c r="U861" s="215"/>
      <c r="V861" s="215"/>
      <c r="W861" s="215"/>
      <c r="X861" s="215"/>
      <c r="AD861" s="196"/>
    </row>
    <row r="862" spans="3:30" s="195" customFormat="1" ht="15">
      <c r="C862" s="215"/>
      <c r="D862" s="215"/>
      <c r="E862" s="215"/>
      <c r="F862" s="215"/>
      <c r="G862" s="215"/>
      <c r="H862" s="215"/>
      <c r="I862" s="215"/>
      <c r="J862" s="215"/>
      <c r="K862" s="215"/>
      <c r="L862" s="215"/>
      <c r="M862" s="215"/>
      <c r="N862" s="215"/>
      <c r="O862" s="215"/>
      <c r="P862" s="215"/>
      <c r="Q862" s="215"/>
      <c r="R862" s="215"/>
      <c r="S862" s="215"/>
      <c r="T862" s="215"/>
      <c r="U862" s="215"/>
      <c r="V862" s="215"/>
      <c r="W862" s="215"/>
      <c r="X862" s="215"/>
      <c r="AD862" s="196"/>
    </row>
    <row r="863" spans="3:30" s="195" customFormat="1" ht="15">
      <c r="C863" s="215"/>
      <c r="D863" s="215"/>
      <c r="E863" s="215"/>
      <c r="F863" s="215"/>
      <c r="G863" s="215"/>
      <c r="H863" s="215"/>
      <c r="I863" s="215"/>
      <c r="J863" s="215"/>
      <c r="K863" s="215"/>
      <c r="L863" s="215"/>
      <c r="M863" s="215"/>
      <c r="N863" s="215"/>
      <c r="O863" s="215"/>
      <c r="P863" s="215"/>
      <c r="Q863" s="215"/>
      <c r="R863" s="215"/>
      <c r="S863" s="215"/>
      <c r="T863" s="215"/>
      <c r="U863" s="215"/>
      <c r="V863" s="215"/>
      <c r="W863" s="215"/>
      <c r="X863" s="215"/>
      <c r="AD863" s="196"/>
    </row>
    <row r="864" spans="3:30" s="195" customFormat="1" ht="15">
      <c r="C864" s="215"/>
      <c r="D864" s="215"/>
      <c r="E864" s="215"/>
      <c r="F864" s="215"/>
      <c r="G864" s="215"/>
      <c r="H864" s="215"/>
      <c r="I864" s="215"/>
      <c r="J864" s="215"/>
      <c r="K864" s="215"/>
      <c r="L864" s="215"/>
      <c r="M864" s="215"/>
      <c r="N864" s="215"/>
      <c r="O864" s="215"/>
      <c r="P864" s="215"/>
      <c r="Q864" s="215"/>
      <c r="R864" s="215"/>
      <c r="S864" s="215"/>
      <c r="T864" s="215"/>
      <c r="U864" s="215"/>
      <c r="V864" s="215"/>
      <c r="W864" s="215"/>
      <c r="X864" s="215"/>
      <c r="AD864" s="196"/>
    </row>
    <row r="865" spans="3:30" s="195" customFormat="1" ht="15">
      <c r="C865" s="215"/>
      <c r="D865" s="215"/>
      <c r="E865" s="215"/>
      <c r="F865" s="215"/>
      <c r="G865" s="215"/>
      <c r="H865" s="215"/>
      <c r="I865" s="215"/>
      <c r="J865" s="215"/>
      <c r="K865" s="215"/>
      <c r="L865" s="215"/>
      <c r="M865" s="215"/>
      <c r="N865" s="215"/>
      <c r="O865" s="215"/>
      <c r="P865" s="215"/>
      <c r="Q865" s="215"/>
      <c r="R865" s="215"/>
      <c r="S865" s="215"/>
      <c r="T865" s="215"/>
      <c r="U865" s="215"/>
      <c r="V865" s="215"/>
      <c r="W865" s="215"/>
      <c r="X865" s="215"/>
      <c r="AD865" s="196"/>
    </row>
    <row r="866" spans="3:30" s="195" customFormat="1" ht="15">
      <c r="C866" s="215"/>
      <c r="D866" s="215"/>
      <c r="E866" s="215"/>
      <c r="F866" s="215"/>
      <c r="G866" s="215"/>
      <c r="H866" s="215"/>
      <c r="I866" s="215"/>
      <c r="J866" s="215"/>
      <c r="K866" s="215"/>
      <c r="L866" s="215"/>
      <c r="M866" s="215"/>
      <c r="N866" s="215"/>
      <c r="O866" s="215"/>
      <c r="P866" s="215"/>
      <c r="Q866" s="215"/>
      <c r="R866" s="215"/>
      <c r="S866" s="215"/>
      <c r="T866" s="215"/>
      <c r="U866" s="215"/>
      <c r="V866" s="215"/>
      <c r="W866" s="215"/>
      <c r="X866" s="215"/>
      <c r="AD866" s="196"/>
    </row>
    <row r="867" spans="3:30" s="195" customFormat="1" ht="15">
      <c r="C867" s="215"/>
      <c r="D867" s="215"/>
      <c r="E867" s="215"/>
      <c r="F867" s="215"/>
      <c r="G867" s="215"/>
      <c r="H867" s="215"/>
      <c r="I867" s="215"/>
      <c r="J867" s="215"/>
      <c r="K867" s="215"/>
      <c r="L867" s="215"/>
      <c r="M867" s="215"/>
      <c r="N867" s="215"/>
      <c r="O867" s="215"/>
      <c r="P867" s="215"/>
      <c r="Q867" s="215"/>
      <c r="R867" s="215"/>
      <c r="S867" s="215"/>
      <c r="T867" s="215"/>
      <c r="U867" s="215"/>
      <c r="V867" s="215"/>
      <c r="W867" s="215"/>
      <c r="X867" s="215"/>
      <c r="AD867" s="196"/>
    </row>
    <row r="868" spans="3:30" s="195" customFormat="1" ht="15">
      <c r="C868" s="215"/>
      <c r="D868" s="215"/>
      <c r="E868" s="215"/>
      <c r="F868" s="215"/>
      <c r="G868" s="215"/>
      <c r="H868" s="215"/>
      <c r="I868" s="215"/>
      <c r="J868" s="215"/>
      <c r="K868" s="215"/>
      <c r="L868" s="215"/>
      <c r="M868" s="215"/>
      <c r="N868" s="215"/>
      <c r="O868" s="215"/>
      <c r="P868" s="215"/>
      <c r="Q868" s="215"/>
      <c r="R868" s="215"/>
      <c r="S868" s="215"/>
      <c r="T868" s="215"/>
      <c r="U868" s="215"/>
      <c r="V868" s="215"/>
      <c r="W868" s="215"/>
      <c r="X868" s="215"/>
      <c r="AD868" s="196"/>
    </row>
    <row r="869" spans="3:30" s="195" customFormat="1" ht="15">
      <c r="C869" s="215"/>
      <c r="D869" s="215"/>
      <c r="E869" s="215"/>
      <c r="F869" s="215"/>
      <c r="G869" s="215"/>
      <c r="H869" s="215"/>
      <c r="I869" s="215"/>
      <c r="J869" s="215"/>
      <c r="K869" s="215"/>
      <c r="L869" s="215"/>
      <c r="M869" s="215"/>
      <c r="N869" s="215"/>
      <c r="O869" s="215"/>
      <c r="P869" s="215"/>
      <c r="Q869" s="215"/>
      <c r="R869" s="215"/>
      <c r="S869" s="215"/>
      <c r="T869" s="215"/>
      <c r="U869" s="215"/>
      <c r="V869" s="215"/>
      <c r="W869" s="215"/>
      <c r="X869" s="215"/>
      <c r="AD869" s="196"/>
    </row>
    <row r="870" spans="3:30" s="195" customFormat="1" ht="15">
      <c r="C870" s="215"/>
      <c r="D870" s="215"/>
      <c r="E870" s="215"/>
      <c r="F870" s="215"/>
      <c r="G870" s="215"/>
      <c r="H870" s="215"/>
      <c r="I870" s="215"/>
      <c r="J870" s="215"/>
      <c r="K870" s="215"/>
      <c r="L870" s="215"/>
      <c r="M870" s="215"/>
      <c r="N870" s="215"/>
      <c r="O870" s="215"/>
      <c r="P870" s="215"/>
      <c r="Q870" s="215"/>
      <c r="R870" s="215"/>
      <c r="S870" s="215"/>
      <c r="T870" s="215"/>
      <c r="U870" s="215"/>
      <c r="V870" s="215"/>
      <c r="W870" s="215"/>
      <c r="X870" s="215"/>
      <c r="AD870" s="196"/>
    </row>
    <row r="871" spans="3:30" s="195" customFormat="1" ht="15">
      <c r="C871" s="215"/>
      <c r="D871" s="215"/>
      <c r="E871" s="215"/>
      <c r="F871" s="215"/>
      <c r="G871" s="215"/>
      <c r="H871" s="215"/>
      <c r="I871" s="215"/>
      <c r="J871" s="215"/>
      <c r="K871" s="215"/>
      <c r="L871" s="215"/>
      <c r="M871" s="215"/>
      <c r="N871" s="215"/>
      <c r="O871" s="215"/>
      <c r="P871" s="215"/>
      <c r="Q871" s="215"/>
      <c r="R871" s="215"/>
      <c r="S871" s="215"/>
      <c r="T871" s="215"/>
      <c r="U871" s="215"/>
      <c r="V871" s="215"/>
      <c r="W871" s="215"/>
      <c r="X871" s="215"/>
      <c r="AD871" s="196"/>
    </row>
    <row r="872" spans="3:30" s="195" customFormat="1" ht="15">
      <c r="C872" s="215"/>
      <c r="D872" s="215"/>
      <c r="E872" s="215"/>
      <c r="F872" s="215"/>
      <c r="G872" s="215"/>
      <c r="H872" s="215"/>
      <c r="I872" s="215"/>
      <c r="J872" s="215"/>
      <c r="K872" s="215"/>
      <c r="L872" s="215"/>
      <c r="M872" s="215"/>
      <c r="N872" s="215"/>
      <c r="O872" s="215"/>
      <c r="P872" s="215"/>
      <c r="Q872" s="215"/>
      <c r="R872" s="215"/>
      <c r="S872" s="215"/>
      <c r="T872" s="215"/>
      <c r="U872" s="215"/>
      <c r="V872" s="215"/>
      <c r="W872" s="215"/>
      <c r="X872" s="215"/>
      <c r="AD872" s="196"/>
    </row>
    <row r="873" spans="3:30" s="195" customFormat="1" ht="15">
      <c r="C873" s="215"/>
      <c r="D873" s="215"/>
      <c r="E873" s="215"/>
      <c r="F873" s="215"/>
      <c r="G873" s="215"/>
      <c r="H873" s="215"/>
      <c r="I873" s="215"/>
      <c r="J873" s="215"/>
      <c r="K873" s="215"/>
      <c r="L873" s="215"/>
      <c r="M873" s="215"/>
      <c r="N873" s="215"/>
      <c r="O873" s="215"/>
      <c r="P873" s="215"/>
      <c r="Q873" s="215"/>
      <c r="R873" s="215"/>
      <c r="S873" s="215"/>
      <c r="T873" s="215"/>
      <c r="U873" s="215"/>
      <c r="V873" s="215"/>
      <c r="W873" s="215"/>
      <c r="X873" s="215"/>
      <c r="AD873" s="196"/>
    </row>
    <row r="874" spans="3:30" s="195" customFormat="1" ht="15">
      <c r="C874" s="215"/>
      <c r="D874" s="215"/>
      <c r="E874" s="215"/>
      <c r="F874" s="215"/>
      <c r="G874" s="215"/>
      <c r="H874" s="215"/>
      <c r="I874" s="215"/>
      <c r="J874" s="215"/>
      <c r="K874" s="215"/>
      <c r="L874" s="215"/>
      <c r="M874" s="215"/>
      <c r="N874" s="215"/>
      <c r="O874" s="215"/>
      <c r="P874" s="215"/>
      <c r="Q874" s="215"/>
      <c r="R874" s="215"/>
      <c r="S874" s="215"/>
      <c r="T874" s="215"/>
      <c r="U874" s="215"/>
      <c r="V874" s="215"/>
      <c r="W874" s="215"/>
      <c r="X874" s="215"/>
      <c r="AD874" s="196"/>
    </row>
    <row r="875" spans="3:30" s="195" customFormat="1" ht="15">
      <c r="C875" s="215"/>
      <c r="D875" s="215"/>
      <c r="E875" s="215"/>
      <c r="F875" s="215"/>
      <c r="G875" s="215"/>
      <c r="H875" s="215"/>
      <c r="I875" s="215"/>
      <c r="J875" s="215"/>
      <c r="K875" s="215"/>
      <c r="L875" s="215"/>
      <c r="M875" s="215"/>
      <c r="N875" s="215"/>
      <c r="O875" s="215"/>
      <c r="P875" s="215"/>
      <c r="Q875" s="215"/>
      <c r="R875" s="215"/>
      <c r="S875" s="215"/>
      <c r="T875" s="215"/>
      <c r="U875" s="215"/>
      <c r="V875" s="215"/>
      <c r="W875" s="215"/>
      <c r="X875" s="215"/>
      <c r="AD875" s="196"/>
    </row>
    <row r="876" spans="3:30" s="195" customFormat="1" ht="15">
      <c r="C876" s="215"/>
      <c r="D876" s="215"/>
      <c r="E876" s="215"/>
      <c r="F876" s="215"/>
      <c r="G876" s="215"/>
      <c r="H876" s="215"/>
      <c r="I876" s="215"/>
      <c r="J876" s="215"/>
      <c r="K876" s="215"/>
      <c r="L876" s="215"/>
      <c r="M876" s="215"/>
      <c r="N876" s="215"/>
      <c r="O876" s="215"/>
      <c r="P876" s="215"/>
      <c r="Q876" s="215"/>
      <c r="R876" s="215"/>
      <c r="S876" s="215"/>
      <c r="T876" s="215"/>
      <c r="U876" s="215"/>
      <c r="V876" s="215"/>
      <c r="W876" s="215"/>
      <c r="X876" s="215"/>
      <c r="AD876" s="196"/>
    </row>
    <row r="877" spans="3:30" s="195" customFormat="1" ht="15">
      <c r="C877" s="215"/>
      <c r="D877" s="215"/>
      <c r="E877" s="215"/>
      <c r="F877" s="215"/>
      <c r="G877" s="215"/>
      <c r="H877" s="215"/>
      <c r="I877" s="215"/>
      <c r="J877" s="215"/>
      <c r="K877" s="215"/>
      <c r="L877" s="215"/>
      <c r="M877" s="215"/>
      <c r="N877" s="215"/>
      <c r="O877" s="215"/>
      <c r="P877" s="215"/>
      <c r="Q877" s="215"/>
      <c r="R877" s="215"/>
      <c r="S877" s="215"/>
      <c r="T877" s="215"/>
      <c r="U877" s="215"/>
      <c r="V877" s="215"/>
      <c r="W877" s="215"/>
      <c r="X877" s="215"/>
      <c r="AD877" s="196"/>
    </row>
    <row r="878" spans="3:30" s="195" customFormat="1" ht="15">
      <c r="C878" s="215"/>
      <c r="D878" s="215"/>
      <c r="E878" s="215"/>
      <c r="F878" s="215"/>
      <c r="G878" s="215"/>
      <c r="H878" s="215"/>
      <c r="I878" s="215"/>
      <c r="J878" s="215"/>
      <c r="K878" s="215"/>
      <c r="L878" s="215"/>
      <c r="M878" s="215"/>
      <c r="N878" s="215"/>
      <c r="O878" s="215"/>
      <c r="P878" s="215"/>
      <c r="Q878" s="215"/>
      <c r="R878" s="215"/>
      <c r="S878" s="215"/>
      <c r="T878" s="215"/>
      <c r="U878" s="215"/>
      <c r="V878" s="215"/>
      <c r="W878" s="215"/>
      <c r="X878" s="215"/>
      <c r="AD878" s="196"/>
    </row>
    <row r="879" spans="3:30" s="195" customFormat="1" ht="15">
      <c r="C879" s="215"/>
      <c r="D879" s="215"/>
      <c r="E879" s="215"/>
      <c r="F879" s="215"/>
      <c r="G879" s="215"/>
      <c r="H879" s="215"/>
      <c r="I879" s="215"/>
      <c r="J879" s="215"/>
      <c r="K879" s="215"/>
      <c r="L879" s="215"/>
      <c r="M879" s="215"/>
      <c r="N879" s="215"/>
      <c r="O879" s="215"/>
      <c r="P879" s="215"/>
      <c r="Q879" s="215"/>
      <c r="R879" s="215"/>
      <c r="S879" s="215"/>
      <c r="T879" s="215"/>
      <c r="U879" s="215"/>
      <c r="V879" s="215"/>
      <c r="W879" s="215"/>
      <c r="X879" s="215"/>
      <c r="AD879" s="196"/>
    </row>
    <row r="880" spans="3:30" s="195" customFormat="1" ht="15">
      <c r="C880" s="215"/>
      <c r="D880" s="215"/>
      <c r="E880" s="215"/>
      <c r="F880" s="215"/>
      <c r="G880" s="215"/>
      <c r="H880" s="215"/>
      <c r="I880" s="215"/>
      <c r="J880" s="215"/>
      <c r="K880" s="215"/>
      <c r="L880" s="215"/>
      <c r="M880" s="215"/>
      <c r="N880" s="215"/>
      <c r="O880" s="215"/>
      <c r="P880" s="215"/>
      <c r="Q880" s="215"/>
      <c r="R880" s="215"/>
      <c r="S880" s="215"/>
      <c r="T880" s="215"/>
      <c r="U880" s="215"/>
      <c r="V880" s="215"/>
      <c r="W880" s="215"/>
      <c r="X880" s="215"/>
      <c r="AD880" s="196"/>
    </row>
    <row r="881" spans="3:30" s="195" customFormat="1" ht="15">
      <c r="C881" s="215"/>
      <c r="D881" s="215"/>
      <c r="E881" s="215"/>
      <c r="F881" s="215"/>
      <c r="G881" s="215"/>
      <c r="H881" s="215"/>
      <c r="I881" s="215"/>
      <c r="J881" s="215"/>
      <c r="K881" s="215"/>
      <c r="L881" s="215"/>
      <c r="M881" s="215"/>
      <c r="N881" s="215"/>
      <c r="O881" s="215"/>
      <c r="P881" s="215"/>
      <c r="Q881" s="215"/>
      <c r="R881" s="215"/>
      <c r="S881" s="215"/>
      <c r="T881" s="215"/>
      <c r="U881" s="215"/>
      <c r="V881" s="215"/>
      <c r="W881" s="215"/>
      <c r="X881" s="215"/>
      <c r="AD881" s="196"/>
    </row>
    <row r="882" spans="3:30" s="195" customFormat="1" ht="15">
      <c r="C882" s="215"/>
      <c r="D882" s="215"/>
      <c r="E882" s="215"/>
      <c r="F882" s="215"/>
      <c r="G882" s="215"/>
      <c r="H882" s="215"/>
      <c r="I882" s="215"/>
      <c r="J882" s="215"/>
      <c r="K882" s="215"/>
      <c r="L882" s="215"/>
      <c r="M882" s="215"/>
      <c r="N882" s="215"/>
      <c r="O882" s="215"/>
      <c r="P882" s="215"/>
      <c r="Q882" s="215"/>
      <c r="R882" s="215"/>
      <c r="S882" s="215"/>
      <c r="T882" s="215"/>
      <c r="U882" s="215"/>
      <c r="V882" s="215"/>
      <c r="W882" s="215"/>
      <c r="X882" s="215"/>
      <c r="AD882" s="196"/>
    </row>
    <row r="883" spans="3:30" s="195" customFormat="1" ht="15">
      <c r="C883" s="215"/>
      <c r="D883" s="215"/>
      <c r="E883" s="215"/>
      <c r="F883" s="215"/>
      <c r="G883" s="215"/>
      <c r="H883" s="215"/>
      <c r="I883" s="215"/>
      <c r="J883" s="215"/>
      <c r="K883" s="215"/>
      <c r="L883" s="215"/>
      <c r="M883" s="215"/>
      <c r="N883" s="215"/>
      <c r="O883" s="215"/>
      <c r="P883" s="215"/>
      <c r="Q883" s="215"/>
      <c r="R883" s="215"/>
      <c r="S883" s="215"/>
      <c r="T883" s="215"/>
      <c r="U883" s="215"/>
      <c r="V883" s="215"/>
      <c r="W883" s="215"/>
      <c r="X883" s="215"/>
      <c r="AD883" s="196"/>
    </row>
    <row r="884" spans="3:30" s="195" customFormat="1" ht="15">
      <c r="C884" s="215"/>
      <c r="D884" s="215"/>
      <c r="E884" s="215"/>
      <c r="F884" s="215"/>
      <c r="G884" s="215"/>
      <c r="H884" s="215"/>
      <c r="I884" s="215"/>
      <c r="J884" s="215"/>
      <c r="K884" s="215"/>
      <c r="L884" s="215"/>
      <c r="M884" s="215"/>
      <c r="N884" s="215"/>
      <c r="O884" s="215"/>
      <c r="P884" s="215"/>
      <c r="Q884" s="215"/>
      <c r="R884" s="215"/>
      <c r="S884" s="215"/>
      <c r="T884" s="215"/>
      <c r="U884" s="215"/>
      <c r="V884" s="215"/>
      <c r="W884" s="215"/>
      <c r="X884" s="215"/>
      <c r="AD884" s="196"/>
    </row>
    <row r="885" spans="3:30" s="195" customFormat="1" ht="15">
      <c r="C885" s="215"/>
      <c r="D885" s="215"/>
      <c r="E885" s="215"/>
      <c r="F885" s="215"/>
      <c r="G885" s="215"/>
      <c r="H885" s="215"/>
      <c r="I885" s="215"/>
      <c r="J885" s="215"/>
      <c r="K885" s="215"/>
      <c r="L885" s="215"/>
      <c r="M885" s="215"/>
      <c r="N885" s="215"/>
      <c r="O885" s="215"/>
      <c r="P885" s="215"/>
      <c r="Q885" s="215"/>
      <c r="R885" s="215"/>
      <c r="S885" s="215"/>
      <c r="T885" s="215"/>
      <c r="U885" s="215"/>
      <c r="V885" s="215"/>
      <c r="W885" s="215"/>
      <c r="X885" s="215"/>
      <c r="AD885" s="196"/>
    </row>
    <row r="886" spans="3:30" s="195" customFormat="1" ht="15">
      <c r="C886" s="215"/>
      <c r="D886" s="215"/>
      <c r="E886" s="215"/>
      <c r="F886" s="215"/>
      <c r="G886" s="215"/>
      <c r="H886" s="215"/>
      <c r="I886" s="215"/>
      <c r="J886" s="215"/>
      <c r="K886" s="215"/>
      <c r="L886" s="215"/>
      <c r="M886" s="215"/>
      <c r="N886" s="215"/>
      <c r="O886" s="215"/>
      <c r="P886" s="215"/>
      <c r="Q886" s="215"/>
      <c r="R886" s="215"/>
      <c r="S886" s="215"/>
      <c r="T886" s="215"/>
      <c r="U886" s="215"/>
      <c r="V886" s="215"/>
      <c r="W886" s="215"/>
      <c r="X886" s="215"/>
      <c r="AD886" s="196"/>
    </row>
    <row r="887" spans="3:30" s="195" customFormat="1" ht="15">
      <c r="C887" s="215"/>
      <c r="D887" s="215"/>
      <c r="E887" s="215"/>
      <c r="F887" s="215"/>
      <c r="G887" s="215"/>
      <c r="H887" s="215"/>
      <c r="I887" s="215"/>
      <c r="J887" s="215"/>
      <c r="K887" s="215"/>
      <c r="L887" s="215"/>
      <c r="M887" s="215"/>
      <c r="N887" s="215"/>
      <c r="O887" s="215"/>
      <c r="P887" s="215"/>
      <c r="Q887" s="215"/>
      <c r="R887" s="215"/>
      <c r="S887" s="215"/>
      <c r="T887" s="215"/>
      <c r="U887" s="215"/>
      <c r="V887" s="215"/>
      <c r="W887" s="215"/>
      <c r="X887" s="215"/>
      <c r="AD887" s="196"/>
    </row>
    <row r="888" spans="3:30" s="195" customFormat="1" ht="15">
      <c r="C888" s="215"/>
      <c r="D888" s="215"/>
      <c r="E888" s="215"/>
      <c r="F888" s="215"/>
      <c r="G888" s="215"/>
      <c r="H888" s="215"/>
      <c r="I888" s="215"/>
      <c r="J888" s="215"/>
      <c r="K888" s="215"/>
      <c r="L888" s="215"/>
      <c r="M888" s="215"/>
      <c r="N888" s="215"/>
      <c r="O888" s="215"/>
      <c r="P888" s="215"/>
      <c r="Q888" s="215"/>
      <c r="R888" s="215"/>
      <c r="S888" s="215"/>
      <c r="T888" s="215"/>
      <c r="U888" s="215"/>
      <c r="V888" s="215"/>
      <c r="W888" s="215"/>
      <c r="X888" s="215"/>
      <c r="AD888" s="196"/>
    </row>
    <row r="889" spans="3:30" s="195" customFormat="1" ht="15">
      <c r="C889" s="215"/>
      <c r="D889" s="215"/>
      <c r="E889" s="215"/>
      <c r="F889" s="215"/>
      <c r="G889" s="215"/>
      <c r="H889" s="215"/>
      <c r="I889" s="215"/>
      <c r="J889" s="215"/>
      <c r="K889" s="215"/>
      <c r="L889" s="215"/>
      <c r="M889" s="215"/>
      <c r="N889" s="215"/>
      <c r="O889" s="215"/>
      <c r="P889" s="215"/>
      <c r="Q889" s="215"/>
      <c r="R889" s="215"/>
      <c r="S889" s="215"/>
      <c r="T889" s="215"/>
      <c r="U889" s="215"/>
      <c r="V889" s="215"/>
      <c r="W889" s="215"/>
      <c r="X889" s="215"/>
      <c r="AD889" s="196"/>
    </row>
    <row r="890" spans="3:30" s="195" customFormat="1" ht="15">
      <c r="C890" s="215"/>
      <c r="D890" s="215"/>
      <c r="E890" s="215"/>
      <c r="F890" s="215"/>
      <c r="G890" s="215"/>
      <c r="H890" s="215"/>
      <c r="I890" s="215"/>
      <c r="J890" s="215"/>
      <c r="K890" s="215"/>
      <c r="L890" s="215"/>
      <c r="M890" s="215"/>
      <c r="N890" s="215"/>
      <c r="O890" s="215"/>
      <c r="P890" s="215"/>
      <c r="Q890" s="215"/>
      <c r="R890" s="215"/>
      <c r="S890" s="215"/>
      <c r="T890" s="215"/>
      <c r="U890" s="215"/>
      <c r="V890" s="215"/>
      <c r="W890" s="215"/>
      <c r="X890" s="215"/>
      <c r="AD890" s="196"/>
    </row>
    <row r="891" spans="3:30" s="195" customFormat="1" ht="15">
      <c r="C891" s="215"/>
      <c r="D891" s="215"/>
      <c r="E891" s="215"/>
      <c r="F891" s="215"/>
      <c r="G891" s="215"/>
      <c r="H891" s="215"/>
      <c r="I891" s="215"/>
      <c r="J891" s="215"/>
      <c r="K891" s="215"/>
      <c r="L891" s="215"/>
      <c r="M891" s="215"/>
      <c r="N891" s="215"/>
      <c r="O891" s="215"/>
      <c r="P891" s="215"/>
      <c r="Q891" s="215"/>
      <c r="R891" s="215"/>
      <c r="S891" s="215"/>
      <c r="T891" s="215"/>
      <c r="U891" s="215"/>
      <c r="V891" s="215"/>
      <c r="W891" s="215"/>
      <c r="X891" s="215"/>
      <c r="AD891" s="196"/>
    </row>
    <row r="892" spans="3:30" s="195" customFormat="1" ht="15">
      <c r="C892" s="215"/>
      <c r="D892" s="215"/>
      <c r="E892" s="215"/>
      <c r="F892" s="215"/>
      <c r="G892" s="215"/>
      <c r="H892" s="215"/>
      <c r="I892" s="215"/>
      <c r="J892" s="215"/>
      <c r="K892" s="215"/>
      <c r="L892" s="215"/>
      <c r="M892" s="215"/>
      <c r="N892" s="215"/>
      <c r="O892" s="215"/>
      <c r="P892" s="215"/>
      <c r="Q892" s="215"/>
      <c r="R892" s="215"/>
      <c r="S892" s="215"/>
      <c r="T892" s="215"/>
      <c r="U892" s="215"/>
      <c r="V892" s="215"/>
      <c r="W892" s="215"/>
      <c r="X892" s="215"/>
      <c r="AD892" s="196"/>
    </row>
    <row r="893" spans="3:30" s="195" customFormat="1" ht="15">
      <c r="C893" s="215"/>
      <c r="D893" s="215"/>
      <c r="E893" s="215"/>
      <c r="F893" s="215"/>
      <c r="G893" s="215"/>
      <c r="H893" s="215"/>
      <c r="I893" s="215"/>
      <c r="J893" s="215"/>
      <c r="K893" s="215"/>
      <c r="L893" s="215"/>
      <c r="M893" s="215"/>
      <c r="N893" s="215"/>
      <c r="O893" s="215"/>
      <c r="P893" s="215"/>
      <c r="Q893" s="215"/>
      <c r="R893" s="215"/>
      <c r="S893" s="215"/>
      <c r="T893" s="215"/>
      <c r="U893" s="215"/>
      <c r="V893" s="215"/>
      <c r="W893" s="215"/>
      <c r="X893" s="215"/>
      <c r="AD893" s="196"/>
    </row>
    <row r="894" spans="3:30" s="195" customFormat="1" ht="15">
      <c r="C894" s="215"/>
      <c r="D894" s="215"/>
      <c r="E894" s="215"/>
      <c r="F894" s="215"/>
      <c r="G894" s="215"/>
      <c r="H894" s="215"/>
      <c r="I894" s="215"/>
      <c r="J894" s="215"/>
      <c r="K894" s="215"/>
      <c r="L894" s="215"/>
      <c r="M894" s="215"/>
      <c r="N894" s="215"/>
      <c r="O894" s="215"/>
      <c r="P894" s="215"/>
      <c r="Q894" s="215"/>
      <c r="R894" s="215"/>
      <c r="S894" s="215"/>
      <c r="T894" s="215"/>
      <c r="U894" s="215"/>
      <c r="V894" s="215"/>
      <c r="W894" s="215"/>
      <c r="X894" s="215"/>
      <c r="AD894" s="196"/>
    </row>
    <row r="895" spans="3:30" s="195" customFormat="1" ht="15">
      <c r="C895" s="215"/>
      <c r="D895" s="215"/>
      <c r="E895" s="215"/>
      <c r="F895" s="215"/>
      <c r="G895" s="215"/>
      <c r="H895" s="215"/>
      <c r="I895" s="215"/>
      <c r="J895" s="215"/>
      <c r="K895" s="215"/>
      <c r="L895" s="215"/>
      <c r="M895" s="215"/>
      <c r="N895" s="215"/>
      <c r="O895" s="215"/>
      <c r="P895" s="215"/>
      <c r="Q895" s="215"/>
      <c r="R895" s="215"/>
      <c r="S895" s="215"/>
      <c r="T895" s="215"/>
      <c r="U895" s="215"/>
      <c r="V895" s="215"/>
      <c r="W895" s="215"/>
      <c r="X895" s="215"/>
      <c r="AD895" s="196"/>
    </row>
    <row r="896" spans="3:30" s="195" customFormat="1" ht="15">
      <c r="C896" s="215"/>
      <c r="D896" s="215"/>
      <c r="E896" s="215"/>
      <c r="F896" s="215"/>
      <c r="G896" s="215"/>
      <c r="H896" s="215"/>
      <c r="I896" s="215"/>
      <c r="J896" s="215"/>
      <c r="K896" s="215"/>
      <c r="L896" s="215"/>
      <c r="M896" s="215"/>
      <c r="N896" s="215"/>
      <c r="O896" s="215"/>
      <c r="P896" s="215"/>
      <c r="Q896" s="215"/>
      <c r="R896" s="215"/>
      <c r="S896" s="215"/>
      <c r="T896" s="215"/>
      <c r="U896" s="215"/>
      <c r="V896" s="215"/>
      <c r="W896" s="215"/>
      <c r="X896" s="215"/>
      <c r="AD896" s="196"/>
    </row>
    <row r="897" spans="3:30" s="195" customFormat="1" ht="15">
      <c r="C897" s="215"/>
      <c r="D897" s="215"/>
      <c r="E897" s="215"/>
      <c r="F897" s="215"/>
      <c r="G897" s="215"/>
      <c r="H897" s="215"/>
      <c r="I897" s="215"/>
      <c r="J897" s="215"/>
      <c r="K897" s="215"/>
      <c r="L897" s="215"/>
      <c r="M897" s="215"/>
      <c r="N897" s="215"/>
      <c r="O897" s="215"/>
      <c r="P897" s="215"/>
      <c r="Q897" s="215"/>
      <c r="R897" s="215"/>
      <c r="S897" s="215"/>
      <c r="T897" s="215"/>
      <c r="U897" s="215"/>
      <c r="V897" s="215"/>
      <c r="W897" s="215"/>
      <c r="X897" s="215"/>
      <c r="AD897" s="196"/>
    </row>
    <row r="898" spans="3:30" s="195" customFormat="1" ht="15">
      <c r="C898" s="215"/>
      <c r="D898" s="215"/>
      <c r="E898" s="215"/>
      <c r="F898" s="215"/>
      <c r="G898" s="215"/>
      <c r="H898" s="215"/>
      <c r="I898" s="215"/>
      <c r="J898" s="215"/>
      <c r="K898" s="215"/>
      <c r="L898" s="215"/>
      <c r="M898" s="215"/>
      <c r="N898" s="215"/>
      <c r="O898" s="215"/>
      <c r="P898" s="215"/>
      <c r="Q898" s="215"/>
      <c r="R898" s="215"/>
      <c r="S898" s="215"/>
      <c r="T898" s="215"/>
      <c r="U898" s="215"/>
      <c r="V898" s="215"/>
      <c r="W898" s="215"/>
      <c r="X898" s="215"/>
      <c r="AD898" s="196"/>
    </row>
    <row r="899" spans="3:30" s="195" customFormat="1" ht="15">
      <c r="C899" s="215"/>
      <c r="D899" s="215"/>
      <c r="E899" s="215"/>
      <c r="F899" s="215"/>
      <c r="G899" s="215"/>
      <c r="H899" s="215"/>
      <c r="I899" s="215"/>
      <c r="J899" s="215"/>
      <c r="K899" s="215"/>
      <c r="L899" s="215"/>
      <c r="M899" s="215"/>
      <c r="N899" s="215"/>
      <c r="O899" s="215"/>
      <c r="P899" s="215"/>
      <c r="Q899" s="215"/>
      <c r="R899" s="215"/>
      <c r="S899" s="215"/>
      <c r="T899" s="215"/>
      <c r="U899" s="215"/>
      <c r="V899" s="215"/>
      <c r="W899" s="215"/>
      <c r="X899" s="215"/>
      <c r="AD899" s="196"/>
    </row>
    <row r="900" spans="3:30" s="195" customFormat="1" ht="15">
      <c r="C900" s="215"/>
      <c r="D900" s="215"/>
      <c r="E900" s="215"/>
      <c r="F900" s="215"/>
      <c r="G900" s="215"/>
      <c r="H900" s="215"/>
      <c r="I900" s="215"/>
      <c r="J900" s="215"/>
      <c r="K900" s="215"/>
      <c r="L900" s="215"/>
      <c r="M900" s="215"/>
      <c r="N900" s="215"/>
      <c r="O900" s="215"/>
      <c r="P900" s="215"/>
      <c r="Q900" s="215"/>
      <c r="R900" s="215"/>
      <c r="S900" s="215"/>
      <c r="T900" s="215"/>
      <c r="U900" s="215"/>
      <c r="V900" s="215"/>
      <c r="W900" s="215"/>
      <c r="X900" s="215"/>
      <c r="AD900" s="196"/>
    </row>
    <row r="901" spans="3:30" s="195" customFormat="1" ht="15">
      <c r="C901" s="215"/>
      <c r="D901" s="215"/>
      <c r="E901" s="215"/>
      <c r="F901" s="215"/>
      <c r="G901" s="215"/>
      <c r="H901" s="215"/>
      <c r="I901" s="215"/>
      <c r="J901" s="215"/>
      <c r="K901" s="215"/>
      <c r="L901" s="215"/>
      <c r="M901" s="215"/>
      <c r="N901" s="215"/>
      <c r="O901" s="215"/>
      <c r="P901" s="215"/>
      <c r="Q901" s="215"/>
      <c r="R901" s="215"/>
      <c r="S901" s="215"/>
      <c r="T901" s="215"/>
      <c r="U901" s="215"/>
      <c r="V901" s="215"/>
      <c r="W901" s="215"/>
      <c r="X901" s="215"/>
      <c r="AD901" s="196"/>
    </row>
    <row r="902" spans="3:30" s="195" customFormat="1" ht="15">
      <c r="C902" s="215"/>
      <c r="D902" s="215"/>
      <c r="E902" s="215"/>
      <c r="F902" s="215"/>
      <c r="G902" s="215"/>
      <c r="H902" s="215"/>
      <c r="I902" s="215"/>
      <c r="J902" s="215"/>
      <c r="K902" s="215"/>
      <c r="L902" s="215"/>
      <c r="M902" s="215"/>
      <c r="N902" s="215"/>
      <c r="O902" s="215"/>
      <c r="P902" s="215"/>
      <c r="Q902" s="215"/>
      <c r="R902" s="215"/>
      <c r="S902" s="215"/>
      <c r="T902" s="215"/>
      <c r="U902" s="215"/>
      <c r="V902" s="215"/>
      <c r="W902" s="215"/>
      <c r="X902" s="215"/>
      <c r="AD902" s="196"/>
    </row>
    <row r="903" spans="3:30" s="195" customFormat="1" ht="15">
      <c r="C903" s="215"/>
      <c r="D903" s="215"/>
      <c r="E903" s="215"/>
      <c r="F903" s="215"/>
      <c r="G903" s="215"/>
      <c r="H903" s="215"/>
      <c r="I903" s="215"/>
      <c r="J903" s="215"/>
      <c r="K903" s="215"/>
      <c r="L903" s="215"/>
      <c r="M903" s="215"/>
      <c r="N903" s="215"/>
      <c r="O903" s="215"/>
      <c r="P903" s="215"/>
      <c r="Q903" s="215"/>
      <c r="R903" s="215"/>
      <c r="S903" s="215"/>
      <c r="T903" s="215"/>
      <c r="U903" s="215"/>
      <c r="V903" s="215"/>
      <c r="W903" s="215"/>
      <c r="X903" s="215"/>
      <c r="AD903" s="196"/>
    </row>
    <row r="904" spans="3:30" s="195" customFormat="1" ht="15">
      <c r="C904" s="215"/>
      <c r="D904" s="215"/>
      <c r="E904" s="215"/>
      <c r="F904" s="215"/>
      <c r="G904" s="215"/>
      <c r="H904" s="215"/>
      <c r="I904" s="215"/>
      <c r="J904" s="215"/>
      <c r="K904" s="215"/>
      <c r="L904" s="215"/>
      <c r="M904" s="215"/>
      <c r="N904" s="215"/>
      <c r="O904" s="215"/>
      <c r="P904" s="215"/>
      <c r="Q904" s="215"/>
      <c r="R904" s="215"/>
      <c r="S904" s="215"/>
      <c r="T904" s="215"/>
      <c r="U904" s="215"/>
      <c r="V904" s="215"/>
      <c r="W904" s="215"/>
      <c r="X904" s="215"/>
      <c r="AD904" s="196"/>
    </row>
    <row r="905" spans="3:30" s="195" customFormat="1" ht="15">
      <c r="C905" s="215"/>
      <c r="D905" s="215"/>
      <c r="E905" s="215"/>
      <c r="F905" s="215"/>
      <c r="G905" s="215"/>
      <c r="H905" s="215"/>
      <c r="I905" s="215"/>
      <c r="J905" s="215"/>
      <c r="K905" s="215"/>
      <c r="L905" s="215"/>
      <c r="M905" s="215"/>
      <c r="N905" s="215"/>
      <c r="O905" s="215"/>
      <c r="P905" s="215"/>
      <c r="Q905" s="215"/>
      <c r="R905" s="215"/>
      <c r="S905" s="215"/>
      <c r="T905" s="215"/>
      <c r="U905" s="215"/>
      <c r="V905" s="215"/>
      <c r="W905" s="215"/>
      <c r="X905" s="215"/>
      <c r="AD905" s="196"/>
    </row>
    <row r="906" spans="3:30" s="195" customFormat="1" ht="15">
      <c r="C906" s="215"/>
      <c r="D906" s="215"/>
      <c r="E906" s="215"/>
      <c r="F906" s="215"/>
      <c r="G906" s="215"/>
      <c r="H906" s="215"/>
      <c r="I906" s="215"/>
      <c r="J906" s="215"/>
      <c r="K906" s="215"/>
      <c r="L906" s="215"/>
      <c r="M906" s="215"/>
      <c r="N906" s="215"/>
      <c r="O906" s="215"/>
      <c r="P906" s="215"/>
      <c r="Q906" s="215"/>
      <c r="R906" s="215"/>
      <c r="S906" s="215"/>
      <c r="T906" s="215"/>
      <c r="U906" s="215"/>
      <c r="V906" s="215"/>
      <c r="W906" s="215"/>
      <c r="X906" s="215"/>
      <c r="AD906" s="196"/>
    </row>
    <row r="907" spans="3:30" s="195" customFormat="1" ht="15">
      <c r="C907" s="215"/>
      <c r="D907" s="215"/>
      <c r="E907" s="215"/>
      <c r="F907" s="215"/>
      <c r="G907" s="215"/>
      <c r="H907" s="215"/>
      <c r="I907" s="215"/>
      <c r="J907" s="215"/>
      <c r="K907" s="215"/>
      <c r="L907" s="215"/>
      <c r="M907" s="215"/>
      <c r="N907" s="215"/>
      <c r="O907" s="215"/>
      <c r="P907" s="215"/>
      <c r="Q907" s="215"/>
      <c r="R907" s="215"/>
      <c r="S907" s="215"/>
      <c r="T907" s="215"/>
      <c r="U907" s="215"/>
      <c r="V907" s="215"/>
      <c r="W907" s="215"/>
      <c r="X907" s="215"/>
      <c r="AD907" s="196"/>
    </row>
    <row r="908" spans="3:30" s="195" customFormat="1" ht="15">
      <c r="C908" s="215"/>
      <c r="D908" s="215"/>
      <c r="E908" s="215"/>
      <c r="F908" s="215"/>
      <c r="G908" s="215"/>
      <c r="H908" s="215"/>
      <c r="I908" s="215"/>
      <c r="J908" s="215"/>
      <c r="K908" s="215"/>
      <c r="L908" s="215"/>
      <c r="M908" s="215"/>
      <c r="N908" s="215"/>
      <c r="O908" s="215"/>
      <c r="P908" s="215"/>
      <c r="Q908" s="215"/>
      <c r="R908" s="215"/>
      <c r="S908" s="215"/>
      <c r="T908" s="215"/>
      <c r="U908" s="215"/>
      <c r="V908" s="215"/>
      <c r="W908" s="215"/>
      <c r="X908" s="215"/>
      <c r="AD908" s="196"/>
    </row>
    <row r="909" spans="3:30" s="195" customFormat="1" ht="15">
      <c r="C909" s="215"/>
      <c r="D909" s="215"/>
      <c r="E909" s="215"/>
      <c r="F909" s="215"/>
      <c r="G909" s="215"/>
      <c r="H909" s="215"/>
      <c r="I909" s="215"/>
      <c r="J909" s="215"/>
      <c r="K909" s="215"/>
      <c r="L909" s="215"/>
      <c r="M909" s="215"/>
      <c r="N909" s="215"/>
      <c r="O909" s="215"/>
      <c r="P909" s="215"/>
      <c r="Q909" s="215"/>
      <c r="R909" s="215"/>
      <c r="S909" s="215"/>
      <c r="T909" s="215"/>
      <c r="U909" s="215"/>
      <c r="V909" s="215"/>
      <c r="W909" s="215"/>
      <c r="X909" s="215"/>
      <c r="AD909" s="196"/>
    </row>
    <row r="910" spans="3:30" s="195" customFormat="1" ht="15">
      <c r="C910" s="215"/>
      <c r="D910" s="215"/>
      <c r="E910" s="215"/>
      <c r="F910" s="215"/>
      <c r="G910" s="215"/>
      <c r="H910" s="215"/>
      <c r="I910" s="215"/>
      <c r="J910" s="215"/>
      <c r="K910" s="215"/>
      <c r="L910" s="215"/>
      <c r="M910" s="215"/>
      <c r="N910" s="215"/>
      <c r="O910" s="215"/>
      <c r="P910" s="215"/>
      <c r="Q910" s="215"/>
      <c r="R910" s="215"/>
      <c r="S910" s="215"/>
      <c r="T910" s="215"/>
      <c r="U910" s="215"/>
      <c r="V910" s="215"/>
      <c r="W910" s="215"/>
      <c r="X910" s="215"/>
      <c r="AD910" s="196"/>
    </row>
    <row r="911" spans="3:30" s="195" customFormat="1" ht="15">
      <c r="C911" s="215"/>
      <c r="D911" s="215"/>
      <c r="E911" s="215"/>
      <c r="F911" s="215"/>
      <c r="G911" s="215"/>
      <c r="H911" s="215"/>
      <c r="I911" s="215"/>
      <c r="J911" s="215"/>
      <c r="K911" s="215"/>
      <c r="L911" s="215"/>
      <c r="M911" s="215"/>
      <c r="N911" s="215"/>
      <c r="O911" s="215"/>
      <c r="P911" s="215"/>
      <c r="Q911" s="215"/>
      <c r="R911" s="215"/>
      <c r="S911" s="215"/>
      <c r="T911" s="215"/>
      <c r="U911" s="215"/>
      <c r="V911" s="215"/>
      <c r="W911" s="215"/>
      <c r="X911" s="215"/>
      <c r="AD911" s="196"/>
    </row>
    <row r="912" spans="3:30" s="195" customFormat="1" ht="15">
      <c r="C912" s="215"/>
      <c r="D912" s="215"/>
      <c r="E912" s="215"/>
      <c r="F912" s="215"/>
      <c r="G912" s="215"/>
      <c r="H912" s="215"/>
      <c r="I912" s="215"/>
      <c r="J912" s="215"/>
      <c r="K912" s="215"/>
      <c r="L912" s="215"/>
      <c r="M912" s="215"/>
      <c r="N912" s="215"/>
      <c r="O912" s="215"/>
      <c r="P912" s="215"/>
      <c r="Q912" s="215"/>
      <c r="R912" s="215"/>
      <c r="S912" s="215"/>
      <c r="T912" s="215"/>
      <c r="U912" s="215"/>
      <c r="V912" s="215"/>
      <c r="W912" s="215"/>
      <c r="X912" s="215"/>
      <c r="AD912" s="196"/>
    </row>
    <row r="913" spans="3:30" s="195" customFormat="1" ht="15">
      <c r="C913" s="215"/>
      <c r="D913" s="215"/>
      <c r="E913" s="215"/>
      <c r="F913" s="215"/>
      <c r="G913" s="215"/>
      <c r="H913" s="215"/>
      <c r="I913" s="215"/>
      <c r="J913" s="215"/>
      <c r="K913" s="215"/>
      <c r="L913" s="215"/>
      <c r="M913" s="215"/>
      <c r="N913" s="215"/>
      <c r="O913" s="215"/>
      <c r="P913" s="215"/>
      <c r="Q913" s="215"/>
      <c r="R913" s="215"/>
      <c r="S913" s="215"/>
      <c r="T913" s="215"/>
      <c r="U913" s="215"/>
      <c r="V913" s="215"/>
      <c r="W913" s="215"/>
      <c r="X913" s="215"/>
      <c r="AD913" s="196"/>
    </row>
    <row r="914" spans="3:30" s="195" customFormat="1" ht="15">
      <c r="C914" s="215"/>
      <c r="D914" s="215"/>
      <c r="E914" s="215"/>
      <c r="F914" s="215"/>
      <c r="G914" s="215"/>
      <c r="H914" s="215"/>
      <c r="I914" s="215"/>
      <c r="J914" s="215"/>
      <c r="K914" s="215"/>
      <c r="L914" s="215"/>
      <c r="M914" s="215"/>
      <c r="N914" s="215"/>
      <c r="O914" s="215"/>
      <c r="P914" s="215"/>
      <c r="Q914" s="215"/>
      <c r="R914" s="215"/>
      <c r="S914" s="215"/>
      <c r="T914" s="215"/>
      <c r="U914" s="215"/>
      <c r="V914" s="215"/>
      <c r="W914" s="215"/>
      <c r="X914" s="215"/>
      <c r="AD914" s="196"/>
    </row>
    <row r="915" spans="3:30" s="195" customFormat="1" ht="15">
      <c r="C915" s="215"/>
      <c r="D915" s="215"/>
      <c r="E915" s="215"/>
      <c r="F915" s="215"/>
      <c r="G915" s="215"/>
      <c r="H915" s="215"/>
      <c r="I915" s="215"/>
      <c r="J915" s="215"/>
      <c r="K915" s="215"/>
      <c r="L915" s="215"/>
      <c r="M915" s="215"/>
      <c r="N915" s="215"/>
      <c r="O915" s="215"/>
      <c r="P915" s="215"/>
      <c r="Q915" s="215"/>
      <c r="R915" s="215"/>
      <c r="S915" s="215"/>
      <c r="T915" s="215"/>
      <c r="U915" s="215"/>
      <c r="V915" s="215"/>
      <c r="W915" s="215"/>
      <c r="X915" s="215"/>
      <c r="AD915" s="196"/>
    </row>
    <row r="916" spans="3:30" s="195" customFormat="1" ht="15">
      <c r="C916" s="215"/>
      <c r="D916" s="215"/>
      <c r="E916" s="215"/>
      <c r="F916" s="215"/>
      <c r="G916" s="215"/>
      <c r="H916" s="215"/>
      <c r="I916" s="215"/>
      <c r="J916" s="215"/>
      <c r="K916" s="215"/>
      <c r="L916" s="215"/>
      <c r="M916" s="215"/>
      <c r="N916" s="215"/>
      <c r="O916" s="215"/>
      <c r="P916" s="215"/>
      <c r="Q916" s="215"/>
      <c r="R916" s="215"/>
      <c r="S916" s="215"/>
      <c r="T916" s="215"/>
      <c r="U916" s="215"/>
      <c r="V916" s="215"/>
      <c r="W916" s="215"/>
      <c r="X916" s="215"/>
      <c r="AD916" s="196"/>
    </row>
    <row r="917" spans="3:30" s="195" customFormat="1" ht="15">
      <c r="C917" s="215"/>
      <c r="D917" s="215"/>
      <c r="E917" s="215"/>
      <c r="F917" s="215"/>
      <c r="G917" s="215"/>
      <c r="H917" s="215"/>
      <c r="I917" s="215"/>
      <c r="J917" s="215"/>
      <c r="K917" s="215"/>
      <c r="L917" s="215"/>
      <c r="M917" s="215"/>
      <c r="N917" s="215"/>
      <c r="O917" s="215"/>
      <c r="P917" s="215"/>
      <c r="Q917" s="215"/>
      <c r="R917" s="215"/>
      <c r="S917" s="215"/>
      <c r="T917" s="215"/>
      <c r="U917" s="215"/>
      <c r="V917" s="215"/>
      <c r="W917" s="215"/>
      <c r="X917" s="215"/>
      <c r="AD917" s="196"/>
    </row>
    <row r="918" spans="3:30" s="195" customFormat="1" ht="15">
      <c r="C918" s="215"/>
      <c r="D918" s="215"/>
      <c r="E918" s="215"/>
      <c r="F918" s="215"/>
      <c r="G918" s="215"/>
      <c r="H918" s="215"/>
      <c r="I918" s="215"/>
      <c r="J918" s="215"/>
      <c r="K918" s="215"/>
      <c r="L918" s="215"/>
      <c r="M918" s="215"/>
      <c r="N918" s="215"/>
      <c r="O918" s="215"/>
      <c r="P918" s="215"/>
      <c r="Q918" s="215"/>
      <c r="R918" s="215"/>
      <c r="S918" s="215"/>
      <c r="T918" s="215"/>
      <c r="U918" s="215"/>
      <c r="V918" s="215"/>
      <c r="W918" s="215"/>
      <c r="X918" s="215"/>
      <c r="AD918" s="196"/>
    </row>
    <row r="919" spans="3:30" s="195" customFormat="1" ht="15">
      <c r="C919" s="215"/>
      <c r="D919" s="215"/>
      <c r="E919" s="215"/>
      <c r="F919" s="215"/>
      <c r="G919" s="215"/>
      <c r="H919" s="215"/>
      <c r="I919" s="215"/>
      <c r="J919" s="215"/>
      <c r="K919" s="215"/>
      <c r="L919" s="215"/>
      <c r="M919" s="215"/>
      <c r="N919" s="215"/>
      <c r="O919" s="215"/>
      <c r="P919" s="215"/>
      <c r="Q919" s="215"/>
      <c r="R919" s="215"/>
      <c r="S919" s="215"/>
      <c r="T919" s="215"/>
      <c r="U919" s="215"/>
      <c r="V919" s="215"/>
      <c r="W919" s="215"/>
      <c r="X919" s="215"/>
      <c r="AD919" s="196"/>
    </row>
    <row r="920" spans="3:30" s="195" customFormat="1" ht="15">
      <c r="C920" s="215"/>
      <c r="D920" s="215"/>
      <c r="E920" s="215"/>
      <c r="F920" s="215"/>
      <c r="G920" s="215"/>
      <c r="H920" s="215"/>
      <c r="I920" s="215"/>
      <c r="J920" s="215"/>
      <c r="K920" s="215"/>
      <c r="L920" s="215"/>
      <c r="M920" s="215"/>
      <c r="N920" s="215"/>
      <c r="O920" s="215"/>
      <c r="P920" s="215"/>
      <c r="Q920" s="215"/>
      <c r="R920" s="215"/>
      <c r="S920" s="215"/>
      <c r="T920" s="215"/>
      <c r="U920" s="215"/>
      <c r="V920" s="215"/>
      <c r="W920" s="215"/>
      <c r="X920" s="215"/>
      <c r="AD920" s="196"/>
    </row>
    <row r="921" spans="3:30" s="195" customFormat="1" ht="15">
      <c r="C921" s="215"/>
      <c r="D921" s="215"/>
      <c r="E921" s="215"/>
      <c r="F921" s="215"/>
      <c r="G921" s="215"/>
      <c r="H921" s="215"/>
      <c r="I921" s="215"/>
      <c r="J921" s="215"/>
      <c r="K921" s="215"/>
      <c r="L921" s="215"/>
      <c r="M921" s="215"/>
      <c r="N921" s="215"/>
      <c r="O921" s="215"/>
      <c r="P921" s="215"/>
      <c r="Q921" s="215"/>
      <c r="R921" s="215"/>
      <c r="S921" s="215"/>
      <c r="T921" s="215"/>
      <c r="U921" s="215"/>
      <c r="V921" s="215"/>
      <c r="W921" s="215"/>
      <c r="X921" s="215"/>
      <c r="AD921" s="196"/>
    </row>
    <row r="922" spans="3:30" s="195" customFormat="1" ht="15">
      <c r="C922" s="215"/>
      <c r="D922" s="215"/>
      <c r="E922" s="215"/>
      <c r="F922" s="215"/>
      <c r="G922" s="215"/>
      <c r="H922" s="215"/>
      <c r="I922" s="215"/>
      <c r="J922" s="215"/>
      <c r="K922" s="215"/>
      <c r="L922" s="215"/>
      <c r="M922" s="215"/>
      <c r="N922" s="215"/>
      <c r="O922" s="215"/>
      <c r="P922" s="215"/>
      <c r="Q922" s="215"/>
      <c r="R922" s="215"/>
      <c r="S922" s="215"/>
      <c r="T922" s="215"/>
      <c r="U922" s="215"/>
      <c r="V922" s="215"/>
      <c r="W922" s="215"/>
      <c r="X922" s="215"/>
      <c r="AD922" s="196"/>
    </row>
    <row r="923" spans="3:30" s="195" customFormat="1" ht="15">
      <c r="C923" s="215"/>
      <c r="D923" s="215"/>
      <c r="E923" s="215"/>
      <c r="F923" s="215"/>
      <c r="G923" s="215"/>
      <c r="H923" s="215"/>
      <c r="I923" s="215"/>
      <c r="J923" s="215"/>
      <c r="K923" s="215"/>
      <c r="L923" s="215"/>
      <c r="M923" s="215"/>
      <c r="N923" s="215"/>
      <c r="O923" s="215"/>
      <c r="P923" s="215"/>
      <c r="Q923" s="215"/>
      <c r="R923" s="215"/>
      <c r="S923" s="215"/>
      <c r="T923" s="215"/>
      <c r="U923" s="215"/>
      <c r="V923" s="215"/>
      <c r="W923" s="215"/>
      <c r="X923" s="215"/>
      <c r="AD923" s="196"/>
    </row>
    <row r="924" spans="3:30" s="195" customFormat="1" ht="15">
      <c r="C924" s="215"/>
      <c r="D924" s="215"/>
      <c r="E924" s="215"/>
      <c r="F924" s="215"/>
      <c r="G924" s="215"/>
      <c r="H924" s="215"/>
      <c r="I924" s="215"/>
      <c r="J924" s="215"/>
      <c r="K924" s="215"/>
      <c r="L924" s="215"/>
      <c r="M924" s="215"/>
      <c r="N924" s="215"/>
      <c r="O924" s="215"/>
      <c r="P924" s="215"/>
      <c r="Q924" s="215"/>
      <c r="R924" s="215"/>
      <c r="S924" s="215"/>
      <c r="T924" s="215"/>
      <c r="U924" s="215"/>
      <c r="V924" s="215"/>
      <c r="W924" s="215"/>
      <c r="X924" s="215"/>
      <c r="AD924" s="196"/>
    </row>
    <row r="925" spans="3:30" s="195" customFormat="1" ht="15">
      <c r="C925" s="215"/>
      <c r="D925" s="215"/>
      <c r="E925" s="215"/>
      <c r="F925" s="215"/>
      <c r="G925" s="215"/>
      <c r="H925" s="215"/>
      <c r="I925" s="215"/>
      <c r="J925" s="215"/>
      <c r="K925" s="215"/>
      <c r="L925" s="215"/>
      <c r="M925" s="215"/>
      <c r="N925" s="215"/>
      <c r="O925" s="215"/>
      <c r="P925" s="215"/>
      <c r="Q925" s="215"/>
      <c r="R925" s="215"/>
      <c r="S925" s="215"/>
      <c r="T925" s="215"/>
      <c r="U925" s="215"/>
      <c r="V925" s="215"/>
      <c r="W925" s="215"/>
      <c r="X925" s="215"/>
      <c r="AD925" s="196"/>
    </row>
    <row r="926" spans="3:30" s="195" customFormat="1" ht="15">
      <c r="C926" s="215"/>
      <c r="D926" s="215"/>
      <c r="E926" s="215"/>
      <c r="F926" s="215"/>
      <c r="G926" s="215"/>
      <c r="H926" s="215"/>
      <c r="I926" s="215"/>
      <c r="J926" s="215"/>
      <c r="K926" s="215"/>
      <c r="L926" s="215"/>
      <c r="M926" s="215"/>
      <c r="N926" s="215"/>
      <c r="O926" s="215"/>
      <c r="P926" s="215"/>
      <c r="Q926" s="215"/>
      <c r="R926" s="215"/>
      <c r="S926" s="215"/>
      <c r="T926" s="215"/>
      <c r="U926" s="215"/>
      <c r="V926" s="215"/>
      <c r="W926" s="215"/>
      <c r="X926" s="215"/>
      <c r="AD926" s="196"/>
    </row>
    <row r="927" spans="3:30" s="195" customFormat="1" ht="15">
      <c r="C927" s="215"/>
      <c r="D927" s="215"/>
      <c r="E927" s="215"/>
      <c r="F927" s="215"/>
      <c r="G927" s="215"/>
      <c r="H927" s="215"/>
      <c r="I927" s="215"/>
      <c r="J927" s="215"/>
      <c r="K927" s="215"/>
      <c r="L927" s="215"/>
      <c r="M927" s="215"/>
      <c r="N927" s="215"/>
      <c r="O927" s="215"/>
      <c r="P927" s="215"/>
      <c r="Q927" s="215"/>
      <c r="R927" s="215"/>
      <c r="S927" s="215"/>
      <c r="T927" s="215"/>
      <c r="U927" s="215"/>
      <c r="V927" s="215"/>
      <c r="W927" s="215"/>
      <c r="X927" s="215"/>
      <c r="AD927" s="196"/>
    </row>
    <row r="928" spans="3:30" s="195" customFormat="1" ht="15">
      <c r="C928" s="215"/>
      <c r="D928" s="215"/>
      <c r="E928" s="215"/>
      <c r="F928" s="215"/>
      <c r="G928" s="215"/>
      <c r="H928" s="215"/>
      <c r="I928" s="215"/>
      <c r="J928" s="215"/>
      <c r="K928" s="215"/>
      <c r="L928" s="215"/>
      <c r="M928" s="215"/>
      <c r="N928" s="215"/>
      <c r="O928" s="215"/>
      <c r="P928" s="215"/>
      <c r="Q928" s="215"/>
      <c r="R928" s="215"/>
      <c r="S928" s="215"/>
      <c r="T928" s="215"/>
      <c r="U928" s="215"/>
      <c r="V928" s="215"/>
      <c r="W928" s="215"/>
      <c r="X928" s="215"/>
      <c r="AD928" s="196"/>
    </row>
    <row r="929" spans="3:30" s="195" customFormat="1" ht="15">
      <c r="C929" s="215"/>
      <c r="D929" s="215"/>
      <c r="E929" s="215"/>
      <c r="F929" s="215"/>
      <c r="G929" s="215"/>
      <c r="H929" s="215"/>
      <c r="I929" s="215"/>
      <c r="J929" s="215"/>
      <c r="K929" s="215"/>
      <c r="L929" s="215"/>
      <c r="M929" s="215"/>
      <c r="N929" s="215"/>
      <c r="O929" s="215"/>
      <c r="P929" s="215"/>
      <c r="Q929" s="215"/>
      <c r="R929" s="215"/>
      <c r="S929" s="215"/>
      <c r="T929" s="215"/>
      <c r="U929" s="215"/>
      <c r="V929" s="215"/>
      <c r="W929" s="215"/>
      <c r="X929" s="215"/>
      <c r="AD929" s="196"/>
    </row>
    <row r="930" spans="3:30" s="195" customFormat="1" ht="15">
      <c r="C930" s="215"/>
      <c r="D930" s="215"/>
      <c r="E930" s="215"/>
      <c r="F930" s="215"/>
      <c r="G930" s="215"/>
      <c r="H930" s="215"/>
      <c r="I930" s="215"/>
      <c r="J930" s="215"/>
      <c r="K930" s="215"/>
      <c r="L930" s="215"/>
      <c r="M930" s="215"/>
      <c r="N930" s="215"/>
      <c r="O930" s="215"/>
      <c r="P930" s="215"/>
      <c r="Q930" s="215"/>
      <c r="R930" s="215"/>
      <c r="S930" s="215"/>
      <c r="T930" s="215"/>
      <c r="U930" s="215"/>
      <c r="V930" s="215"/>
      <c r="W930" s="215"/>
      <c r="X930" s="215"/>
      <c r="AD930" s="196"/>
    </row>
    <row r="931" spans="3:30" s="195" customFormat="1" ht="15">
      <c r="C931" s="215"/>
      <c r="D931" s="215"/>
      <c r="E931" s="215"/>
      <c r="F931" s="215"/>
      <c r="G931" s="215"/>
      <c r="H931" s="215"/>
      <c r="I931" s="215"/>
      <c r="J931" s="215"/>
      <c r="K931" s="215"/>
      <c r="L931" s="215"/>
      <c r="M931" s="215"/>
      <c r="N931" s="215"/>
      <c r="O931" s="215"/>
      <c r="P931" s="215"/>
      <c r="Q931" s="215"/>
      <c r="R931" s="215"/>
      <c r="S931" s="215"/>
      <c r="T931" s="215"/>
      <c r="U931" s="215"/>
      <c r="V931" s="215"/>
      <c r="W931" s="215"/>
      <c r="X931" s="215"/>
      <c r="AD931" s="196"/>
    </row>
    <row r="932" spans="3:30" s="195" customFormat="1" ht="15">
      <c r="C932" s="215"/>
      <c r="D932" s="215"/>
      <c r="E932" s="215"/>
      <c r="F932" s="215"/>
      <c r="G932" s="215"/>
      <c r="H932" s="215"/>
      <c r="I932" s="215"/>
      <c r="J932" s="215"/>
      <c r="K932" s="215"/>
      <c r="L932" s="215"/>
      <c r="M932" s="215"/>
      <c r="N932" s="215"/>
      <c r="O932" s="215"/>
      <c r="P932" s="215"/>
      <c r="Q932" s="215"/>
      <c r="R932" s="215"/>
      <c r="S932" s="215"/>
      <c r="T932" s="215"/>
      <c r="U932" s="215"/>
      <c r="V932" s="215"/>
      <c r="W932" s="215"/>
      <c r="X932" s="215"/>
      <c r="AD932" s="196"/>
    </row>
    <row r="933" spans="3:30" s="195" customFormat="1" ht="15">
      <c r="C933" s="215"/>
      <c r="D933" s="215"/>
      <c r="E933" s="215"/>
      <c r="F933" s="215"/>
      <c r="G933" s="215"/>
      <c r="H933" s="215"/>
      <c r="I933" s="215"/>
      <c r="J933" s="215"/>
      <c r="K933" s="215"/>
      <c r="L933" s="215"/>
      <c r="M933" s="215"/>
      <c r="N933" s="215"/>
      <c r="O933" s="215"/>
      <c r="P933" s="215"/>
      <c r="Q933" s="215"/>
      <c r="R933" s="215"/>
      <c r="S933" s="215"/>
      <c r="T933" s="215"/>
      <c r="U933" s="215"/>
      <c r="V933" s="215"/>
      <c r="W933" s="215"/>
      <c r="X933" s="215"/>
      <c r="AD933" s="196"/>
    </row>
    <row r="934" spans="3:30" s="195" customFormat="1" ht="15">
      <c r="C934" s="215"/>
      <c r="D934" s="215"/>
      <c r="E934" s="215"/>
      <c r="F934" s="215"/>
      <c r="G934" s="215"/>
      <c r="H934" s="215"/>
      <c r="I934" s="215"/>
      <c r="J934" s="215"/>
      <c r="K934" s="215"/>
      <c r="L934" s="215"/>
      <c r="M934" s="215"/>
      <c r="N934" s="215"/>
      <c r="O934" s="215"/>
      <c r="P934" s="215"/>
      <c r="Q934" s="215"/>
      <c r="R934" s="215"/>
      <c r="S934" s="215"/>
      <c r="T934" s="215"/>
      <c r="U934" s="215"/>
      <c r="V934" s="215"/>
      <c r="W934" s="215"/>
      <c r="X934" s="215"/>
      <c r="AD934" s="196"/>
    </row>
    <row r="935" spans="3:30" s="195" customFormat="1" ht="15">
      <c r="C935" s="215"/>
      <c r="D935" s="215"/>
      <c r="E935" s="215"/>
      <c r="F935" s="215"/>
      <c r="G935" s="215"/>
      <c r="H935" s="215"/>
      <c r="I935" s="215"/>
      <c r="J935" s="215"/>
      <c r="K935" s="215"/>
      <c r="L935" s="215"/>
      <c r="M935" s="215"/>
      <c r="N935" s="215"/>
      <c r="O935" s="215"/>
      <c r="P935" s="215"/>
      <c r="Q935" s="215"/>
      <c r="R935" s="215"/>
      <c r="S935" s="215"/>
      <c r="T935" s="215"/>
      <c r="U935" s="215"/>
      <c r="V935" s="215"/>
      <c r="W935" s="215"/>
      <c r="X935" s="215"/>
      <c r="AD935" s="196"/>
    </row>
    <row r="936" spans="3:30" s="195" customFormat="1" ht="15">
      <c r="C936" s="215"/>
      <c r="D936" s="215"/>
      <c r="E936" s="215"/>
      <c r="F936" s="215"/>
      <c r="G936" s="215"/>
      <c r="H936" s="215"/>
      <c r="I936" s="215"/>
      <c r="J936" s="215"/>
      <c r="K936" s="215"/>
      <c r="L936" s="215"/>
      <c r="M936" s="215"/>
      <c r="N936" s="215"/>
      <c r="O936" s="215"/>
      <c r="P936" s="215"/>
      <c r="Q936" s="215"/>
      <c r="R936" s="215"/>
      <c r="S936" s="215"/>
      <c r="T936" s="215"/>
      <c r="U936" s="215"/>
      <c r="V936" s="215"/>
      <c r="W936" s="215"/>
      <c r="X936" s="215"/>
      <c r="AD936" s="196"/>
    </row>
    <row r="937" spans="3:30" s="195" customFormat="1" ht="15">
      <c r="C937" s="215"/>
      <c r="D937" s="215"/>
      <c r="E937" s="215"/>
      <c r="F937" s="215"/>
      <c r="G937" s="215"/>
      <c r="H937" s="215"/>
      <c r="I937" s="215"/>
      <c r="J937" s="215"/>
      <c r="K937" s="215"/>
      <c r="L937" s="215"/>
      <c r="M937" s="215"/>
      <c r="N937" s="215"/>
      <c r="O937" s="215"/>
      <c r="P937" s="215"/>
      <c r="Q937" s="215"/>
      <c r="R937" s="215"/>
      <c r="S937" s="215"/>
      <c r="T937" s="215"/>
      <c r="U937" s="215"/>
      <c r="V937" s="215"/>
      <c r="W937" s="215"/>
      <c r="X937" s="215"/>
      <c r="AD937" s="196"/>
    </row>
    <row r="938" spans="3:30" s="195" customFormat="1" ht="15">
      <c r="C938" s="215"/>
      <c r="D938" s="215"/>
      <c r="E938" s="215"/>
      <c r="F938" s="215"/>
      <c r="G938" s="215"/>
      <c r="H938" s="215"/>
      <c r="I938" s="215"/>
      <c r="J938" s="215"/>
      <c r="K938" s="215"/>
      <c r="L938" s="215"/>
      <c r="M938" s="215"/>
      <c r="N938" s="215"/>
      <c r="O938" s="215"/>
      <c r="P938" s="215"/>
      <c r="Q938" s="215"/>
      <c r="R938" s="215"/>
      <c r="S938" s="215"/>
      <c r="T938" s="215"/>
      <c r="U938" s="215"/>
      <c r="V938" s="215"/>
      <c r="W938" s="215"/>
      <c r="X938" s="215"/>
      <c r="AD938" s="196"/>
    </row>
    <row r="939" spans="3:30" s="195" customFormat="1" ht="15">
      <c r="C939" s="215"/>
      <c r="D939" s="215"/>
      <c r="E939" s="215"/>
      <c r="F939" s="215"/>
      <c r="G939" s="215"/>
      <c r="H939" s="215"/>
      <c r="I939" s="215"/>
      <c r="J939" s="215"/>
      <c r="K939" s="215"/>
      <c r="L939" s="215"/>
      <c r="M939" s="215"/>
      <c r="N939" s="215"/>
      <c r="O939" s="215"/>
      <c r="P939" s="215"/>
      <c r="Q939" s="215"/>
      <c r="R939" s="215"/>
      <c r="S939" s="215"/>
      <c r="T939" s="215"/>
      <c r="U939" s="215"/>
      <c r="V939" s="215"/>
      <c r="W939" s="215"/>
      <c r="X939" s="215"/>
      <c r="AD939" s="196"/>
    </row>
    <row r="940" spans="3:30" s="195" customFormat="1" ht="15">
      <c r="C940" s="215"/>
      <c r="D940" s="215"/>
      <c r="E940" s="215"/>
      <c r="F940" s="215"/>
      <c r="G940" s="215"/>
      <c r="H940" s="215"/>
      <c r="I940" s="215"/>
      <c r="J940" s="215"/>
      <c r="K940" s="215"/>
      <c r="L940" s="215"/>
      <c r="M940" s="215"/>
      <c r="N940" s="215"/>
      <c r="O940" s="215"/>
      <c r="P940" s="215"/>
      <c r="Q940" s="215"/>
      <c r="R940" s="215"/>
      <c r="S940" s="215"/>
      <c r="T940" s="215"/>
      <c r="U940" s="215"/>
      <c r="V940" s="215"/>
      <c r="W940" s="215"/>
      <c r="X940" s="215"/>
      <c r="AD940" s="196"/>
    </row>
    <row r="941" spans="3:30" s="195" customFormat="1" ht="15">
      <c r="C941" s="215"/>
      <c r="D941" s="215"/>
      <c r="E941" s="215"/>
      <c r="F941" s="215"/>
      <c r="G941" s="215"/>
      <c r="H941" s="215"/>
      <c r="I941" s="215"/>
      <c r="J941" s="215"/>
      <c r="K941" s="215"/>
      <c r="L941" s="215"/>
      <c r="M941" s="215"/>
      <c r="N941" s="215"/>
      <c r="O941" s="215"/>
      <c r="P941" s="215"/>
      <c r="Q941" s="215"/>
      <c r="R941" s="215"/>
      <c r="S941" s="215"/>
      <c r="T941" s="215"/>
      <c r="U941" s="215"/>
      <c r="V941" s="215"/>
      <c r="W941" s="215"/>
      <c r="X941" s="215"/>
      <c r="AD941" s="196"/>
    </row>
    <row r="942" spans="3:30" s="195" customFormat="1" ht="15">
      <c r="C942" s="215"/>
      <c r="D942" s="215"/>
      <c r="E942" s="215"/>
      <c r="F942" s="215"/>
      <c r="G942" s="215"/>
      <c r="H942" s="215"/>
      <c r="I942" s="215"/>
      <c r="J942" s="215"/>
      <c r="K942" s="215"/>
      <c r="L942" s="215"/>
      <c r="M942" s="215"/>
      <c r="N942" s="215"/>
      <c r="O942" s="215"/>
      <c r="P942" s="215"/>
      <c r="Q942" s="215"/>
      <c r="R942" s="215"/>
      <c r="S942" s="215"/>
      <c r="T942" s="215"/>
      <c r="U942" s="215"/>
      <c r="V942" s="215"/>
      <c r="W942" s="215"/>
      <c r="X942" s="215"/>
      <c r="AD942" s="196"/>
    </row>
    <row r="943" spans="3:30" s="195" customFormat="1" ht="15">
      <c r="C943" s="215"/>
      <c r="D943" s="215"/>
      <c r="E943" s="215"/>
      <c r="F943" s="215"/>
      <c r="G943" s="215"/>
      <c r="H943" s="215"/>
      <c r="I943" s="215"/>
      <c r="J943" s="215"/>
      <c r="K943" s="215"/>
      <c r="L943" s="215"/>
      <c r="M943" s="215"/>
      <c r="N943" s="215"/>
      <c r="O943" s="215"/>
      <c r="P943" s="215"/>
      <c r="Q943" s="215"/>
      <c r="R943" s="215"/>
      <c r="S943" s="215"/>
      <c r="T943" s="215"/>
      <c r="U943" s="215"/>
      <c r="V943" s="215"/>
      <c r="W943" s="215"/>
      <c r="X943" s="215"/>
      <c r="AD943" s="196"/>
    </row>
    <row r="944" spans="3:30" s="195" customFormat="1" ht="15">
      <c r="C944" s="215"/>
      <c r="D944" s="215"/>
      <c r="E944" s="215"/>
      <c r="F944" s="215"/>
      <c r="G944" s="215"/>
      <c r="H944" s="215"/>
      <c r="I944" s="215"/>
      <c r="J944" s="215"/>
      <c r="K944" s="215"/>
      <c r="L944" s="215"/>
      <c r="M944" s="215"/>
      <c r="N944" s="215"/>
      <c r="O944" s="215"/>
      <c r="P944" s="215"/>
      <c r="Q944" s="215"/>
      <c r="R944" s="215"/>
      <c r="S944" s="215"/>
      <c r="T944" s="215"/>
      <c r="U944" s="215"/>
      <c r="V944" s="215"/>
      <c r="W944" s="215"/>
      <c r="X944" s="215"/>
      <c r="AD944" s="196"/>
    </row>
    <row r="945" spans="3:30" s="195" customFormat="1" ht="15">
      <c r="C945" s="215"/>
      <c r="D945" s="215"/>
      <c r="E945" s="215"/>
      <c r="F945" s="215"/>
      <c r="G945" s="215"/>
      <c r="H945" s="215"/>
      <c r="I945" s="215"/>
      <c r="J945" s="215"/>
      <c r="K945" s="215"/>
      <c r="L945" s="215"/>
      <c r="M945" s="215"/>
      <c r="N945" s="215"/>
      <c r="O945" s="215"/>
      <c r="P945" s="215"/>
      <c r="Q945" s="215"/>
      <c r="R945" s="215"/>
      <c r="S945" s="215"/>
      <c r="T945" s="215"/>
      <c r="U945" s="215"/>
      <c r="V945" s="215"/>
      <c r="W945" s="215"/>
      <c r="X945" s="215"/>
      <c r="AD945" s="196"/>
    </row>
    <row r="946" spans="3:30" s="195" customFormat="1" ht="15">
      <c r="C946" s="215"/>
      <c r="D946" s="215"/>
      <c r="E946" s="215"/>
      <c r="F946" s="215"/>
      <c r="G946" s="215"/>
      <c r="H946" s="215"/>
      <c r="I946" s="215"/>
      <c r="J946" s="215"/>
      <c r="K946" s="215"/>
      <c r="L946" s="215"/>
      <c r="M946" s="215"/>
      <c r="N946" s="215"/>
      <c r="O946" s="215"/>
      <c r="P946" s="215"/>
      <c r="Q946" s="215"/>
      <c r="R946" s="215"/>
      <c r="S946" s="215"/>
      <c r="T946" s="215"/>
      <c r="U946" s="215"/>
      <c r="V946" s="215"/>
      <c r="W946" s="215"/>
      <c r="X946" s="215"/>
      <c r="AD946" s="196"/>
    </row>
    <row r="947" spans="3:30" s="195" customFormat="1" ht="15">
      <c r="C947" s="215"/>
      <c r="D947" s="215"/>
      <c r="E947" s="215"/>
      <c r="F947" s="215"/>
      <c r="G947" s="215"/>
      <c r="H947" s="215"/>
      <c r="I947" s="215"/>
      <c r="J947" s="215"/>
      <c r="K947" s="215"/>
      <c r="L947" s="215"/>
      <c r="M947" s="215"/>
      <c r="N947" s="215"/>
      <c r="O947" s="215"/>
      <c r="P947" s="215"/>
      <c r="Q947" s="215"/>
      <c r="R947" s="215"/>
      <c r="S947" s="215"/>
      <c r="T947" s="215"/>
      <c r="U947" s="215"/>
      <c r="V947" s="215"/>
      <c r="W947" s="215"/>
      <c r="X947" s="215"/>
      <c r="AD947" s="196"/>
    </row>
    <row r="948" spans="3:30" s="195" customFormat="1" ht="15">
      <c r="C948" s="215"/>
      <c r="D948" s="215"/>
      <c r="E948" s="215"/>
      <c r="F948" s="215"/>
      <c r="G948" s="215"/>
      <c r="H948" s="215"/>
      <c r="I948" s="215"/>
      <c r="J948" s="215"/>
      <c r="K948" s="215"/>
      <c r="L948" s="215"/>
      <c r="M948" s="215"/>
      <c r="N948" s="215"/>
      <c r="O948" s="215"/>
      <c r="P948" s="215"/>
      <c r="Q948" s="215"/>
      <c r="R948" s="215"/>
      <c r="S948" s="215"/>
      <c r="T948" s="215"/>
      <c r="U948" s="215"/>
      <c r="V948" s="215"/>
      <c r="W948" s="215"/>
      <c r="X948" s="215"/>
      <c r="AD948" s="196"/>
    </row>
    <row r="949" spans="3:30" s="195" customFormat="1" ht="15">
      <c r="C949" s="215"/>
      <c r="D949" s="215"/>
      <c r="E949" s="215"/>
      <c r="F949" s="215"/>
      <c r="G949" s="215"/>
      <c r="H949" s="215"/>
      <c r="I949" s="215"/>
      <c r="J949" s="215"/>
      <c r="K949" s="215"/>
      <c r="L949" s="215"/>
      <c r="M949" s="215"/>
      <c r="N949" s="215"/>
      <c r="O949" s="215"/>
      <c r="P949" s="215"/>
      <c r="Q949" s="215"/>
      <c r="R949" s="215"/>
      <c r="S949" s="215"/>
      <c r="T949" s="215"/>
      <c r="U949" s="215"/>
      <c r="V949" s="215"/>
      <c r="W949" s="215"/>
      <c r="X949" s="215"/>
      <c r="AD949" s="196"/>
    </row>
    <row r="950" spans="3:30" s="195" customFormat="1" ht="15">
      <c r="C950" s="215"/>
      <c r="D950" s="215"/>
      <c r="E950" s="215"/>
      <c r="F950" s="215"/>
      <c r="G950" s="215"/>
      <c r="H950" s="215"/>
      <c r="I950" s="215"/>
      <c r="J950" s="215"/>
      <c r="K950" s="215"/>
      <c r="L950" s="215"/>
      <c r="M950" s="215"/>
      <c r="N950" s="215"/>
      <c r="O950" s="215"/>
      <c r="P950" s="215"/>
      <c r="Q950" s="215"/>
      <c r="R950" s="215"/>
      <c r="S950" s="215"/>
      <c r="T950" s="215"/>
      <c r="U950" s="215"/>
      <c r="V950" s="215"/>
      <c r="W950" s="215"/>
      <c r="X950" s="215"/>
      <c r="AD950" s="196"/>
    </row>
    <row r="951" spans="3:30" s="195" customFormat="1" ht="15">
      <c r="C951" s="215"/>
      <c r="D951" s="215"/>
      <c r="E951" s="215"/>
      <c r="F951" s="215"/>
      <c r="G951" s="215"/>
      <c r="H951" s="215"/>
      <c r="I951" s="215"/>
      <c r="J951" s="215"/>
      <c r="K951" s="215"/>
      <c r="L951" s="215"/>
      <c r="M951" s="215"/>
      <c r="N951" s="215"/>
      <c r="O951" s="215"/>
      <c r="P951" s="215"/>
      <c r="Q951" s="215"/>
      <c r="R951" s="215"/>
      <c r="S951" s="215"/>
      <c r="T951" s="215"/>
      <c r="U951" s="215"/>
      <c r="V951" s="215"/>
      <c r="W951" s="215"/>
      <c r="X951" s="215"/>
      <c r="AD951" s="196"/>
    </row>
    <row r="952" spans="3:30" s="195" customFormat="1" ht="15">
      <c r="C952" s="215"/>
      <c r="D952" s="215"/>
      <c r="E952" s="215"/>
      <c r="F952" s="215"/>
      <c r="G952" s="215"/>
      <c r="H952" s="215"/>
      <c r="I952" s="215"/>
      <c r="J952" s="215"/>
      <c r="K952" s="215"/>
      <c r="L952" s="215"/>
      <c r="M952" s="215"/>
      <c r="N952" s="215"/>
      <c r="O952" s="215"/>
      <c r="P952" s="215"/>
      <c r="Q952" s="215"/>
      <c r="R952" s="215"/>
      <c r="S952" s="215"/>
      <c r="T952" s="215"/>
      <c r="U952" s="215"/>
      <c r="V952" s="215"/>
      <c r="W952" s="215"/>
      <c r="X952" s="215"/>
      <c r="AD952" s="196"/>
    </row>
    <row r="953" spans="3:30" s="195" customFormat="1" ht="15">
      <c r="C953" s="215"/>
      <c r="D953" s="215"/>
      <c r="E953" s="215"/>
      <c r="F953" s="215"/>
      <c r="G953" s="215"/>
      <c r="H953" s="215"/>
      <c r="I953" s="215"/>
      <c r="J953" s="215"/>
      <c r="K953" s="215"/>
      <c r="L953" s="215"/>
      <c r="M953" s="215"/>
      <c r="N953" s="215"/>
      <c r="O953" s="215"/>
      <c r="P953" s="215"/>
      <c r="Q953" s="215"/>
      <c r="R953" s="215"/>
      <c r="S953" s="215"/>
      <c r="T953" s="215"/>
      <c r="U953" s="215"/>
      <c r="V953" s="215"/>
      <c r="W953" s="215"/>
      <c r="X953" s="215"/>
      <c r="AD953" s="196"/>
    </row>
    <row r="954" spans="3:30" s="195" customFormat="1" ht="15">
      <c r="C954" s="215"/>
      <c r="D954" s="215"/>
      <c r="E954" s="215"/>
      <c r="F954" s="215"/>
      <c r="G954" s="215"/>
      <c r="H954" s="215"/>
      <c r="I954" s="215"/>
      <c r="J954" s="215"/>
      <c r="K954" s="215"/>
      <c r="L954" s="215"/>
      <c r="M954" s="215"/>
      <c r="N954" s="215"/>
      <c r="O954" s="215"/>
      <c r="P954" s="215"/>
      <c r="Q954" s="215"/>
      <c r="R954" s="215"/>
      <c r="S954" s="215"/>
      <c r="T954" s="215"/>
      <c r="U954" s="215"/>
      <c r="V954" s="215"/>
      <c r="W954" s="215"/>
      <c r="X954" s="215"/>
      <c r="AD954" s="196"/>
    </row>
    <row r="955" spans="3:30" s="195" customFormat="1" ht="15">
      <c r="C955" s="215"/>
      <c r="D955" s="215"/>
      <c r="E955" s="215"/>
      <c r="F955" s="215"/>
      <c r="G955" s="215"/>
      <c r="H955" s="215"/>
      <c r="I955" s="215"/>
      <c r="J955" s="215"/>
      <c r="K955" s="215"/>
      <c r="L955" s="215"/>
      <c r="M955" s="215"/>
      <c r="N955" s="215"/>
      <c r="O955" s="215"/>
      <c r="P955" s="215"/>
      <c r="Q955" s="215"/>
      <c r="R955" s="215"/>
      <c r="S955" s="215"/>
      <c r="T955" s="215"/>
      <c r="U955" s="215"/>
      <c r="V955" s="215"/>
      <c r="W955" s="215"/>
      <c r="X955" s="215"/>
      <c r="AD955" s="196"/>
    </row>
    <row r="956" spans="3:30" s="195" customFormat="1" ht="15">
      <c r="C956" s="215"/>
      <c r="D956" s="215"/>
      <c r="E956" s="215"/>
      <c r="F956" s="215"/>
      <c r="G956" s="215"/>
      <c r="H956" s="215"/>
      <c r="I956" s="215"/>
      <c r="J956" s="215"/>
      <c r="K956" s="215"/>
      <c r="L956" s="215"/>
      <c r="M956" s="215"/>
      <c r="N956" s="215"/>
      <c r="O956" s="215"/>
      <c r="P956" s="215"/>
      <c r="Q956" s="215"/>
      <c r="R956" s="215"/>
      <c r="S956" s="215"/>
      <c r="T956" s="215"/>
      <c r="U956" s="215"/>
      <c r="V956" s="215"/>
      <c r="W956" s="215"/>
      <c r="X956" s="215"/>
      <c r="AD956" s="196"/>
    </row>
    <row r="957" spans="3:30" s="195" customFormat="1" ht="15">
      <c r="C957" s="215"/>
      <c r="D957" s="215"/>
      <c r="E957" s="215"/>
      <c r="F957" s="215"/>
      <c r="G957" s="215"/>
      <c r="H957" s="215"/>
      <c r="I957" s="215"/>
      <c r="J957" s="215"/>
      <c r="K957" s="215"/>
      <c r="L957" s="215"/>
      <c r="M957" s="215"/>
      <c r="N957" s="215"/>
      <c r="O957" s="215"/>
      <c r="P957" s="215"/>
      <c r="Q957" s="215"/>
      <c r="R957" s="215"/>
      <c r="S957" s="215"/>
      <c r="T957" s="215"/>
      <c r="U957" s="215"/>
      <c r="V957" s="215"/>
      <c r="W957" s="215"/>
      <c r="X957" s="215"/>
      <c r="AD957" s="196"/>
    </row>
    <row r="958" spans="3:30" s="195" customFormat="1" ht="15">
      <c r="C958" s="215"/>
      <c r="D958" s="215"/>
      <c r="E958" s="215"/>
      <c r="F958" s="215"/>
      <c r="G958" s="215"/>
      <c r="H958" s="215"/>
      <c r="I958" s="215"/>
      <c r="J958" s="215"/>
      <c r="K958" s="215"/>
      <c r="L958" s="215"/>
      <c r="M958" s="215"/>
      <c r="N958" s="215"/>
      <c r="O958" s="215"/>
      <c r="P958" s="215"/>
      <c r="Q958" s="215"/>
      <c r="R958" s="215"/>
      <c r="S958" s="215"/>
      <c r="T958" s="215"/>
      <c r="U958" s="215"/>
      <c r="V958" s="215"/>
      <c r="W958" s="215"/>
      <c r="X958" s="215"/>
      <c r="AD958" s="196"/>
    </row>
    <row r="959" spans="3:30" s="195" customFormat="1" ht="15">
      <c r="C959" s="215"/>
      <c r="D959" s="215"/>
      <c r="E959" s="215"/>
      <c r="F959" s="215"/>
      <c r="G959" s="215"/>
      <c r="H959" s="215"/>
      <c r="I959" s="215"/>
      <c r="J959" s="215"/>
      <c r="K959" s="215"/>
      <c r="L959" s="215"/>
      <c r="M959" s="215"/>
      <c r="N959" s="215"/>
      <c r="O959" s="215"/>
      <c r="P959" s="215"/>
      <c r="Q959" s="215"/>
      <c r="R959" s="215"/>
      <c r="S959" s="215"/>
      <c r="T959" s="215"/>
      <c r="U959" s="215"/>
      <c r="V959" s="215"/>
      <c r="W959" s="215"/>
      <c r="X959" s="215"/>
      <c r="AD959" s="196"/>
    </row>
    <row r="960" spans="3:30" s="195" customFormat="1" ht="15">
      <c r="C960" s="215"/>
      <c r="D960" s="215"/>
      <c r="E960" s="215"/>
      <c r="F960" s="215"/>
      <c r="G960" s="215"/>
      <c r="H960" s="215"/>
      <c r="I960" s="215"/>
      <c r="J960" s="215"/>
      <c r="K960" s="215"/>
      <c r="L960" s="215"/>
      <c r="M960" s="215"/>
      <c r="N960" s="215"/>
      <c r="O960" s="215"/>
      <c r="P960" s="215"/>
      <c r="Q960" s="215"/>
      <c r="R960" s="215"/>
      <c r="S960" s="215"/>
      <c r="T960" s="215"/>
      <c r="U960" s="215"/>
      <c r="V960" s="215"/>
      <c r="W960" s="215"/>
      <c r="X960" s="215"/>
      <c r="AD960" s="196"/>
    </row>
    <row r="961" spans="3:30" s="195" customFormat="1" ht="15">
      <c r="C961" s="215"/>
      <c r="D961" s="215"/>
      <c r="E961" s="215"/>
      <c r="F961" s="215"/>
      <c r="G961" s="215"/>
      <c r="H961" s="215"/>
      <c r="I961" s="215"/>
      <c r="J961" s="215"/>
      <c r="K961" s="215"/>
      <c r="L961" s="215"/>
      <c r="M961" s="215"/>
      <c r="N961" s="215"/>
      <c r="O961" s="215"/>
      <c r="P961" s="215"/>
      <c r="Q961" s="215"/>
      <c r="R961" s="215"/>
      <c r="S961" s="215"/>
      <c r="T961" s="215"/>
      <c r="U961" s="215"/>
      <c r="V961" s="215"/>
      <c r="W961" s="215"/>
      <c r="X961" s="215"/>
      <c r="AD961" s="196"/>
    </row>
    <row r="962" spans="3:30" s="195" customFormat="1" ht="15">
      <c r="C962" s="215"/>
      <c r="D962" s="215"/>
      <c r="E962" s="215"/>
      <c r="F962" s="215"/>
      <c r="G962" s="215"/>
      <c r="H962" s="215"/>
      <c r="I962" s="215"/>
      <c r="J962" s="215"/>
      <c r="K962" s="215"/>
      <c r="L962" s="215"/>
      <c r="M962" s="215"/>
      <c r="N962" s="215"/>
      <c r="O962" s="215"/>
      <c r="P962" s="215"/>
      <c r="Q962" s="215"/>
      <c r="R962" s="215"/>
      <c r="S962" s="215"/>
      <c r="T962" s="215"/>
      <c r="U962" s="215"/>
      <c r="V962" s="215"/>
      <c r="W962" s="215"/>
      <c r="X962" s="215"/>
      <c r="AD962" s="196"/>
    </row>
    <row r="963" spans="3:30" s="195" customFormat="1" ht="15">
      <c r="C963" s="215"/>
      <c r="D963" s="215"/>
      <c r="E963" s="215"/>
      <c r="F963" s="215"/>
      <c r="G963" s="215"/>
      <c r="H963" s="215"/>
      <c r="I963" s="215"/>
      <c r="J963" s="215"/>
      <c r="K963" s="215"/>
      <c r="L963" s="215"/>
      <c r="M963" s="215"/>
      <c r="N963" s="215"/>
      <c r="O963" s="215"/>
      <c r="P963" s="215"/>
      <c r="Q963" s="215"/>
      <c r="R963" s="215"/>
      <c r="S963" s="215"/>
      <c r="T963" s="215"/>
      <c r="U963" s="215"/>
      <c r="V963" s="215"/>
      <c r="W963" s="215"/>
      <c r="X963" s="215"/>
      <c r="AD963" s="196"/>
    </row>
    <row r="964" spans="3:30" s="195" customFormat="1" ht="15">
      <c r="C964" s="215"/>
      <c r="D964" s="215"/>
      <c r="E964" s="215"/>
      <c r="F964" s="215"/>
      <c r="G964" s="215"/>
      <c r="H964" s="215"/>
      <c r="I964" s="215"/>
      <c r="J964" s="215"/>
      <c r="K964" s="215"/>
      <c r="L964" s="215"/>
      <c r="M964" s="215"/>
      <c r="N964" s="215"/>
      <c r="O964" s="215"/>
      <c r="P964" s="215"/>
      <c r="Q964" s="215"/>
      <c r="R964" s="215"/>
      <c r="S964" s="215"/>
      <c r="T964" s="215"/>
      <c r="U964" s="215"/>
      <c r="V964" s="215"/>
      <c r="W964" s="215"/>
      <c r="X964" s="215"/>
      <c r="AD964" s="196"/>
    </row>
    <row r="965" spans="3:30" s="195" customFormat="1" ht="15">
      <c r="C965" s="215"/>
      <c r="D965" s="215"/>
      <c r="E965" s="215"/>
      <c r="F965" s="215"/>
      <c r="G965" s="215"/>
      <c r="H965" s="215"/>
      <c r="I965" s="215"/>
      <c r="J965" s="215"/>
      <c r="K965" s="215"/>
      <c r="L965" s="215"/>
      <c r="M965" s="215"/>
      <c r="N965" s="215"/>
      <c r="O965" s="215"/>
      <c r="P965" s="215"/>
      <c r="Q965" s="215"/>
      <c r="R965" s="215"/>
      <c r="S965" s="215"/>
      <c r="T965" s="215"/>
      <c r="U965" s="215"/>
      <c r="V965" s="215"/>
      <c r="W965" s="215"/>
      <c r="X965" s="215"/>
      <c r="AD965" s="196"/>
    </row>
    <row r="966" spans="3:30" s="195" customFormat="1" ht="15">
      <c r="C966" s="215"/>
      <c r="D966" s="215"/>
      <c r="E966" s="215"/>
      <c r="F966" s="215"/>
      <c r="G966" s="215"/>
      <c r="H966" s="215"/>
      <c r="I966" s="215"/>
      <c r="J966" s="215"/>
      <c r="K966" s="215"/>
      <c r="L966" s="215"/>
      <c r="M966" s="215"/>
      <c r="N966" s="215"/>
      <c r="O966" s="215"/>
      <c r="P966" s="215"/>
      <c r="Q966" s="215"/>
      <c r="R966" s="215"/>
      <c r="S966" s="215"/>
      <c r="T966" s="215"/>
      <c r="U966" s="215"/>
      <c r="V966" s="215"/>
      <c r="W966" s="215"/>
      <c r="X966" s="215"/>
      <c r="AD966" s="196"/>
    </row>
    <row r="967" spans="3:30" s="195" customFormat="1" ht="15">
      <c r="C967" s="215"/>
      <c r="D967" s="215"/>
      <c r="E967" s="215"/>
      <c r="F967" s="215"/>
      <c r="G967" s="215"/>
      <c r="H967" s="215"/>
      <c r="I967" s="215"/>
      <c r="J967" s="215"/>
      <c r="K967" s="215"/>
      <c r="L967" s="215"/>
      <c r="M967" s="215"/>
      <c r="N967" s="215"/>
      <c r="O967" s="215"/>
      <c r="P967" s="215"/>
      <c r="Q967" s="215"/>
      <c r="R967" s="215"/>
      <c r="S967" s="215"/>
      <c r="T967" s="215"/>
      <c r="U967" s="215"/>
      <c r="V967" s="215"/>
      <c r="W967" s="215"/>
      <c r="X967" s="215"/>
      <c r="AD967" s="196"/>
    </row>
    <row r="968" spans="3:30" s="195" customFormat="1" ht="15">
      <c r="C968" s="215"/>
      <c r="D968" s="215"/>
      <c r="E968" s="215"/>
      <c r="F968" s="215"/>
      <c r="G968" s="215"/>
      <c r="H968" s="215"/>
      <c r="I968" s="215"/>
      <c r="J968" s="215"/>
      <c r="K968" s="215"/>
      <c r="L968" s="215"/>
      <c r="M968" s="215"/>
      <c r="N968" s="215"/>
      <c r="O968" s="215"/>
      <c r="P968" s="215"/>
      <c r="Q968" s="215"/>
      <c r="R968" s="215"/>
      <c r="S968" s="215"/>
      <c r="T968" s="215"/>
      <c r="U968" s="215"/>
      <c r="V968" s="215"/>
      <c r="W968" s="215"/>
      <c r="X968" s="215"/>
      <c r="AD968" s="196"/>
    </row>
    <row r="969" spans="3:30" s="195" customFormat="1" ht="15">
      <c r="C969" s="215"/>
      <c r="D969" s="215"/>
      <c r="E969" s="215"/>
      <c r="F969" s="215"/>
      <c r="G969" s="215"/>
      <c r="H969" s="215"/>
      <c r="I969" s="215"/>
      <c r="J969" s="215"/>
      <c r="K969" s="215"/>
      <c r="L969" s="215"/>
      <c r="M969" s="215"/>
      <c r="N969" s="215"/>
      <c r="O969" s="215"/>
      <c r="P969" s="215"/>
      <c r="Q969" s="215"/>
      <c r="R969" s="215"/>
      <c r="S969" s="215"/>
      <c r="T969" s="215"/>
      <c r="U969" s="215"/>
      <c r="V969" s="215"/>
      <c r="W969" s="215"/>
      <c r="X969" s="215"/>
      <c r="AD969" s="196"/>
    </row>
    <row r="970" spans="3:30" s="195" customFormat="1" ht="15">
      <c r="C970" s="215"/>
      <c r="D970" s="215"/>
      <c r="E970" s="215"/>
      <c r="F970" s="215"/>
      <c r="G970" s="215"/>
      <c r="H970" s="215"/>
      <c r="I970" s="215"/>
      <c r="J970" s="215"/>
      <c r="K970" s="215"/>
      <c r="L970" s="215"/>
      <c r="M970" s="215"/>
      <c r="N970" s="215"/>
      <c r="O970" s="215"/>
      <c r="P970" s="215"/>
      <c r="Q970" s="215"/>
      <c r="R970" s="215"/>
      <c r="S970" s="215"/>
      <c r="T970" s="215"/>
      <c r="U970" s="215"/>
      <c r="V970" s="215"/>
      <c r="W970" s="215"/>
      <c r="X970" s="215"/>
      <c r="AD970" s="196"/>
    </row>
    <row r="971" spans="3:30" s="195" customFormat="1" ht="15">
      <c r="C971" s="215"/>
      <c r="D971" s="215"/>
      <c r="E971" s="215"/>
      <c r="F971" s="215"/>
      <c r="G971" s="215"/>
      <c r="H971" s="215"/>
      <c r="I971" s="215"/>
      <c r="J971" s="215"/>
      <c r="K971" s="215"/>
      <c r="L971" s="215"/>
      <c r="M971" s="215"/>
      <c r="N971" s="215"/>
      <c r="O971" s="215"/>
      <c r="P971" s="215"/>
      <c r="Q971" s="215"/>
      <c r="R971" s="215"/>
      <c r="S971" s="215"/>
      <c r="T971" s="215"/>
      <c r="U971" s="215"/>
      <c r="V971" s="215"/>
      <c r="W971" s="215"/>
      <c r="X971" s="215"/>
      <c r="AD971" s="196"/>
    </row>
    <row r="972" spans="3:30" s="195" customFormat="1" ht="15">
      <c r="C972" s="215"/>
      <c r="D972" s="215"/>
      <c r="E972" s="215"/>
      <c r="F972" s="215"/>
      <c r="G972" s="215"/>
      <c r="H972" s="215"/>
      <c r="I972" s="215"/>
      <c r="J972" s="215"/>
      <c r="K972" s="215"/>
      <c r="L972" s="215"/>
      <c r="M972" s="215"/>
      <c r="N972" s="215"/>
      <c r="O972" s="215"/>
      <c r="P972" s="215"/>
      <c r="Q972" s="215"/>
      <c r="R972" s="215"/>
      <c r="S972" s="215"/>
      <c r="T972" s="215"/>
      <c r="U972" s="215"/>
      <c r="V972" s="215"/>
      <c r="W972" s="215"/>
      <c r="X972" s="215"/>
      <c r="AD972" s="196"/>
    </row>
    <row r="973" spans="3:30" s="195" customFormat="1" ht="15">
      <c r="C973" s="215"/>
      <c r="D973" s="215"/>
      <c r="E973" s="215"/>
      <c r="F973" s="215"/>
      <c r="G973" s="215"/>
      <c r="H973" s="215"/>
      <c r="I973" s="215"/>
      <c r="J973" s="215"/>
      <c r="K973" s="215"/>
      <c r="L973" s="215"/>
      <c r="M973" s="215"/>
      <c r="N973" s="215"/>
      <c r="O973" s="215"/>
      <c r="P973" s="215"/>
      <c r="Q973" s="215"/>
      <c r="R973" s="215"/>
      <c r="S973" s="215"/>
      <c r="T973" s="215"/>
      <c r="U973" s="215"/>
      <c r="V973" s="215"/>
      <c r="W973" s="215"/>
      <c r="X973" s="215"/>
      <c r="AD973" s="196"/>
    </row>
    <row r="974" spans="3:30" s="195" customFormat="1" ht="15">
      <c r="C974" s="215"/>
      <c r="D974" s="215"/>
      <c r="E974" s="215"/>
      <c r="F974" s="215"/>
      <c r="G974" s="215"/>
      <c r="H974" s="215"/>
      <c r="I974" s="215"/>
      <c r="J974" s="215"/>
      <c r="K974" s="215"/>
      <c r="L974" s="215"/>
      <c r="M974" s="215"/>
      <c r="N974" s="215"/>
      <c r="O974" s="215"/>
      <c r="P974" s="215"/>
      <c r="Q974" s="215"/>
      <c r="R974" s="215"/>
      <c r="S974" s="215"/>
      <c r="T974" s="215"/>
      <c r="U974" s="215"/>
      <c r="V974" s="215"/>
      <c r="W974" s="215"/>
      <c r="X974" s="215"/>
      <c r="AD974" s="196"/>
    </row>
    <row r="975" spans="3:30" s="195" customFormat="1" ht="15">
      <c r="C975" s="215"/>
      <c r="D975" s="215"/>
      <c r="E975" s="215"/>
      <c r="F975" s="215"/>
      <c r="G975" s="215"/>
      <c r="H975" s="215"/>
      <c r="I975" s="215"/>
      <c r="J975" s="215"/>
      <c r="K975" s="215"/>
      <c r="L975" s="215"/>
      <c r="M975" s="215"/>
      <c r="N975" s="215"/>
      <c r="O975" s="215"/>
      <c r="P975" s="215"/>
      <c r="Q975" s="215"/>
      <c r="R975" s="215"/>
      <c r="S975" s="215"/>
      <c r="T975" s="215"/>
      <c r="U975" s="215"/>
      <c r="V975" s="215"/>
      <c r="W975" s="215"/>
      <c r="X975" s="215"/>
      <c r="AD975" s="196"/>
    </row>
    <row r="976" spans="3:30" s="195" customFormat="1" ht="15">
      <c r="C976" s="215"/>
      <c r="D976" s="215"/>
      <c r="E976" s="215"/>
      <c r="F976" s="215"/>
      <c r="G976" s="215"/>
      <c r="H976" s="215"/>
      <c r="I976" s="215"/>
      <c r="J976" s="215"/>
      <c r="K976" s="215"/>
      <c r="L976" s="215"/>
      <c r="M976" s="215"/>
      <c r="N976" s="215"/>
      <c r="O976" s="215"/>
      <c r="P976" s="215"/>
      <c r="Q976" s="215"/>
      <c r="R976" s="215"/>
      <c r="S976" s="215"/>
      <c r="T976" s="215"/>
      <c r="U976" s="215"/>
      <c r="V976" s="215"/>
      <c r="W976" s="215"/>
      <c r="X976" s="215"/>
      <c r="AD976" s="196"/>
    </row>
    <row r="977" spans="3:30" s="195" customFormat="1" ht="15">
      <c r="C977" s="215"/>
      <c r="D977" s="215"/>
      <c r="E977" s="215"/>
      <c r="F977" s="215"/>
      <c r="G977" s="215"/>
      <c r="H977" s="215"/>
      <c r="I977" s="215"/>
      <c r="J977" s="215"/>
      <c r="K977" s="215"/>
      <c r="L977" s="215"/>
      <c r="M977" s="215"/>
      <c r="N977" s="215"/>
      <c r="O977" s="215"/>
      <c r="P977" s="215"/>
      <c r="Q977" s="215"/>
      <c r="R977" s="215"/>
      <c r="S977" s="215"/>
      <c r="T977" s="215"/>
      <c r="U977" s="215"/>
      <c r="V977" s="215"/>
      <c r="W977" s="215"/>
      <c r="X977" s="215"/>
      <c r="AD977" s="196"/>
    </row>
    <row r="978" spans="3:30" s="195" customFormat="1" ht="15">
      <c r="C978" s="215"/>
      <c r="D978" s="215"/>
      <c r="E978" s="215"/>
      <c r="F978" s="215"/>
      <c r="G978" s="215"/>
      <c r="H978" s="215"/>
      <c r="I978" s="215"/>
      <c r="J978" s="215"/>
      <c r="K978" s="215"/>
      <c r="L978" s="215"/>
      <c r="M978" s="215"/>
      <c r="N978" s="215"/>
      <c r="O978" s="215"/>
      <c r="P978" s="215"/>
      <c r="Q978" s="215"/>
      <c r="R978" s="215"/>
      <c r="S978" s="215"/>
      <c r="T978" s="215"/>
      <c r="U978" s="215"/>
      <c r="V978" s="215"/>
      <c r="W978" s="215"/>
      <c r="X978" s="215"/>
      <c r="AD978" s="196"/>
    </row>
    <row r="979" spans="3:30" s="195" customFormat="1" ht="15">
      <c r="C979" s="215"/>
      <c r="D979" s="215"/>
      <c r="E979" s="215"/>
      <c r="F979" s="215"/>
      <c r="G979" s="215"/>
      <c r="H979" s="215"/>
      <c r="I979" s="215"/>
      <c r="J979" s="215"/>
      <c r="K979" s="215"/>
      <c r="L979" s="215"/>
      <c r="M979" s="215"/>
      <c r="N979" s="215"/>
      <c r="O979" s="215"/>
      <c r="P979" s="215"/>
      <c r="Q979" s="215"/>
      <c r="R979" s="215"/>
      <c r="S979" s="215"/>
      <c r="T979" s="215"/>
      <c r="U979" s="215"/>
      <c r="V979" s="215"/>
      <c r="W979" s="215"/>
      <c r="X979" s="215"/>
      <c r="AD979" s="196"/>
    </row>
    <row r="980" spans="3:30" s="195" customFormat="1" ht="15">
      <c r="C980" s="215"/>
      <c r="D980" s="215"/>
      <c r="E980" s="215"/>
      <c r="F980" s="215"/>
      <c r="G980" s="215"/>
      <c r="H980" s="215"/>
      <c r="I980" s="215"/>
      <c r="J980" s="215"/>
      <c r="K980" s="215"/>
      <c r="L980" s="215"/>
      <c r="M980" s="215"/>
      <c r="N980" s="215"/>
      <c r="O980" s="215"/>
      <c r="P980" s="215"/>
      <c r="Q980" s="215"/>
      <c r="R980" s="215"/>
      <c r="S980" s="215"/>
      <c r="T980" s="215"/>
      <c r="U980" s="215"/>
      <c r="V980" s="215"/>
      <c r="W980" s="215"/>
      <c r="X980" s="215"/>
      <c r="AD980" s="196"/>
    </row>
    <row r="981" spans="3:30" s="195" customFormat="1" ht="15">
      <c r="C981" s="215"/>
      <c r="D981" s="215"/>
      <c r="E981" s="215"/>
      <c r="F981" s="215"/>
      <c r="G981" s="215"/>
      <c r="H981" s="215"/>
      <c r="I981" s="215"/>
      <c r="J981" s="215"/>
      <c r="K981" s="215"/>
      <c r="L981" s="215"/>
      <c r="M981" s="215"/>
      <c r="N981" s="215"/>
      <c r="O981" s="215"/>
      <c r="P981" s="215"/>
      <c r="Q981" s="215"/>
      <c r="R981" s="215"/>
      <c r="S981" s="215"/>
      <c r="T981" s="215"/>
      <c r="U981" s="215"/>
      <c r="V981" s="215"/>
      <c r="W981" s="215"/>
      <c r="X981" s="215"/>
      <c r="AD981" s="196"/>
    </row>
    <row r="982" spans="3:30" s="195" customFormat="1" ht="15">
      <c r="C982" s="215"/>
      <c r="D982" s="215"/>
      <c r="E982" s="215"/>
      <c r="F982" s="215"/>
      <c r="G982" s="215"/>
      <c r="H982" s="215"/>
      <c r="I982" s="215"/>
      <c r="J982" s="215"/>
      <c r="K982" s="215"/>
      <c r="L982" s="215"/>
      <c r="M982" s="215"/>
      <c r="N982" s="215"/>
      <c r="O982" s="215"/>
      <c r="P982" s="215"/>
      <c r="Q982" s="215"/>
      <c r="R982" s="215"/>
      <c r="S982" s="215"/>
      <c r="T982" s="215"/>
      <c r="U982" s="215"/>
      <c r="V982" s="215"/>
      <c r="W982" s="215"/>
      <c r="X982" s="215"/>
      <c r="AD982" s="196"/>
    </row>
    <row r="983" spans="3:30" s="195" customFormat="1" ht="15">
      <c r="C983" s="215"/>
      <c r="D983" s="215"/>
      <c r="E983" s="215"/>
      <c r="F983" s="215"/>
      <c r="G983" s="215"/>
      <c r="H983" s="215"/>
      <c r="I983" s="215"/>
      <c r="J983" s="215"/>
      <c r="K983" s="215"/>
      <c r="L983" s="215"/>
      <c r="M983" s="215"/>
      <c r="N983" s="215"/>
      <c r="O983" s="215"/>
      <c r="P983" s="215"/>
      <c r="Q983" s="215"/>
      <c r="R983" s="215"/>
      <c r="S983" s="215"/>
      <c r="T983" s="215"/>
      <c r="U983" s="215"/>
      <c r="V983" s="215"/>
      <c r="W983" s="215"/>
      <c r="X983" s="215"/>
      <c r="AD983" s="196"/>
    </row>
    <row r="984" spans="3:30" s="195" customFormat="1" ht="15">
      <c r="C984" s="215"/>
      <c r="D984" s="215"/>
      <c r="E984" s="215"/>
      <c r="F984" s="215"/>
      <c r="G984" s="215"/>
      <c r="H984" s="215"/>
      <c r="I984" s="215"/>
      <c r="J984" s="215"/>
      <c r="K984" s="215"/>
      <c r="L984" s="215"/>
      <c r="M984" s="215"/>
      <c r="N984" s="215"/>
      <c r="O984" s="215"/>
      <c r="P984" s="215"/>
      <c r="Q984" s="215"/>
      <c r="R984" s="215"/>
      <c r="S984" s="215"/>
      <c r="T984" s="215"/>
      <c r="U984" s="215"/>
      <c r="V984" s="215"/>
      <c r="W984" s="215"/>
      <c r="X984" s="215"/>
      <c r="AD984" s="196"/>
    </row>
    <row r="985" spans="3:30" s="195" customFormat="1" ht="15">
      <c r="C985" s="215"/>
      <c r="D985" s="215"/>
      <c r="E985" s="215"/>
      <c r="F985" s="215"/>
      <c r="G985" s="215"/>
      <c r="H985" s="215"/>
      <c r="I985" s="215"/>
      <c r="J985" s="215"/>
      <c r="K985" s="215"/>
      <c r="L985" s="215"/>
      <c r="M985" s="215"/>
      <c r="N985" s="215"/>
      <c r="O985" s="215"/>
      <c r="P985" s="215"/>
      <c r="Q985" s="215"/>
      <c r="R985" s="215"/>
      <c r="S985" s="215"/>
      <c r="T985" s="215"/>
      <c r="U985" s="215"/>
      <c r="V985" s="215"/>
      <c r="W985" s="215"/>
      <c r="X985" s="215"/>
      <c r="AD985" s="196"/>
    </row>
    <row r="986" spans="3:30" s="195" customFormat="1" ht="15">
      <c r="C986" s="215"/>
      <c r="D986" s="215"/>
      <c r="E986" s="215"/>
      <c r="F986" s="215"/>
      <c r="G986" s="215"/>
      <c r="H986" s="215"/>
      <c r="I986" s="215"/>
      <c r="J986" s="215"/>
      <c r="K986" s="215"/>
      <c r="L986" s="215"/>
      <c r="M986" s="215"/>
      <c r="N986" s="215"/>
      <c r="O986" s="215"/>
      <c r="P986" s="215"/>
      <c r="Q986" s="215"/>
      <c r="R986" s="215"/>
      <c r="S986" s="215"/>
      <c r="T986" s="215"/>
      <c r="U986" s="215"/>
      <c r="V986" s="215"/>
      <c r="W986" s="215"/>
      <c r="X986" s="215"/>
      <c r="AD986" s="196"/>
    </row>
    <row r="987" spans="3:30" s="195" customFormat="1" ht="15">
      <c r="C987" s="215"/>
      <c r="D987" s="215"/>
      <c r="E987" s="215"/>
      <c r="F987" s="215"/>
      <c r="G987" s="215"/>
      <c r="H987" s="215"/>
      <c r="I987" s="215"/>
      <c r="J987" s="215"/>
      <c r="K987" s="215"/>
      <c r="L987" s="215"/>
      <c r="M987" s="215"/>
      <c r="N987" s="215"/>
      <c r="O987" s="215"/>
      <c r="P987" s="215"/>
      <c r="Q987" s="215"/>
      <c r="R987" s="215"/>
      <c r="S987" s="215"/>
      <c r="T987" s="215"/>
      <c r="U987" s="215"/>
      <c r="V987" s="215"/>
      <c r="W987" s="215"/>
      <c r="X987" s="215"/>
      <c r="AD987" s="196"/>
    </row>
    <row r="988" spans="3:30" s="195" customFormat="1" ht="15">
      <c r="C988" s="215"/>
      <c r="D988" s="215"/>
      <c r="E988" s="215"/>
      <c r="F988" s="215"/>
      <c r="G988" s="215"/>
      <c r="H988" s="215"/>
      <c r="I988" s="215"/>
      <c r="J988" s="215"/>
      <c r="K988" s="215"/>
      <c r="L988" s="215"/>
      <c r="M988" s="215"/>
      <c r="N988" s="215"/>
      <c r="O988" s="215"/>
      <c r="P988" s="215"/>
      <c r="Q988" s="215"/>
      <c r="R988" s="215"/>
      <c r="S988" s="215"/>
      <c r="T988" s="215"/>
      <c r="U988" s="215"/>
      <c r="V988" s="215"/>
      <c r="W988" s="215"/>
      <c r="X988" s="215"/>
      <c r="AD988" s="196"/>
    </row>
    <row r="989" spans="3:30" s="195" customFormat="1" ht="15">
      <c r="C989" s="215"/>
      <c r="D989" s="215"/>
      <c r="E989" s="215"/>
      <c r="F989" s="215"/>
      <c r="G989" s="215"/>
      <c r="H989" s="215"/>
      <c r="I989" s="215"/>
      <c r="J989" s="215"/>
      <c r="K989" s="215"/>
      <c r="L989" s="215"/>
      <c r="M989" s="215"/>
      <c r="N989" s="215"/>
      <c r="O989" s="215"/>
      <c r="P989" s="215"/>
      <c r="Q989" s="215"/>
      <c r="R989" s="215"/>
      <c r="S989" s="215"/>
      <c r="T989" s="215"/>
      <c r="U989" s="215"/>
      <c r="V989" s="215"/>
      <c r="W989" s="215"/>
      <c r="X989" s="215"/>
      <c r="AD989" s="196"/>
    </row>
    <row r="990" spans="3:30" s="195" customFormat="1" ht="15">
      <c r="C990" s="215"/>
      <c r="D990" s="215"/>
      <c r="E990" s="215"/>
      <c r="F990" s="215"/>
      <c r="G990" s="215"/>
      <c r="H990" s="215"/>
      <c r="I990" s="215"/>
      <c r="J990" s="215"/>
      <c r="K990" s="215"/>
      <c r="L990" s="215"/>
      <c r="M990" s="215"/>
      <c r="N990" s="215"/>
      <c r="O990" s="215"/>
      <c r="P990" s="215"/>
      <c r="Q990" s="215"/>
      <c r="R990" s="215"/>
      <c r="S990" s="215"/>
      <c r="T990" s="215"/>
      <c r="U990" s="215"/>
      <c r="V990" s="215"/>
      <c r="W990" s="215"/>
      <c r="X990" s="215"/>
      <c r="AD990" s="196"/>
    </row>
    <row r="991" spans="3:30" s="195" customFormat="1" ht="15">
      <c r="C991" s="215"/>
      <c r="D991" s="215"/>
      <c r="E991" s="215"/>
      <c r="F991" s="215"/>
      <c r="G991" s="215"/>
      <c r="H991" s="215"/>
      <c r="I991" s="215"/>
      <c r="J991" s="215"/>
      <c r="K991" s="215"/>
      <c r="L991" s="215"/>
      <c r="M991" s="215"/>
      <c r="N991" s="215"/>
      <c r="O991" s="215"/>
      <c r="P991" s="215"/>
      <c r="Q991" s="215"/>
      <c r="R991" s="215"/>
      <c r="S991" s="215"/>
      <c r="T991" s="215"/>
      <c r="U991" s="215"/>
      <c r="V991" s="215"/>
      <c r="W991" s="215"/>
      <c r="X991" s="215"/>
      <c r="AD991" s="196"/>
    </row>
    <row r="992" spans="3:30" s="195" customFormat="1" ht="15">
      <c r="C992" s="215"/>
      <c r="D992" s="215"/>
      <c r="E992" s="215"/>
      <c r="F992" s="215"/>
      <c r="G992" s="215"/>
      <c r="H992" s="215"/>
      <c r="I992" s="215"/>
      <c r="J992" s="215"/>
      <c r="K992" s="215"/>
      <c r="L992" s="215"/>
      <c r="M992" s="215"/>
      <c r="N992" s="215"/>
      <c r="O992" s="215"/>
      <c r="P992" s="215"/>
      <c r="Q992" s="215"/>
      <c r="R992" s="215"/>
      <c r="S992" s="215"/>
      <c r="T992" s="215"/>
      <c r="U992" s="215"/>
      <c r="V992" s="215"/>
      <c r="W992" s="215"/>
      <c r="X992" s="215"/>
      <c r="AD992" s="196"/>
    </row>
    <row r="993" spans="3:30" s="195" customFormat="1" ht="15">
      <c r="C993" s="215"/>
      <c r="D993" s="215"/>
      <c r="E993" s="215"/>
      <c r="F993" s="215"/>
      <c r="G993" s="215"/>
      <c r="H993" s="215"/>
      <c r="I993" s="215"/>
      <c r="J993" s="215"/>
      <c r="K993" s="215"/>
      <c r="L993" s="215"/>
      <c r="M993" s="215"/>
      <c r="N993" s="215"/>
      <c r="O993" s="215"/>
      <c r="P993" s="215"/>
      <c r="Q993" s="215"/>
      <c r="R993" s="215"/>
      <c r="S993" s="215"/>
      <c r="T993" s="215"/>
      <c r="U993" s="215"/>
      <c r="V993" s="215"/>
      <c r="W993" s="215"/>
      <c r="X993" s="215"/>
      <c r="AD993" s="196"/>
    </row>
    <row r="994" spans="3:30" s="195" customFormat="1" ht="15">
      <c r="C994" s="215"/>
      <c r="D994" s="215"/>
      <c r="E994" s="215"/>
      <c r="F994" s="215"/>
      <c r="G994" s="215"/>
      <c r="H994" s="215"/>
      <c r="I994" s="215"/>
      <c r="J994" s="215"/>
      <c r="K994" s="215"/>
      <c r="L994" s="215"/>
      <c r="M994" s="215"/>
      <c r="N994" s="215"/>
      <c r="O994" s="215"/>
      <c r="P994" s="215"/>
      <c r="Q994" s="215"/>
      <c r="R994" s="215"/>
      <c r="S994" s="215"/>
      <c r="T994" s="215"/>
      <c r="U994" s="215"/>
      <c r="V994" s="215"/>
      <c r="W994" s="215"/>
      <c r="X994" s="215"/>
      <c r="AD994" s="196"/>
    </row>
    <row r="995" spans="3:30" s="195" customFormat="1" ht="15">
      <c r="C995" s="215"/>
      <c r="D995" s="215"/>
      <c r="E995" s="215"/>
      <c r="F995" s="215"/>
      <c r="G995" s="215"/>
      <c r="H995" s="215"/>
      <c r="I995" s="215"/>
      <c r="J995" s="215"/>
      <c r="K995" s="215"/>
      <c r="L995" s="215"/>
      <c r="M995" s="215"/>
      <c r="N995" s="215"/>
      <c r="O995" s="215"/>
      <c r="P995" s="215"/>
      <c r="Q995" s="215"/>
      <c r="R995" s="215"/>
      <c r="S995" s="215"/>
      <c r="T995" s="215"/>
      <c r="U995" s="215"/>
      <c r="V995" s="215"/>
      <c r="W995" s="215"/>
      <c r="X995" s="215"/>
      <c r="AD995" s="196"/>
    </row>
    <row r="996" spans="3:30" s="195" customFormat="1" ht="15">
      <c r="C996" s="215"/>
      <c r="D996" s="215"/>
      <c r="E996" s="215"/>
      <c r="F996" s="215"/>
      <c r="G996" s="215"/>
      <c r="H996" s="215"/>
      <c r="I996" s="215"/>
      <c r="J996" s="215"/>
      <c r="K996" s="215"/>
      <c r="L996" s="215"/>
      <c r="M996" s="215"/>
      <c r="N996" s="215"/>
      <c r="O996" s="215"/>
      <c r="P996" s="215"/>
      <c r="Q996" s="215"/>
      <c r="R996" s="215"/>
      <c r="S996" s="215"/>
      <c r="T996" s="215"/>
      <c r="U996" s="215"/>
      <c r="V996" s="215"/>
      <c r="W996" s="215"/>
      <c r="X996" s="215"/>
      <c r="AD996" s="196"/>
    </row>
    <row r="997" spans="3:30" s="195" customFormat="1" ht="15">
      <c r="C997" s="215"/>
      <c r="D997" s="215"/>
      <c r="E997" s="215"/>
      <c r="F997" s="215"/>
      <c r="G997" s="215"/>
      <c r="H997" s="215"/>
      <c r="I997" s="215"/>
      <c r="J997" s="215"/>
      <c r="K997" s="215"/>
      <c r="L997" s="215"/>
      <c r="M997" s="215"/>
      <c r="N997" s="215"/>
      <c r="O997" s="215"/>
      <c r="P997" s="215"/>
      <c r="Q997" s="215"/>
      <c r="R997" s="215"/>
      <c r="S997" s="215"/>
      <c r="T997" s="215"/>
      <c r="U997" s="215"/>
      <c r="V997" s="215"/>
      <c r="W997" s="215"/>
      <c r="X997" s="215"/>
      <c r="AD997" s="196"/>
    </row>
    <row r="998" spans="3:30" s="195" customFormat="1" ht="15">
      <c r="C998" s="215"/>
      <c r="D998" s="215"/>
      <c r="E998" s="215"/>
      <c r="F998" s="215"/>
      <c r="G998" s="215"/>
      <c r="H998" s="215"/>
      <c r="I998" s="215"/>
      <c r="J998" s="215"/>
      <c r="K998" s="215"/>
      <c r="L998" s="215"/>
      <c r="M998" s="215"/>
      <c r="N998" s="215"/>
      <c r="O998" s="215"/>
      <c r="P998" s="215"/>
      <c r="Q998" s="215"/>
      <c r="R998" s="215"/>
      <c r="S998" s="215"/>
      <c r="T998" s="215"/>
      <c r="U998" s="215"/>
      <c r="V998" s="215"/>
      <c r="W998" s="215"/>
      <c r="X998" s="215"/>
      <c r="AD998" s="196"/>
    </row>
    <row r="999" spans="3:30" s="195" customFormat="1" ht="15">
      <c r="C999" s="215"/>
      <c r="D999" s="215"/>
      <c r="E999" s="215"/>
      <c r="F999" s="215"/>
      <c r="G999" s="215"/>
      <c r="H999" s="215"/>
      <c r="I999" s="215"/>
      <c r="J999" s="215"/>
      <c r="K999" s="215"/>
      <c r="L999" s="215"/>
      <c r="M999" s="215"/>
      <c r="N999" s="215"/>
      <c r="O999" s="215"/>
      <c r="P999" s="215"/>
      <c r="Q999" s="215"/>
      <c r="R999" s="215"/>
      <c r="S999" s="215"/>
      <c r="T999" s="215"/>
      <c r="U999" s="215"/>
      <c r="V999" s="215"/>
      <c r="W999" s="215"/>
      <c r="X999" s="215"/>
      <c r="AD999" s="196"/>
    </row>
    <row r="1000" spans="3:30" s="195" customFormat="1" ht="15">
      <c r="C1000" s="215"/>
      <c r="D1000" s="215"/>
      <c r="E1000" s="215"/>
      <c r="F1000" s="215"/>
      <c r="G1000" s="215"/>
      <c r="H1000" s="215"/>
      <c r="I1000" s="215"/>
      <c r="J1000" s="215"/>
      <c r="K1000" s="215"/>
      <c r="L1000" s="215"/>
      <c r="M1000" s="215"/>
      <c r="N1000" s="215"/>
      <c r="O1000" s="215"/>
      <c r="P1000" s="215"/>
      <c r="Q1000" s="215"/>
      <c r="R1000" s="215"/>
      <c r="S1000" s="215"/>
      <c r="T1000" s="215"/>
      <c r="U1000" s="215"/>
      <c r="V1000" s="215"/>
      <c r="W1000" s="215"/>
      <c r="X1000" s="215"/>
      <c r="AD1000" s="196"/>
    </row>
    <row r="1001" spans="3:30" s="195" customFormat="1" ht="15">
      <c r="C1001" s="215"/>
      <c r="D1001" s="215"/>
      <c r="E1001" s="215"/>
      <c r="F1001" s="215"/>
      <c r="G1001" s="215"/>
      <c r="H1001" s="215"/>
      <c r="I1001" s="215"/>
      <c r="J1001" s="215"/>
      <c r="K1001" s="215"/>
      <c r="L1001" s="215"/>
      <c r="M1001" s="215"/>
      <c r="N1001" s="215"/>
      <c r="O1001" s="215"/>
      <c r="P1001" s="215"/>
      <c r="Q1001" s="215"/>
      <c r="R1001" s="215"/>
      <c r="S1001" s="215"/>
      <c r="T1001" s="215"/>
      <c r="U1001" s="215"/>
      <c r="V1001" s="215"/>
      <c r="W1001" s="215"/>
      <c r="X1001" s="215"/>
      <c r="AD1001" s="196"/>
    </row>
    <row r="1002" spans="3:30" s="195" customFormat="1" ht="15">
      <c r="C1002" s="215"/>
      <c r="D1002" s="215"/>
      <c r="E1002" s="215"/>
      <c r="F1002" s="215"/>
      <c r="G1002" s="215"/>
      <c r="H1002" s="215"/>
      <c r="I1002" s="215"/>
      <c r="J1002" s="215"/>
      <c r="K1002" s="215"/>
      <c r="L1002" s="215"/>
      <c r="M1002" s="215"/>
      <c r="N1002" s="215"/>
      <c r="O1002" s="215"/>
      <c r="P1002" s="215"/>
      <c r="Q1002" s="215"/>
      <c r="R1002" s="215"/>
      <c r="S1002" s="215"/>
      <c r="T1002" s="215"/>
      <c r="U1002" s="215"/>
      <c r="V1002" s="215"/>
      <c r="W1002" s="215"/>
      <c r="X1002" s="215"/>
      <c r="AD1002" s="196"/>
    </row>
    <row r="1003" spans="3:30" s="195" customFormat="1" ht="15">
      <c r="C1003" s="215"/>
      <c r="D1003" s="215"/>
      <c r="E1003" s="215"/>
      <c r="F1003" s="215"/>
      <c r="G1003" s="215"/>
      <c r="H1003" s="215"/>
      <c r="I1003" s="215"/>
      <c r="J1003" s="215"/>
      <c r="K1003" s="215"/>
      <c r="L1003" s="215"/>
      <c r="M1003" s="215"/>
      <c r="N1003" s="215"/>
      <c r="O1003" s="215"/>
      <c r="P1003" s="215"/>
      <c r="Q1003" s="215"/>
      <c r="R1003" s="215"/>
      <c r="S1003" s="215"/>
      <c r="T1003" s="215"/>
      <c r="U1003" s="215"/>
      <c r="V1003" s="215"/>
      <c r="W1003" s="215"/>
      <c r="X1003" s="215"/>
      <c r="AD1003" s="196"/>
    </row>
    <row r="1004" spans="3:30" s="195" customFormat="1" ht="15">
      <c r="C1004" s="215"/>
      <c r="D1004" s="215"/>
      <c r="E1004" s="215"/>
      <c r="F1004" s="215"/>
      <c r="G1004" s="215"/>
      <c r="H1004" s="215"/>
      <c r="I1004" s="215"/>
      <c r="J1004" s="215"/>
      <c r="K1004" s="215"/>
      <c r="L1004" s="215"/>
      <c r="M1004" s="215"/>
      <c r="N1004" s="215"/>
      <c r="O1004" s="215"/>
      <c r="P1004" s="215"/>
      <c r="Q1004" s="215"/>
      <c r="R1004" s="215"/>
      <c r="S1004" s="215"/>
      <c r="T1004" s="215"/>
      <c r="U1004" s="215"/>
      <c r="V1004" s="215"/>
      <c r="W1004" s="215"/>
      <c r="X1004" s="215"/>
      <c r="AD1004" s="196"/>
    </row>
    <row r="1005" spans="3:30" s="195" customFormat="1" ht="15">
      <c r="C1005" s="215"/>
      <c r="D1005" s="215"/>
      <c r="E1005" s="215"/>
      <c r="F1005" s="215"/>
      <c r="G1005" s="215"/>
      <c r="H1005" s="215"/>
      <c r="I1005" s="215"/>
      <c r="J1005" s="215"/>
      <c r="K1005" s="215"/>
      <c r="L1005" s="215"/>
      <c r="M1005" s="215"/>
      <c r="N1005" s="215"/>
      <c r="O1005" s="215"/>
      <c r="P1005" s="215"/>
      <c r="Q1005" s="215"/>
      <c r="R1005" s="215"/>
      <c r="S1005" s="215"/>
      <c r="T1005" s="215"/>
      <c r="U1005" s="215"/>
      <c r="V1005" s="215"/>
      <c r="W1005" s="215"/>
      <c r="X1005" s="215"/>
      <c r="AD1005" s="196"/>
    </row>
    <row r="1006" spans="3:30" s="195" customFormat="1" ht="15">
      <c r="C1006" s="215"/>
      <c r="D1006" s="215"/>
      <c r="E1006" s="215"/>
      <c r="F1006" s="215"/>
      <c r="G1006" s="215"/>
      <c r="H1006" s="215"/>
      <c r="I1006" s="215"/>
      <c r="J1006" s="215"/>
      <c r="K1006" s="215"/>
      <c r="L1006" s="215"/>
      <c r="M1006" s="215"/>
      <c r="N1006" s="215"/>
      <c r="O1006" s="215"/>
      <c r="P1006" s="215"/>
      <c r="Q1006" s="215"/>
      <c r="R1006" s="215"/>
      <c r="S1006" s="215"/>
      <c r="T1006" s="215"/>
      <c r="U1006" s="215"/>
      <c r="V1006" s="215"/>
      <c r="W1006" s="215"/>
      <c r="X1006" s="215"/>
      <c r="AD1006" s="196"/>
    </row>
    <row r="1007" spans="3:30" s="195" customFormat="1" ht="15">
      <c r="C1007" s="215"/>
      <c r="D1007" s="215"/>
      <c r="E1007" s="215"/>
      <c r="F1007" s="215"/>
      <c r="G1007" s="215"/>
      <c r="H1007" s="215"/>
      <c r="I1007" s="215"/>
      <c r="J1007" s="215"/>
      <c r="K1007" s="215"/>
      <c r="L1007" s="215"/>
      <c r="M1007" s="215"/>
      <c r="N1007" s="215"/>
      <c r="O1007" s="215"/>
      <c r="P1007" s="215"/>
      <c r="Q1007" s="215"/>
      <c r="R1007" s="215"/>
      <c r="S1007" s="215"/>
      <c r="T1007" s="215"/>
      <c r="U1007" s="215"/>
      <c r="V1007" s="215"/>
      <c r="W1007" s="215"/>
      <c r="X1007" s="215"/>
      <c r="AD1007" s="196"/>
    </row>
    <row r="1008" spans="3:30" s="195" customFormat="1" ht="15">
      <c r="C1008" s="215"/>
      <c r="D1008" s="215"/>
      <c r="E1008" s="215"/>
      <c r="F1008" s="215"/>
      <c r="G1008" s="215"/>
      <c r="H1008" s="215"/>
      <c r="I1008" s="215"/>
      <c r="J1008" s="215"/>
      <c r="K1008" s="215"/>
      <c r="L1008" s="215"/>
      <c r="M1008" s="215"/>
      <c r="N1008" s="215"/>
      <c r="O1008" s="215"/>
      <c r="P1008" s="215"/>
      <c r="Q1008" s="215"/>
      <c r="R1008" s="215"/>
      <c r="S1008" s="215"/>
      <c r="T1008" s="215"/>
      <c r="U1008" s="215"/>
      <c r="V1008" s="215"/>
      <c r="W1008" s="215"/>
      <c r="X1008" s="215"/>
      <c r="AD1008" s="196"/>
    </row>
    <row r="1009" spans="3:30" s="195" customFormat="1" ht="15">
      <c r="C1009" s="215"/>
      <c r="D1009" s="215"/>
      <c r="E1009" s="215"/>
      <c r="F1009" s="215"/>
      <c r="G1009" s="215"/>
      <c r="H1009" s="215"/>
      <c r="I1009" s="215"/>
      <c r="J1009" s="215"/>
      <c r="K1009" s="215"/>
      <c r="L1009" s="215"/>
      <c r="M1009" s="215"/>
      <c r="N1009" s="215"/>
      <c r="O1009" s="215"/>
      <c r="P1009" s="215"/>
      <c r="Q1009" s="215"/>
      <c r="R1009" s="215"/>
      <c r="S1009" s="215"/>
      <c r="T1009" s="215"/>
      <c r="U1009" s="215"/>
      <c r="V1009" s="215"/>
      <c r="W1009" s="215"/>
      <c r="X1009" s="215"/>
      <c r="AD1009" s="196"/>
    </row>
    <row r="1010" spans="3:30" s="195" customFormat="1" ht="15">
      <c r="C1010" s="215"/>
      <c r="D1010" s="215"/>
      <c r="E1010" s="215"/>
      <c r="F1010" s="215"/>
      <c r="G1010" s="215"/>
      <c r="H1010" s="215"/>
      <c r="I1010" s="215"/>
      <c r="J1010" s="215"/>
      <c r="K1010" s="215"/>
      <c r="L1010" s="215"/>
      <c r="M1010" s="215"/>
      <c r="N1010" s="215"/>
      <c r="O1010" s="215"/>
      <c r="P1010" s="215"/>
      <c r="Q1010" s="215"/>
      <c r="R1010" s="215"/>
      <c r="S1010" s="215"/>
      <c r="T1010" s="215"/>
      <c r="U1010" s="215"/>
      <c r="V1010" s="215"/>
      <c r="W1010" s="215"/>
      <c r="X1010" s="215"/>
      <c r="AD1010" s="196"/>
    </row>
    <row r="1011" spans="3:30" s="195" customFormat="1" ht="15">
      <c r="C1011" s="215"/>
      <c r="D1011" s="215"/>
      <c r="E1011" s="215"/>
      <c r="F1011" s="215"/>
      <c r="G1011" s="215"/>
      <c r="H1011" s="215"/>
      <c r="I1011" s="215"/>
      <c r="J1011" s="215"/>
      <c r="K1011" s="215"/>
      <c r="L1011" s="215"/>
      <c r="M1011" s="215"/>
      <c r="N1011" s="215"/>
      <c r="O1011" s="215"/>
      <c r="P1011" s="215"/>
      <c r="Q1011" s="215"/>
      <c r="R1011" s="215"/>
      <c r="S1011" s="215"/>
      <c r="T1011" s="215"/>
      <c r="U1011" s="215"/>
      <c r="V1011" s="215"/>
      <c r="W1011" s="215"/>
      <c r="X1011" s="215"/>
      <c r="AD1011" s="196"/>
    </row>
    <row r="1012" spans="3:30" s="195" customFormat="1" ht="15">
      <c r="C1012" s="215"/>
      <c r="D1012" s="215"/>
      <c r="E1012" s="215"/>
      <c r="F1012" s="215"/>
      <c r="G1012" s="215"/>
      <c r="H1012" s="215"/>
      <c r="I1012" s="215"/>
      <c r="J1012" s="215"/>
      <c r="K1012" s="215"/>
      <c r="L1012" s="215"/>
      <c r="M1012" s="215"/>
      <c r="N1012" s="215"/>
      <c r="O1012" s="215"/>
      <c r="P1012" s="215"/>
      <c r="Q1012" s="215"/>
      <c r="R1012" s="215"/>
      <c r="S1012" s="215"/>
      <c r="T1012" s="215"/>
      <c r="U1012" s="215"/>
      <c r="V1012" s="215"/>
      <c r="W1012" s="215"/>
      <c r="X1012" s="215"/>
      <c r="AD1012" s="196"/>
    </row>
    <row r="1013" spans="3:30" s="195" customFormat="1" ht="15">
      <c r="C1013" s="215"/>
      <c r="D1013" s="215"/>
      <c r="E1013" s="215"/>
      <c r="F1013" s="215"/>
      <c r="G1013" s="215"/>
      <c r="H1013" s="215"/>
      <c r="I1013" s="215"/>
      <c r="J1013" s="215"/>
      <c r="K1013" s="215"/>
      <c r="L1013" s="215"/>
      <c r="M1013" s="215"/>
      <c r="N1013" s="215"/>
      <c r="O1013" s="215"/>
      <c r="P1013" s="215"/>
      <c r="Q1013" s="215"/>
      <c r="R1013" s="215"/>
      <c r="S1013" s="215"/>
      <c r="T1013" s="215"/>
      <c r="U1013" s="215"/>
      <c r="V1013" s="215"/>
      <c r="W1013" s="215"/>
      <c r="X1013" s="215"/>
      <c r="AD1013" s="196"/>
    </row>
    <row r="1014" spans="3:30" s="195" customFormat="1" ht="15">
      <c r="C1014" s="215"/>
      <c r="D1014" s="215"/>
      <c r="E1014" s="215"/>
      <c r="F1014" s="215"/>
      <c r="G1014" s="215"/>
      <c r="H1014" s="215"/>
      <c r="I1014" s="215"/>
      <c r="J1014" s="215"/>
      <c r="K1014" s="215"/>
      <c r="L1014" s="215"/>
      <c r="M1014" s="215"/>
      <c r="N1014" s="215"/>
      <c r="O1014" s="215"/>
      <c r="P1014" s="215"/>
      <c r="Q1014" s="215"/>
      <c r="R1014" s="215"/>
      <c r="S1014" s="215"/>
      <c r="T1014" s="215"/>
      <c r="U1014" s="215"/>
      <c r="V1014" s="215"/>
      <c r="W1014" s="215"/>
      <c r="X1014" s="215"/>
      <c r="AD1014" s="196"/>
    </row>
    <row r="1015" spans="3:30" s="195" customFormat="1" ht="15">
      <c r="C1015" s="215"/>
      <c r="D1015" s="215"/>
      <c r="E1015" s="215"/>
      <c r="F1015" s="215"/>
      <c r="G1015" s="215"/>
      <c r="H1015" s="215"/>
      <c r="I1015" s="215"/>
      <c r="J1015" s="215"/>
      <c r="K1015" s="215"/>
      <c r="L1015" s="215"/>
      <c r="M1015" s="215"/>
      <c r="N1015" s="215"/>
      <c r="O1015" s="215"/>
      <c r="P1015" s="215"/>
      <c r="Q1015" s="215"/>
      <c r="R1015" s="215"/>
      <c r="S1015" s="215"/>
      <c r="T1015" s="215"/>
      <c r="U1015" s="215"/>
      <c r="V1015" s="215"/>
      <c r="W1015" s="215"/>
      <c r="X1015" s="215"/>
      <c r="AD1015" s="196"/>
    </row>
    <row r="1016" spans="3:30" s="195" customFormat="1" ht="15">
      <c r="C1016" s="215"/>
      <c r="D1016" s="215"/>
      <c r="E1016" s="215"/>
      <c r="F1016" s="215"/>
      <c r="G1016" s="215"/>
      <c r="H1016" s="215"/>
      <c r="I1016" s="215"/>
      <c r="J1016" s="215"/>
      <c r="K1016" s="215"/>
      <c r="L1016" s="215"/>
      <c r="M1016" s="215"/>
      <c r="N1016" s="215"/>
      <c r="O1016" s="215"/>
      <c r="P1016" s="215"/>
      <c r="Q1016" s="215"/>
      <c r="R1016" s="215"/>
      <c r="S1016" s="215"/>
      <c r="T1016" s="215"/>
      <c r="U1016" s="215"/>
      <c r="V1016" s="215"/>
      <c r="W1016" s="215"/>
      <c r="X1016" s="215"/>
      <c r="AD1016" s="196"/>
    </row>
    <row r="1017" spans="3:30" s="195" customFormat="1" ht="15">
      <c r="C1017" s="215"/>
      <c r="D1017" s="215"/>
      <c r="E1017" s="215"/>
      <c r="F1017" s="215"/>
      <c r="G1017" s="215"/>
      <c r="H1017" s="215"/>
      <c r="I1017" s="215"/>
      <c r="J1017" s="215"/>
      <c r="K1017" s="215"/>
      <c r="L1017" s="215"/>
      <c r="M1017" s="215"/>
      <c r="N1017" s="215"/>
      <c r="O1017" s="215"/>
      <c r="P1017" s="215"/>
      <c r="Q1017" s="215"/>
      <c r="R1017" s="215"/>
      <c r="S1017" s="215"/>
      <c r="T1017" s="215"/>
      <c r="U1017" s="215"/>
      <c r="V1017" s="215"/>
      <c r="W1017" s="215"/>
      <c r="X1017" s="215"/>
      <c r="AD1017" s="196"/>
    </row>
    <row r="1018" spans="3:30" s="195" customFormat="1" ht="15">
      <c r="C1018" s="215"/>
      <c r="D1018" s="215"/>
      <c r="E1018" s="215"/>
      <c r="F1018" s="215"/>
      <c r="G1018" s="215"/>
      <c r="H1018" s="215"/>
      <c r="I1018" s="215"/>
      <c r="J1018" s="215"/>
      <c r="K1018" s="215"/>
      <c r="L1018" s="215"/>
      <c r="M1018" s="215"/>
      <c r="N1018" s="215"/>
      <c r="O1018" s="215"/>
      <c r="P1018" s="215"/>
      <c r="Q1018" s="215"/>
      <c r="R1018" s="215"/>
      <c r="S1018" s="215"/>
      <c r="T1018" s="215"/>
      <c r="U1018" s="215"/>
      <c r="V1018" s="215"/>
      <c r="W1018" s="215"/>
      <c r="X1018" s="215"/>
      <c r="AD1018" s="196"/>
    </row>
    <row r="1019" spans="3:30" s="195" customFormat="1" ht="15">
      <c r="C1019" s="215"/>
      <c r="D1019" s="215"/>
      <c r="E1019" s="215"/>
      <c r="F1019" s="215"/>
      <c r="G1019" s="215"/>
      <c r="H1019" s="215"/>
      <c r="I1019" s="215"/>
      <c r="J1019" s="215"/>
      <c r="K1019" s="215"/>
      <c r="L1019" s="215"/>
      <c r="M1019" s="215"/>
      <c r="N1019" s="215"/>
      <c r="O1019" s="215"/>
      <c r="P1019" s="215"/>
      <c r="Q1019" s="215"/>
      <c r="R1019" s="215"/>
      <c r="S1019" s="215"/>
      <c r="T1019" s="215"/>
      <c r="U1019" s="215"/>
      <c r="V1019" s="215"/>
      <c r="W1019" s="215"/>
      <c r="X1019" s="215"/>
      <c r="AD1019" s="196"/>
    </row>
    <row r="1020" spans="3:30" s="195" customFormat="1" ht="15">
      <c r="C1020" s="215"/>
      <c r="D1020" s="215"/>
      <c r="E1020" s="215"/>
      <c r="F1020" s="215"/>
      <c r="G1020" s="215"/>
      <c r="H1020" s="215"/>
      <c r="I1020" s="215"/>
      <c r="J1020" s="215"/>
      <c r="K1020" s="215"/>
      <c r="L1020" s="215"/>
      <c r="M1020" s="215"/>
      <c r="N1020" s="215"/>
      <c r="O1020" s="215"/>
      <c r="P1020" s="215"/>
      <c r="Q1020" s="215"/>
      <c r="R1020" s="215"/>
      <c r="S1020" s="215"/>
      <c r="T1020" s="215"/>
      <c r="U1020" s="215"/>
      <c r="V1020" s="215"/>
      <c r="W1020" s="215"/>
      <c r="X1020" s="215"/>
      <c r="AD1020" s="196"/>
    </row>
    <row r="1021" spans="3:30" s="195" customFormat="1" ht="15">
      <c r="C1021" s="215"/>
      <c r="D1021" s="215"/>
      <c r="E1021" s="215"/>
      <c r="F1021" s="215"/>
      <c r="G1021" s="215"/>
      <c r="H1021" s="215"/>
      <c r="I1021" s="215"/>
      <c r="J1021" s="215"/>
      <c r="K1021" s="215"/>
      <c r="L1021" s="215"/>
      <c r="M1021" s="215"/>
      <c r="N1021" s="215"/>
      <c r="O1021" s="215"/>
      <c r="P1021" s="215"/>
      <c r="Q1021" s="215"/>
      <c r="R1021" s="215"/>
      <c r="S1021" s="215"/>
      <c r="T1021" s="215"/>
      <c r="U1021" s="215"/>
      <c r="V1021" s="215"/>
      <c r="W1021" s="215"/>
      <c r="X1021" s="215"/>
      <c r="AD1021" s="196"/>
    </row>
    <row r="1022" spans="3:30" s="195" customFormat="1" ht="15">
      <c r="C1022" s="215"/>
      <c r="D1022" s="215"/>
      <c r="E1022" s="215"/>
      <c r="F1022" s="215"/>
      <c r="G1022" s="215"/>
      <c r="H1022" s="215"/>
      <c r="I1022" s="215"/>
      <c r="J1022" s="215"/>
      <c r="K1022" s="215"/>
      <c r="L1022" s="215"/>
      <c r="M1022" s="215"/>
      <c r="N1022" s="215"/>
      <c r="O1022" s="215"/>
      <c r="P1022" s="215"/>
      <c r="Q1022" s="215"/>
      <c r="R1022" s="215"/>
      <c r="S1022" s="215"/>
      <c r="T1022" s="215"/>
      <c r="U1022" s="215"/>
      <c r="V1022" s="215"/>
      <c r="W1022" s="215"/>
      <c r="X1022" s="215"/>
      <c r="AD1022" s="196"/>
    </row>
    <row r="1023" spans="3:30" s="195" customFormat="1" ht="15">
      <c r="C1023" s="215"/>
      <c r="D1023" s="215"/>
      <c r="E1023" s="215"/>
      <c r="F1023" s="215"/>
      <c r="G1023" s="215"/>
      <c r="H1023" s="215"/>
      <c r="I1023" s="215"/>
      <c r="J1023" s="215"/>
      <c r="K1023" s="215"/>
      <c r="L1023" s="215"/>
      <c r="M1023" s="215"/>
      <c r="N1023" s="215"/>
      <c r="O1023" s="215"/>
      <c r="P1023" s="215"/>
      <c r="Q1023" s="215"/>
      <c r="R1023" s="215"/>
      <c r="S1023" s="215"/>
      <c r="T1023" s="215"/>
      <c r="U1023" s="215"/>
      <c r="V1023" s="215"/>
      <c r="W1023" s="215"/>
      <c r="X1023" s="215"/>
      <c r="AD1023" s="196"/>
    </row>
    <row r="1024" spans="3:30" s="195" customFormat="1" ht="15">
      <c r="C1024" s="215"/>
      <c r="D1024" s="215"/>
      <c r="E1024" s="215"/>
      <c r="F1024" s="215"/>
      <c r="G1024" s="215"/>
      <c r="H1024" s="215"/>
      <c r="I1024" s="215"/>
      <c r="J1024" s="215"/>
      <c r="K1024" s="215"/>
      <c r="L1024" s="215"/>
      <c r="M1024" s="215"/>
      <c r="N1024" s="215"/>
      <c r="O1024" s="215"/>
      <c r="P1024" s="215"/>
      <c r="Q1024" s="215"/>
      <c r="R1024" s="215"/>
      <c r="S1024" s="215"/>
      <c r="T1024" s="215"/>
      <c r="U1024" s="215"/>
      <c r="V1024" s="215"/>
      <c r="W1024" s="215"/>
      <c r="X1024" s="215"/>
      <c r="AD1024" s="196"/>
    </row>
    <row r="1025" spans="3:30" s="195" customFormat="1" ht="15">
      <c r="C1025" s="215"/>
      <c r="D1025" s="215"/>
      <c r="E1025" s="215"/>
      <c r="F1025" s="215"/>
      <c r="G1025" s="215"/>
      <c r="H1025" s="215"/>
      <c r="I1025" s="215"/>
      <c r="J1025" s="215"/>
      <c r="K1025" s="215"/>
      <c r="L1025" s="215"/>
      <c r="M1025" s="215"/>
      <c r="N1025" s="215"/>
      <c r="O1025" s="215"/>
      <c r="P1025" s="215"/>
      <c r="Q1025" s="215"/>
      <c r="R1025" s="215"/>
      <c r="S1025" s="215"/>
      <c r="T1025" s="215"/>
      <c r="U1025" s="215"/>
      <c r="V1025" s="215"/>
      <c r="W1025" s="215"/>
      <c r="X1025" s="215"/>
      <c r="AD1025" s="196"/>
    </row>
    <row r="1026" spans="3:30" s="195" customFormat="1" ht="15">
      <c r="C1026" s="215"/>
      <c r="D1026" s="215"/>
      <c r="E1026" s="215"/>
      <c r="F1026" s="215"/>
      <c r="G1026" s="215"/>
      <c r="H1026" s="215"/>
      <c r="I1026" s="215"/>
      <c r="J1026" s="215"/>
      <c r="K1026" s="215"/>
      <c r="L1026" s="215"/>
      <c r="M1026" s="215"/>
      <c r="N1026" s="215"/>
      <c r="O1026" s="215"/>
      <c r="P1026" s="215"/>
      <c r="Q1026" s="215"/>
      <c r="R1026" s="215"/>
      <c r="S1026" s="215"/>
      <c r="T1026" s="215"/>
      <c r="U1026" s="215"/>
      <c r="V1026" s="215"/>
      <c r="W1026" s="215"/>
      <c r="X1026" s="215"/>
      <c r="AD1026" s="196"/>
    </row>
    <row r="1027" spans="3:30" s="195" customFormat="1" ht="15">
      <c r="C1027" s="215"/>
      <c r="D1027" s="215"/>
      <c r="E1027" s="215"/>
      <c r="F1027" s="215"/>
      <c r="G1027" s="215"/>
      <c r="H1027" s="215"/>
      <c r="I1027" s="215"/>
      <c r="J1027" s="215"/>
      <c r="K1027" s="215"/>
      <c r="L1027" s="215"/>
      <c r="M1027" s="215"/>
      <c r="N1027" s="215"/>
      <c r="O1027" s="215"/>
      <c r="P1027" s="215"/>
      <c r="Q1027" s="215"/>
      <c r="R1027" s="215"/>
      <c r="S1027" s="215"/>
      <c r="T1027" s="215"/>
      <c r="U1027" s="215"/>
      <c r="V1027" s="215"/>
      <c r="W1027" s="215"/>
      <c r="X1027" s="215"/>
      <c r="AD1027" s="196"/>
    </row>
    <row r="1028" spans="3:30" s="195" customFormat="1" ht="15">
      <c r="C1028" s="215"/>
      <c r="D1028" s="215"/>
      <c r="E1028" s="215"/>
      <c r="F1028" s="215"/>
      <c r="G1028" s="215"/>
      <c r="H1028" s="215"/>
      <c r="I1028" s="215"/>
      <c r="J1028" s="215"/>
      <c r="K1028" s="215"/>
      <c r="L1028" s="215"/>
      <c r="M1028" s="215"/>
      <c r="N1028" s="215"/>
      <c r="O1028" s="215"/>
      <c r="P1028" s="215"/>
      <c r="Q1028" s="215"/>
      <c r="R1028" s="215"/>
      <c r="S1028" s="215"/>
      <c r="T1028" s="215"/>
      <c r="U1028" s="215"/>
      <c r="V1028" s="215"/>
      <c r="W1028" s="215"/>
      <c r="X1028" s="215"/>
      <c r="AD1028" s="196"/>
    </row>
    <row r="1029" spans="3:30" s="195" customFormat="1" ht="15">
      <c r="C1029" s="215"/>
      <c r="D1029" s="215"/>
      <c r="E1029" s="215"/>
      <c r="F1029" s="215"/>
      <c r="G1029" s="215"/>
      <c r="H1029" s="215"/>
      <c r="I1029" s="215"/>
      <c r="J1029" s="215"/>
      <c r="K1029" s="215"/>
      <c r="L1029" s="215"/>
      <c r="M1029" s="215"/>
      <c r="N1029" s="215"/>
      <c r="O1029" s="215"/>
      <c r="P1029" s="215"/>
      <c r="Q1029" s="215"/>
      <c r="R1029" s="215"/>
      <c r="S1029" s="215"/>
      <c r="T1029" s="215"/>
      <c r="U1029" s="215"/>
      <c r="V1029" s="215"/>
      <c r="W1029" s="215"/>
      <c r="X1029" s="215"/>
      <c r="AD1029" s="196"/>
    </row>
    <row r="1030" spans="3:30" s="195" customFormat="1" ht="15">
      <c r="C1030" s="215"/>
      <c r="D1030" s="215"/>
      <c r="E1030" s="215"/>
      <c r="F1030" s="215"/>
      <c r="G1030" s="215"/>
      <c r="H1030" s="215"/>
      <c r="I1030" s="215"/>
      <c r="J1030" s="215"/>
      <c r="K1030" s="215"/>
      <c r="L1030" s="215"/>
      <c r="M1030" s="215"/>
      <c r="N1030" s="215"/>
      <c r="O1030" s="215"/>
      <c r="P1030" s="215"/>
      <c r="Q1030" s="215"/>
      <c r="R1030" s="215"/>
      <c r="S1030" s="215"/>
      <c r="T1030" s="215"/>
      <c r="U1030" s="215"/>
      <c r="V1030" s="215"/>
      <c r="W1030" s="215"/>
      <c r="X1030" s="215"/>
      <c r="AD1030" s="196"/>
    </row>
    <row r="1031" spans="3:30" s="195" customFormat="1" ht="15">
      <c r="C1031" s="215"/>
      <c r="D1031" s="215"/>
      <c r="E1031" s="215"/>
      <c r="F1031" s="215"/>
      <c r="G1031" s="215"/>
      <c r="H1031" s="215"/>
      <c r="I1031" s="215"/>
      <c r="J1031" s="215"/>
      <c r="K1031" s="215"/>
      <c r="L1031" s="215"/>
      <c r="M1031" s="215"/>
      <c r="N1031" s="215"/>
      <c r="O1031" s="215"/>
      <c r="P1031" s="215"/>
      <c r="Q1031" s="215"/>
      <c r="R1031" s="215"/>
      <c r="S1031" s="215"/>
      <c r="T1031" s="215"/>
      <c r="U1031" s="215"/>
      <c r="V1031" s="215"/>
      <c r="W1031" s="215"/>
      <c r="X1031" s="215"/>
      <c r="AD1031" s="196"/>
    </row>
    <row r="1032" spans="3:30" s="195" customFormat="1" ht="15">
      <c r="C1032" s="215"/>
      <c r="D1032" s="215"/>
      <c r="E1032" s="215"/>
      <c r="F1032" s="215"/>
      <c r="G1032" s="215"/>
      <c r="H1032" s="215"/>
      <c r="I1032" s="215"/>
      <c r="J1032" s="215"/>
      <c r="K1032" s="215"/>
      <c r="L1032" s="215"/>
      <c r="M1032" s="215"/>
      <c r="N1032" s="215"/>
      <c r="O1032" s="215"/>
      <c r="P1032" s="215"/>
      <c r="Q1032" s="215"/>
      <c r="R1032" s="215"/>
      <c r="S1032" s="215"/>
      <c r="T1032" s="215"/>
      <c r="U1032" s="215"/>
      <c r="V1032" s="215"/>
      <c r="W1032" s="215"/>
      <c r="X1032" s="215"/>
      <c r="AD1032" s="196"/>
    </row>
    <row r="1033" spans="3:30" s="195" customFormat="1" ht="15">
      <c r="C1033" s="215"/>
      <c r="D1033" s="215"/>
      <c r="E1033" s="215"/>
      <c r="F1033" s="215"/>
      <c r="G1033" s="215"/>
      <c r="H1033" s="215"/>
      <c r="I1033" s="215"/>
      <c r="J1033" s="215"/>
      <c r="K1033" s="215"/>
      <c r="L1033" s="215"/>
      <c r="M1033" s="215"/>
      <c r="N1033" s="215"/>
      <c r="O1033" s="215"/>
      <c r="P1033" s="215"/>
      <c r="Q1033" s="215"/>
      <c r="R1033" s="215"/>
      <c r="S1033" s="215"/>
      <c r="T1033" s="215"/>
      <c r="U1033" s="215"/>
      <c r="V1033" s="215"/>
      <c r="W1033" s="215"/>
      <c r="X1033" s="215"/>
      <c r="AD1033" s="196"/>
    </row>
    <row r="1034" spans="3:30" s="195" customFormat="1" ht="15">
      <c r="C1034" s="215"/>
      <c r="D1034" s="215"/>
      <c r="E1034" s="215"/>
      <c r="F1034" s="215"/>
      <c r="G1034" s="215"/>
      <c r="H1034" s="215"/>
      <c r="I1034" s="215"/>
      <c r="J1034" s="215"/>
      <c r="K1034" s="215"/>
      <c r="L1034" s="215"/>
      <c r="M1034" s="215"/>
      <c r="N1034" s="215"/>
      <c r="O1034" s="215"/>
      <c r="P1034" s="215"/>
      <c r="Q1034" s="215"/>
      <c r="R1034" s="215"/>
      <c r="S1034" s="215"/>
      <c r="T1034" s="215"/>
      <c r="U1034" s="215"/>
      <c r="V1034" s="215"/>
      <c r="W1034" s="215"/>
      <c r="X1034" s="215"/>
      <c r="AD1034" s="196"/>
    </row>
    <row r="1035" spans="3:30" s="195" customFormat="1" ht="15">
      <c r="C1035" s="215"/>
      <c r="D1035" s="215"/>
      <c r="E1035" s="215"/>
      <c r="F1035" s="215"/>
      <c r="G1035" s="215"/>
      <c r="H1035" s="215"/>
      <c r="I1035" s="215"/>
      <c r="J1035" s="215"/>
      <c r="K1035" s="215"/>
      <c r="L1035" s="215"/>
      <c r="M1035" s="215"/>
      <c r="N1035" s="215"/>
      <c r="O1035" s="215"/>
      <c r="P1035" s="215"/>
      <c r="Q1035" s="215"/>
      <c r="R1035" s="215"/>
      <c r="S1035" s="215"/>
      <c r="T1035" s="215"/>
      <c r="U1035" s="215"/>
      <c r="V1035" s="215"/>
      <c r="W1035" s="215"/>
      <c r="X1035" s="215"/>
      <c r="AD1035" s="196"/>
    </row>
    <row r="1036" spans="3:30" s="195" customFormat="1" ht="15">
      <c r="C1036" s="215"/>
      <c r="D1036" s="215"/>
      <c r="E1036" s="215"/>
      <c r="F1036" s="215"/>
      <c r="G1036" s="215"/>
      <c r="H1036" s="215"/>
      <c r="I1036" s="215"/>
      <c r="J1036" s="215"/>
      <c r="K1036" s="215"/>
      <c r="L1036" s="215"/>
      <c r="M1036" s="215"/>
      <c r="N1036" s="215"/>
      <c r="O1036" s="215"/>
      <c r="P1036" s="215"/>
      <c r="Q1036" s="215"/>
      <c r="R1036" s="215"/>
      <c r="S1036" s="215"/>
      <c r="T1036" s="215"/>
      <c r="U1036" s="215"/>
      <c r="V1036" s="215"/>
      <c r="W1036" s="215"/>
      <c r="X1036" s="215"/>
      <c r="AD1036" s="196"/>
    </row>
    <row r="1037" spans="3:30" s="195" customFormat="1" ht="15">
      <c r="C1037" s="215"/>
      <c r="D1037" s="215"/>
      <c r="E1037" s="215"/>
      <c r="F1037" s="215"/>
      <c r="G1037" s="215"/>
      <c r="H1037" s="215"/>
      <c r="I1037" s="215"/>
      <c r="J1037" s="215"/>
      <c r="K1037" s="215"/>
      <c r="L1037" s="215"/>
      <c r="M1037" s="215"/>
      <c r="N1037" s="215"/>
      <c r="O1037" s="215"/>
      <c r="P1037" s="215"/>
      <c r="Q1037" s="215"/>
      <c r="R1037" s="215"/>
      <c r="S1037" s="215"/>
      <c r="T1037" s="215"/>
      <c r="U1037" s="215"/>
      <c r="V1037" s="215"/>
      <c r="W1037" s="215"/>
      <c r="X1037" s="215"/>
      <c r="AD1037" s="196"/>
    </row>
    <row r="1038" spans="3:30" s="195" customFormat="1" ht="15">
      <c r="C1038" s="215"/>
      <c r="D1038" s="215"/>
      <c r="E1038" s="215"/>
      <c r="F1038" s="215"/>
      <c r="G1038" s="215"/>
      <c r="H1038" s="215"/>
      <c r="I1038" s="215"/>
      <c r="J1038" s="215"/>
      <c r="K1038" s="215"/>
      <c r="L1038" s="215"/>
      <c r="M1038" s="215"/>
      <c r="N1038" s="215"/>
      <c r="O1038" s="215"/>
      <c r="P1038" s="215"/>
      <c r="Q1038" s="215"/>
      <c r="R1038" s="215"/>
      <c r="S1038" s="215"/>
      <c r="T1038" s="215"/>
      <c r="U1038" s="215"/>
      <c r="V1038" s="215"/>
      <c r="W1038" s="215"/>
      <c r="X1038" s="215"/>
      <c r="AD1038" s="196"/>
    </row>
    <row r="1039" spans="3:30" s="195" customFormat="1" ht="15">
      <c r="C1039" s="215"/>
      <c r="D1039" s="215"/>
      <c r="E1039" s="215"/>
      <c r="F1039" s="215"/>
      <c r="G1039" s="215"/>
      <c r="H1039" s="215"/>
      <c r="I1039" s="215"/>
      <c r="J1039" s="215"/>
      <c r="K1039" s="215"/>
      <c r="L1039" s="215"/>
      <c r="M1039" s="215"/>
      <c r="N1039" s="215"/>
      <c r="O1039" s="215"/>
      <c r="P1039" s="215"/>
      <c r="Q1039" s="215"/>
      <c r="R1039" s="215"/>
      <c r="S1039" s="215"/>
      <c r="T1039" s="215"/>
      <c r="U1039" s="215"/>
      <c r="V1039" s="215"/>
      <c r="W1039" s="215"/>
      <c r="X1039" s="215"/>
      <c r="AD1039" s="196"/>
    </row>
    <row r="1040" spans="3:30" s="195" customFormat="1" ht="15">
      <c r="C1040" s="215"/>
      <c r="D1040" s="215"/>
      <c r="E1040" s="215"/>
      <c r="F1040" s="215"/>
      <c r="G1040" s="215"/>
      <c r="H1040" s="215"/>
      <c r="I1040" s="215"/>
      <c r="J1040" s="215"/>
      <c r="K1040" s="215"/>
      <c r="L1040" s="215"/>
      <c r="M1040" s="215"/>
      <c r="N1040" s="215"/>
      <c r="O1040" s="215"/>
      <c r="P1040" s="215"/>
      <c r="Q1040" s="215"/>
      <c r="R1040" s="215"/>
      <c r="S1040" s="215"/>
      <c r="T1040" s="215"/>
      <c r="U1040" s="215"/>
      <c r="V1040" s="215"/>
      <c r="W1040" s="215"/>
      <c r="X1040" s="215"/>
      <c r="AD1040" s="196"/>
    </row>
    <row r="1041" spans="3:30" s="195" customFormat="1" ht="15">
      <c r="C1041" s="215"/>
      <c r="D1041" s="215"/>
      <c r="E1041" s="215"/>
      <c r="F1041" s="215"/>
      <c r="G1041" s="215"/>
      <c r="H1041" s="215"/>
      <c r="I1041" s="215"/>
      <c r="J1041" s="215"/>
      <c r="K1041" s="215"/>
      <c r="L1041" s="215"/>
      <c r="M1041" s="215"/>
      <c r="N1041" s="215"/>
      <c r="O1041" s="215"/>
      <c r="P1041" s="215"/>
      <c r="Q1041" s="215"/>
      <c r="R1041" s="215"/>
      <c r="S1041" s="215"/>
      <c r="T1041" s="215"/>
      <c r="U1041" s="215"/>
      <c r="V1041" s="215"/>
      <c r="W1041" s="215"/>
      <c r="X1041" s="215"/>
      <c r="AD1041" s="196"/>
    </row>
    <row r="1042" spans="3:30" s="195" customFormat="1" ht="15">
      <c r="C1042" s="215"/>
      <c r="D1042" s="215"/>
      <c r="E1042" s="215"/>
      <c r="F1042" s="215"/>
      <c r="G1042" s="215"/>
      <c r="H1042" s="215"/>
      <c r="I1042" s="215"/>
      <c r="J1042" s="215"/>
      <c r="K1042" s="215"/>
      <c r="L1042" s="215"/>
      <c r="M1042" s="215"/>
      <c r="N1042" s="215"/>
      <c r="O1042" s="215"/>
      <c r="P1042" s="215"/>
      <c r="Q1042" s="215"/>
      <c r="R1042" s="215"/>
      <c r="S1042" s="215"/>
      <c r="T1042" s="215"/>
      <c r="U1042" s="215"/>
      <c r="V1042" s="215"/>
      <c r="W1042" s="215"/>
      <c r="X1042" s="215"/>
      <c r="AD1042" s="196"/>
    </row>
    <row r="1043" spans="3:30" s="195" customFormat="1" ht="15">
      <c r="C1043" s="215"/>
      <c r="D1043" s="215"/>
      <c r="E1043" s="215"/>
      <c r="F1043" s="215"/>
      <c r="G1043" s="215"/>
      <c r="H1043" s="215"/>
      <c r="I1043" s="215"/>
      <c r="J1043" s="215"/>
      <c r="K1043" s="215"/>
      <c r="L1043" s="215"/>
      <c r="M1043" s="215"/>
      <c r="N1043" s="215"/>
      <c r="O1043" s="215"/>
      <c r="P1043" s="215"/>
      <c r="Q1043" s="215"/>
      <c r="R1043" s="215"/>
      <c r="S1043" s="215"/>
      <c r="T1043" s="215"/>
      <c r="U1043" s="215"/>
      <c r="V1043" s="215"/>
      <c r="W1043" s="215"/>
      <c r="X1043" s="215"/>
      <c r="AD1043" s="196"/>
    </row>
    <row r="1044" spans="3:30" s="195" customFormat="1" ht="15">
      <c r="C1044" s="215"/>
      <c r="D1044" s="215"/>
      <c r="E1044" s="215"/>
      <c r="F1044" s="215"/>
      <c r="G1044" s="215"/>
      <c r="H1044" s="215"/>
      <c r="I1044" s="215"/>
      <c r="J1044" s="215"/>
      <c r="K1044" s="215"/>
      <c r="L1044" s="215"/>
      <c r="M1044" s="215"/>
      <c r="N1044" s="215"/>
      <c r="O1044" s="215"/>
      <c r="P1044" s="215"/>
      <c r="Q1044" s="215"/>
      <c r="R1044" s="215"/>
      <c r="S1044" s="215"/>
      <c r="T1044" s="215"/>
      <c r="U1044" s="215"/>
      <c r="V1044" s="215"/>
      <c r="W1044" s="215"/>
      <c r="X1044" s="215"/>
      <c r="AD1044" s="196"/>
    </row>
    <row r="1045" spans="3:30" s="195" customFormat="1" ht="15">
      <c r="C1045" s="215"/>
      <c r="D1045" s="215"/>
      <c r="E1045" s="215"/>
      <c r="F1045" s="215"/>
      <c r="G1045" s="215"/>
      <c r="H1045" s="215"/>
      <c r="I1045" s="215"/>
      <c r="J1045" s="215"/>
      <c r="K1045" s="215"/>
      <c r="L1045" s="215"/>
      <c r="M1045" s="215"/>
      <c r="N1045" s="215"/>
      <c r="O1045" s="215"/>
      <c r="P1045" s="215"/>
      <c r="Q1045" s="215"/>
      <c r="R1045" s="215"/>
      <c r="S1045" s="215"/>
      <c r="T1045" s="215"/>
      <c r="U1045" s="215"/>
      <c r="V1045" s="215"/>
      <c r="W1045" s="215"/>
      <c r="X1045" s="215"/>
      <c r="AD1045" s="196"/>
    </row>
    <row r="1046" spans="3:30" s="195" customFormat="1" ht="15">
      <c r="C1046" s="215"/>
      <c r="D1046" s="215"/>
      <c r="E1046" s="215"/>
      <c r="F1046" s="215"/>
      <c r="G1046" s="215"/>
      <c r="H1046" s="215"/>
      <c r="I1046" s="215"/>
      <c r="J1046" s="215"/>
      <c r="K1046" s="215"/>
      <c r="L1046" s="215"/>
      <c r="M1046" s="215"/>
      <c r="N1046" s="215"/>
      <c r="O1046" s="215"/>
      <c r="P1046" s="215"/>
      <c r="Q1046" s="215"/>
      <c r="R1046" s="215"/>
      <c r="S1046" s="215"/>
      <c r="T1046" s="215"/>
      <c r="U1046" s="215"/>
      <c r="V1046" s="215"/>
      <c r="W1046" s="215"/>
      <c r="X1046" s="215"/>
      <c r="AD1046" s="196"/>
    </row>
    <row r="1047" spans="3:30" s="195" customFormat="1" ht="15">
      <c r="C1047" s="215"/>
      <c r="D1047" s="215"/>
      <c r="E1047" s="215"/>
      <c r="F1047" s="215"/>
      <c r="G1047" s="215"/>
      <c r="H1047" s="215"/>
      <c r="I1047" s="215"/>
      <c r="J1047" s="215"/>
      <c r="K1047" s="215"/>
      <c r="L1047" s="215"/>
      <c r="M1047" s="215"/>
      <c r="N1047" s="215"/>
      <c r="O1047" s="215"/>
      <c r="P1047" s="215"/>
      <c r="Q1047" s="215"/>
      <c r="R1047" s="215"/>
      <c r="S1047" s="215"/>
      <c r="T1047" s="215"/>
      <c r="U1047" s="215"/>
      <c r="V1047" s="215"/>
      <c r="W1047" s="215"/>
      <c r="X1047" s="215"/>
      <c r="AD1047" s="196"/>
    </row>
    <row r="1048" spans="3:30" s="195" customFormat="1" ht="15">
      <c r="C1048" s="215"/>
      <c r="D1048" s="215"/>
      <c r="E1048" s="215"/>
      <c r="F1048" s="215"/>
      <c r="G1048" s="215"/>
      <c r="H1048" s="215"/>
      <c r="I1048" s="215"/>
      <c r="J1048" s="215"/>
      <c r="K1048" s="215"/>
      <c r="L1048" s="215"/>
      <c r="M1048" s="215"/>
      <c r="N1048" s="215"/>
      <c r="O1048" s="215"/>
      <c r="P1048" s="215"/>
      <c r="Q1048" s="215"/>
      <c r="R1048" s="215"/>
      <c r="S1048" s="215"/>
      <c r="T1048" s="215"/>
      <c r="U1048" s="215"/>
      <c r="V1048" s="215"/>
      <c r="W1048" s="215"/>
      <c r="X1048" s="215"/>
      <c r="AD1048" s="196"/>
    </row>
    <row r="1049" spans="3:30" s="195" customFormat="1" ht="15">
      <c r="C1049" s="215"/>
      <c r="D1049" s="215"/>
      <c r="E1049" s="215"/>
      <c r="F1049" s="215"/>
      <c r="G1049" s="215"/>
      <c r="H1049" s="215"/>
      <c r="I1049" s="215"/>
      <c r="J1049" s="215"/>
      <c r="K1049" s="215"/>
      <c r="L1049" s="215"/>
      <c r="M1049" s="215"/>
      <c r="N1049" s="215"/>
      <c r="O1049" s="215"/>
      <c r="P1049" s="215"/>
      <c r="Q1049" s="215"/>
      <c r="R1049" s="215"/>
      <c r="S1049" s="215"/>
      <c r="T1049" s="215"/>
      <c r="U1049" s="215"/>
      <c r="V1049" s="215"/>
      <c r="W1049" s="215"/>
      <c r="X1049" s="215"/>
      <c r="AD1049" s="196"/>
    </row>
    <row r="1050" spans="3:30" s="195" customFormat="1" ht="15">
      <c r="C1050" s="215"/>
      <c r="D1050" s="215"/>
      <c r="E1050" s="215"/>
      <c r="F1050" s="215"/>
      <c r="G1050" s="215"/>
      <c r="H1050" s="215"/>
      <c r="I1050" s="215"/>
      <c r="J1050" s="215"/>
      <c r="K1050" s="215"/>
      <c r="L1050" s="215"/>
      <c r="M1050" s="215"/>
      <c r="N1050" s="215"/>
      <c r="O1050" s="215"/>
      <c r="P1050" s="215"/>
      <c r="Q1050" s="215"/>
      <c r="R1050" s="215"/>
      <c r="S1050" s="215"/>
      <c r="T1050" s="215"/>
      <c r="U1050" s="215"/>
      <c r="V1050" s="215"/>
      <c r="W1050" s="215"/>
      <c r="X1050" s="215"/>
      <c r="AD1050" s="196"/>
    </row>
    <row r="1051" spans="3:30" s="195" customFormat="1" ht="15">
      <c r="C1051" s="215"/>
      <c r="D1051" s="215"/>
      <c r="E1051" s="215"/>
      <c r="F1051" s="215"/>
      <c r="G1051" s="215"/>
      <c r="H1051" s="215"/>
      <c r="I1051" s="215"/>
      <c r="J1051" s="215"/>
      <c r="K1051" s="215"/>
      <c r="L1051" s="215"/>
      <c r="M1051" s="215"/>
      <c r="N1051" s="215"/>
      <c r="O1051" s="215"/>
      <c r="P1051" s="215"/>
      <c r="Q1051" s="215"/>
      <c r="R1051" s="215"/>
      <c r="S1051" s="215"/>
      <c r="T1051" s="215"/>
      <c r="U1051" s="215"/>
      <c r="V1051" s="215"/>
      <c r="W1051" s="215"/>
      <c r="X1051" s="215"/>
      <c r="AD1051" s="196"/>
    </row>
    <row r="1052" spans="3:30" s="195" customFormat="1" ht="15">
      <c r="C1052" s="215"/>
      <c r="D1052" s="215"/>
      <c r="E1052" s="215"/>
      <c r="F1052" s="215"/>
      <c r="G1052" s="215"/>
      <c r="H1052" s="215"/>
      <c r="I1052" s="215"/>
      <c r="J1052" s="215"/>
      <c r="K1052" s="215"/>
      <c r="L1052" s="215"/>
      <c r="M1052" s="215"/>
      <c r="N1052" s="215"/>
      <c r="O1052" s="215"/>
      <c r="P1052" s="215"/>
      <c r="Q1052" s="215"/>
      <c r="R1052" s="215"/>
      <c r="S1052" s="215"/>
      <c r="T1052" s="215"/>
      <c r="U1052" s="215"/>
      <c r="V1052" s="215"/>
      <c r="W1052" s="215"/>
      <c r="X1052" s="215"/>
      <c r="AD1052" s="196"/>
    </row>
    <row r="1053" spans="3:30" s="195" customFormat="1" ht="15">
      <c r="C1053" s="215"/>
      <c r="D1053" s="215"/>
      <c r="E1053" s="215"/>
      <c r="F1053" s="215"/>
      <c r="G1053" s="215"/>
      <c r="H1053" s="215"/>
      <c r="I1053" s="215"/>
      <c r="J1053" s="215"/>
      <c r="K1053" s="215"/>
      <c r="L1053" s="215"/>
      <c r="M1053" s="215"/>
      <c r="N1053" s="215"/>
      <c r="O1053" s="215"/>
      <c r="P1053" s="215"/>
      <c r="Q1053" s="215"/>
      <c r="R1053" s="215"/>
      <c r="S1053" s="215"/>
      <c r="T1053" s="215"/>
      <c r="U1053" s="215"/>
      <c r="V1053" s="215"/>
      <c r="W1053" s="215"/>
      <c r="X1053" s="215"/>
      <c r="AD1053" s="196"/>
    </row>
    <row r="1054" spans="3:30" s="195" customFormat="1" ht="15">
      <c r="C1054" s="215"/>
      <c r="D1054" s="215"/>
      <c r="E1054" s="215"/>
      <c r="F1054" s="215"/>
      <c r="G1054" s="215"/>
      <c r="H1054" s="215"/>
      <c r="I1054" s="215"/>
      <c r="J1054" s="215"/>
      <c r="K1054" s="215"/>
      <c r="L1054" s="215"/>
      <c r="M1054" s="215"/>
      <c r="N1054" s="215"/>
      <c r="O1054" s="215"/>
      <c r="P1054" s="215"/>
      <c r="Q1054" s="215"/>
      <c r="R1054" s="215"/>
      <c r="S1054" s="215"/>
      <c r="T1054" s="215"/>
      <c r="U1054" s="215"/>
      <c r="V1054" s="215"/>
      <c r="W1054" s="215"/>
      <c r="X1054" s="215"/>
      <c r="AD1054" s="196"/>
    </row>
    <row r="1055" spans="3:30" s="195" customFormat="1" ht="15">
      <c r="C1055" s="215"/>
      <c r="D1055" s="215"/>
      <c r="E1055" s="215"/>
      <c r="F1055" s="215"/>
      <c r="G1055" s="215"/>
      <c r="H1055" s="215"/>
      <c r="I1055" s="215"/>
      <c r="J1055" s="215"/>
      <c r="K1055" s="215"/>
      <c r="L1055" s="215"/>
      <c r="M1055" s="215"/>
      <c r="N1055" s="215"/>
      <c r="O1055" s="215"/>
      <c r="P1055" s="215"/>
      <c r="Q1055" s="215"/>
      <c r="R1055" s="215"/>
      <c r="S1055" s="215"/>
      <c r="T1055" s="215"/>
      <c r="U1055" s="215"/>
      <c r="V1055" s="215"/>
      <c r="W1055" s="215"/>
      <c r="X1055" s="215"/>
      <c r="AD1055" s="196"/>
    </row>
    <row r="1056" spans="3:30" s="195" customFormat="1" ht="15">
      <c r="C1056" s="215"/>
      <c r="D1056" s="215"/>
      <c r="E1056" s="215"/>
      <c r="F1056" s="215"/>
      <c r="G1056" s="215"/>
      <c r="H1056" s="215"/>
      <c r="I1056" s="215"/>
      <c r="J1056" s="215"/>
      <c r="K1056" s="215"/>
      <c r="L1056" s="215"/>
      <c r="M1056" s="215"/>
      <c r="N1056" s="215"/>
      <c r="O1056" s="215"/>
      <c r="P1056" s="215"/>
      <c r="Q1056" s="215"/>
      <c r="R1056" s="215"/>
      <c r="S1056" s="215"/>
      <c r="T1056" s="215"/>
      <c r="U1056" s="215"/>
      <c r="V1056" s="215"/>
      <c r="W1056" s="215"/>
      <c r="X1056" s="215"/>
      <c r="AD1056" s="196"/>
    </row>
    <row r="1057" spans="3:30" s="195" customFormat="1" ht="15">
      <c r="C1057" s="215"/>
      <c r="D1057" s="215"/>
      <c r="E1057" s="215"/>
      <c r="F1057" s="215"/>
      <c r="G1057" s="215"/>
      <c r="H1057" s="215"/>
      <c r="I1057" s="215"/>
      <c r="J1057" s="215"/>
      <c r="K1057" s="215"/>
      <c r="L1057" s="215"/>
      <c r="M1057" s="215"/>
      <c r="N1057" s="215"/>
      <c r="O1057" s="215"/>
      <c r="P1057" s="215"/>
      <c r="Q1057" s="215"/>
      <c r="R1057" s="215"/>
      <c r="S1057" s="215"/>
      <c r="T1057" s="215"/>
      <c r="U1057" s="215"/>
      <c r="V1057" s="215"/>
      <c r="W1057" s="215"/>
      <c r="X1057" s="215"/>
      <c r="AD1057" s="196"/>
    </row>
    <row r="1058" spans="3:30" s="195" customFormat="1" ht="15">
      <c r="C1058" s="215"/>
      <c r="D1058" s="215"/>
      <c r="E1058" s="215"/>
      <c r="F1058" s="215"/>
      <c r="G1058" s="215"/>
      <c r="H1058" s="215"/>
      <c r="I1058" s="215"/>
      <c r="J1058" s="215"/>
      <c r="K1058" s="215"/>
      <c r="L1058" s="215"/>
      <c r="M1058" s="215"/>
      <c r="N1058" s="215"/>
      <c r="O1058" s="215"/>
      <c r="P1058" s="215"/>
      <c r="Q1058" s="215"/>
      <c r="R1058" s="215"/>
      <c r="S1058" s="215"/>
      <c r="T1058" s="215"/>
      <c r="U1058" s="215"/>
      <c r="V1058" s="215"/>
      <c r="W1058" s="215"/>
      <c r="X1058" s="215"/>
      <c r="AD1058" s="196"/>
    </row>
    <row r="1059" spans="3:30" s="195" customFormat="1" ht="15">
      <c r="C1059" s="215"/>
      <c r="D1059" s="215"/>
      <c r="E1059" s="215"/>
      <c r="F1059" s="215"/>
      <c r="G1059" s="215"/>
      <c r="H1059" s="215"/>
      <c r="I1059" s="215"/>
      <c r="J1059" s="215"/>
      <c r="K1059" s="215"/>
      <c r="L1059" s="215"/>
      <c r="M1059" s="215"/>
      <c r="N1059" s="215"/>
      <c r="O1059" s="215"/>
      <c r="P1059" s="215"/>
      <c r="Q1059" s="215"/>
      <c r="R1059" s="215"/>
      <c r="S1059" s="215"/>
      <c r="T1059" s="215"/>
      <c r="U1059" s="215"/>
      <c r="V1059" s="215"/>
      <c r="W1059" s="215"/>
      <c r="X1059" s="215"/>
      <c r="AD1059" s="196"/>
    </row>
    <row r="1060" spans="3:30" s="195" customFormat="1" ht="15">
      <c r="C1060" s="215"/>
      <c r="D1060" s="215"/>
      <c r="E1060" s="215"/>
      <c r="F1060" s="215"/>
      <c r="G1060" s="215"/>
      <c r="H1060" s="215"/>
      <c r="I1060" s="215"/>
      <c r="J1060" s="215"/>
      <c r="K1060" s="215"/>
      <c r="L1060" s="215"/>
      <c r="M1060" s="215"/>
      <c r="N1060" s="215"/>
      <c r="O1060" s="215"/>
      <c r="P1060" s="215"/>
      <c r="Q1060" s="215"/>
      <c r="R1060" s="215"/>
      <c r="S1060" s="215"/>
      <c r="T1060" s="215"/>
      <c r="U1060" s="215"/>
      <c r="V1060" s="215"/>
      <c r="W1060" s="215"/>
      <c r="X1060" s="215"/>
      <c r="AD1060" s="196"/>
    </row>
    <row r="1061" spans="3:30" s="195" customFormat="1" ht="15">
      <c r="C1061" s="215"/>
      <c r="D1061" s="215"/>
      <c r="E1061" s="215"/>
      <c r="F1061" s="215"/>
      <c r="G1061" s="215"/>
      <c r="H1061" s="215"/>
      <c r="I1061" s="215"/>
      <c r="J1061" s="215"/>
      <c r="K1061" s="215"/>
      <c r="L1061" s="215"/>
      <c r="M1061" s="215"/>
      <c r="N1061" s="215"/>
      <c r="O1061" s="215"/>
      <c r="P1061" s="215"/>
      <c r="Q1061" s="215"/>
      <c r="R1061" s="215"/>
      <c r="S1061" s="215"/>
      <c r="T1061" s="215"/>
      <c r="U1061" s="215"/>
      <c r="V1061" s="215"/>
      <c r="W1061" s="215"/>
      <c r="X1061" s="215"/>
      <c r="AD1061" s="196"/>
    </row>
    <row r="1062" spans="3:30" s="195" customFormat="1" ht="15">
      <c r="C1062" s="215"/>
      <c r="D1062" s="215"/>
      <c r="E1062" s="215"/>
      <c r="F1062" s="215"/>
      <c r="G1062" s="215"/>
      <c r="H1062" s="215"/>
      <c r="I1062" s="215"/>
      <c r="J1062" s="215"/>
      <c r="K1062" s="215"/>
      <c r="L1062" s="215"/>
      <c r="M1062" s="215"/>
      <c r="N1062" s="215"/>
      <c r="O1062" s="215"/>
      <c r="P1062" s="215"/>
      <c r="Q1062" s="215"/>
      <c r="R1062" s="215"/>
      <c r="S1062" s="215"/>
      <c r="T1062" s="215"/>
      <c r="U1062" s="215"/>
      <c r="V1062" s="215"/>
      <c r="W1062" s="215"/>
      <c r="X1062" s="215"/>
      <c r="AD1062" s="196"/>
    </row>
    <row r="1063" spans="3:30" s="195" customFormat="1" ht="15">
      <c r="C1063" s="215"/>
      <c r="D1063" s="215"/>
      <c r="E1063" s="215"/>
      <c r="F1063" s="215"/>
      <c r="G1063" s="215"/>
      <c r="H1063" s="215"/>
      <c r="I1063" s="215"/>
      <c r="J1063" s="215"/>
      <c r="K1063" s="215"/>
      <c r="L1063" s="215"/>
      <c r="M1063" s="215"/>
      <c r="N1063" s="215"/>
      <c r="O1063" s="215"/>
      <c r="P1063" s="215"/>
      <c r="Q1063" s="215"/>
      <c r="R1063" s="215"/>
      <c r="S1063" s="215"/>
      <c r="T1063" s="215"/>
      <c r="U1063" s="215"/>
      <c r="V1063" s="215"/>
      <c r="W1063" s="215"/>
      <c r="X1063" s="215"/>
      <c r="AD1063" s="196"/>
    </row>
    <row r="1064" spans="3:30" s="195" customFormat="1" ht="15">
      <c r="C1064" s="215"/>
      <c r="D1064" s="215"/>
      <c r="E1064" s="215"/>
      <c r="F1064" s="215"/>
      <c r="G1064" s="215"/>
      <c r="H1064" s="215"/>
      <c r="I1064" s="215"/>
      <c r="J1064" s="215"/>
      <c r="K1064" s="215"/>
      <c r="L1064" s="215"/>
      <c r="M1064" s="215"/>
      <c r="N1064" s="215"/>
      <c r="O1064" s="215"/>
      <c r="P1064" s="215"/>
      <c r="Q1064" s="215"/>
      <c r="R1064" s="215"/>
      <c r="S1064" s="215"/>
      <c r="T1064" s="215"/>
      <c r="U1064" s="215"/>
      <c r="V1064" s="215"/>
      <c r="W1064" s="215"/>
      <c r="X1064" s="215"/>
      <c r="AD1064" s="196"/>
    </row>
    <row r="1065" spans="3:30" s="195" customFormat="1" ht="15">
      <c r="C1065" s="215"/>
      <c r="D1065" s="215"/>
      <c r="E1065" s="215"/>
      <c r="F1065" s="215"/>
      <c r="G1065" s="215"/>
      <c r="H1065" s="215"/>
      <c r="I1065" s="215"/>
      <c r="J1065" s="215"/>
      <c r="K1065" s="215"/>
      <c r="L1065" s="215"/>
      <c r="M1065" s="215"/>
      <c r="N1065" s="215"/>
      <c r="O1065" s="215"/>
      <c r="P1065" s="215"/>
      <c r="Q1065" s="215"/>
      <c r="R1065" s="215"/>
      <c r="S1065" s="215"/>
      <c r="T1065" s="215"/>
      <c r="U1065" s="215"/>
      <c r="V1065" s="215"/>
      <c r="W1065" s="215"/>
      <c r="X1065" s="215"/>
      <c r="AD1065" s="196"/>
    </row>
    <row r="1066" spans="3:30" s="195" customFormat="1" ht="15">
      <c r="C1066" s="215"/>
      <c r="D1066" s="215"/>
      <c r="E1066" s="215"/>
      <c r="F1066" s="215"/>
      <c r="G1066" s="215"/>
      <c r="H1066" s="215"/>
      <c r="I1066" s="215"/>
      <c r="J1066" s="215"/>
      <c r="K1066" s="215"/>
      <c r="L1066" s="215"/>
      <c r="M1066" s="215"/>
      <c r="N1066" s="215"/>
      <c r="O1066" s="215"/>
      <c r="P1066" s="215"/>
      <c r="Q1066" s="215"/>
      <c r="R1066" s="215"/>
      <c r="S1066" s="215"/>
      <c r="T1066" s="215"/>
      <c r="U1066" s="215"/>
      <c r="V1066" s="215"/>
      <c r="W1066" s="215"/>
      <c r="X1066" s="215"/>
      <c r="AD1066" s="196"/>
    </row>
    <row r="1067" spans="3:30" s="195" customFormat="1" ht="15">
      <c r="C1067" s="215"/>
      <c r="D1067" s="215"/>
      <c r="E1067" s="215"/>
      <c r="F1067" s="215"/>
      <c r="G1067" s="215"/>
      <c r="H1067" s="215"/>
      <c r="I1067" s="215"/>
      <c r="J1067" s="215"/>
      <c r="K1067" s="215"/>
      <c r="L1067" s="215"/>
      <c r="M1067" s="215"/>
      <c r="N1067" s="215"/>
      <c r="O1067" s="215"/>
      <c r="P1067" s="215"/>
      <c r="Q1067" s="215"/>
      <c r="R1067" s="215"/>
      <c r="S1067" s="215"/>
      <c r="T1067" s="215"/>
      <c r="U1067" s="215"/>
      <c r="V1067" s="215"/>
      <c r="W1067" s="215"/>
      <c r="X1067" s="215"/>
      <c r="AD1067" s="196"/>
    </row>
    <row r="1068" spans="3:30" s="195" customFormat="1" ht="15">
      <c r="C1068" s="215"/>
      <c r="D1068" s="215"/>
      <c r="E1068" s="215"/>
      <c r="F1068" s="215"/>
      <c r="G1068" s="215"/>
      <c r="H1068" s="215"/>
      <c r="I1068" s="215"/>
      <c r="J1068" s="215"/>
      <c r="K1068" s="215"/>
      <c r="L1068" s="215"/>
      <c r="M1068" s="215"/>
      <c r="N1068" s="215"/>
      <c r="O1068" s="215"/>
      <c r="P1068" s="215"/>
      <c r="Q1068" s="215"/>
      <c r="R1068" s="215"/>
      <c r="S1068" s="215"/>
      <c r="T1068" s="215"/>
      <c r="U1068" s="215"/>
      <c r="V1068" s="215"/>
      <c r="W1068" s="215"/>
      <c r="X1068" s="215"/>
      <c r="AD1068" s="196"/>
    </row>
    <row r="1069" spans="3:30" s="195" customFormat="1" ht="15">
      <c r="C1069" s="215"/>
      <c r="D1069" s="215"/>
      <c r="E1069" s="215"/>
      <c r="F1069" s="215"/>
      <c r="G1069" s="215"/>
      <c r="H1069" s="215"/>
      <c r="I1069" s="215"/>
      <c r="J1069" s="215"/>
      <c r="K1069" s="215"/>
      <c r="L1069" s="215"/>
      <c r="M1069" s="215"/>
      <c r="N1069" s="215"/>
      <c r="O1069" s="215"/>
      <c r="P1069" s="215"/>
      <c r="Q1069" s="215"/>
      <c r="R1069" s="215"/>
      <c r="S1069" s="215"/>
      <c r="T1069" s="215"/>
      <c r="U1069" s="215"/>
      <c r="V1069" s="215"/>
      <c r="W1069" s="215"/>
      <c r="X1069" s="215"/>
      <c r="AD1069" s="196"/>
    </row>
    <row r="1070" spans="3:30" s="195" customFormat="1" ht="15">
      <c r="C1070" s="215"/>
      <c r="D1070" s="215"/>
      <c r="E1070" s="215"/>
      <c r="F1070" s="215"/>
      <c r="G1070" s="215"/>
      <c r="H1070" s="215"/>
      <c r="I1070" s="215"/>
      <c r="J1070" s="215"/>
      <c r="K1070" s="215"/>
      <c r="L1070" s="215"/>
      <c r="M1070" s="215"/>
      <c r="N1070" s="215"/>
      <c r="O1070" s="215"/>
      <c r="P1070" s="215"/>
      <c r="Q1070" s="215"/>
      <c r="R1070" s="215"/>
      <c r="S1070" s="215"/>
      <c r="T1070" s="215"/>
      <c r="U1070" s="215"/>
      <c r="V1070" s="215"/>
      <c r="W1070" s="215"/>
      <c r="X1070" s="215"/>
      <c r="AD1070" s="196"/>
    </row>
    <row r="1071" spans="3:30" s="195" customFormat="1" ht="15">
      <c r="C1071" s="215"/>
      <c r="D1071" s="215"/>
      <c r="E1071" s="215"/>
      <c r="F1071" s="215"/>
      <c r="G1071" s="215"/>
      <c r="H1071" s="215"/>
      <c r="I1071" s="215"/>
      <c r="J1071" s="215"/>
      <c r="K1071" s="215"/>
      <c r="L1071" s="215"/>
      <c r="M1071" s="215"/>
      <c r="N1071" s="215"/>
      <c r="O1071" s="215"/>
      <c r="P1071" s="215"/>
      <c r="Q1071" s="215"/>
      <c r="R1071" s="215"/>
      <c r="S1071" s="215"/>
      <c r="T1071" s="215"/>
      <c r="U1071" s="215"/>
      <c r="V1071" s="215"/>
      <c r="W1071" s="215"/>
      <c r="X1071" s="215"/>
      <c r="AD1071" s="196"/>
    </row>
    <row r="1072" spans="3:30" s="195" customFormat="1" ht="15">
      <c r="C1072" s="215"/>
      <c r="D1072" s="215"/>
      <c r="E1072" s="215"/>
      <c r="F1072" s="215"/>
      <c r="G1072" s="215"/>
      <c r="H1072" s="215"/>
      <c r="I1072" s="215"/>
      <c r="J1072" s="215"/>
      <c r="K1072" s="215"/>
      <c r="L1072" s="215"/>
      <c r="M1072" s="215"/>
      <c r="N1072" s="215"/>
      <c r="O1072" s="215"/>
      <c r="P1072" s="215"/>
      <c r="Q1072" s="215"/>
      <c r="R1072" s="215"/>
      <c r="S1072" s="215"/>
      <c r="T1072" s="215"/>
      <c r="U1072" s="215"/>
      <c r="V1072" s="215"/>
      <c r="W1072" s="215"/>
      <c r="X1072" s="215"/>
      <c r="AD1072" s="196"/>
    </row>
    <row r="1073" spans="3:30" s="195" customFormat="1" ht="15">
      <c r="C1073" s="215"/>
      <c r="D1073" s="215"/>
      <c r="E1073" s="215"/>
      <c r="F1073" s="215"/>
      <c r="G1073" s="215"/>
      <c r="H1073" s="215"/>
      <c r="I1073" s="215"/>
      <c r="J1073" s="215"/>
      <c r="K1073" s="215"/>
      <c r="L1073" s="215"/>
      <c r="M1073" s="215"/>
      <c r="N1073" s="215"/>
      <c r="O1073" s="215"/>
      <c r="P1073" s="215"/>
      <c r="Q1073" s="215"/>
      <c r="R1073" s="215"/>
      <c r="S1073" s="215"/>
      <c r="T1073" s="215"/>
      <c r="U1073" s="215"/>
      <c r="V1073" s="215"/>
      <c r="W1073" s="215"/>
      <c r="X1073" s="215"/>
      <c r="AD1073" s="196"/>
    </row>
    <row r="1074" spans="3:30" s="195" customFormat="1" ht="15">
      <c r="C1074" s="215"/>
      <c r="D1074" s="215"/>
      <c r="E1074" s="215"/>
      <c r="F1074" s="215"/>
      <c r="G1074" s="215"/>
      <c r="H1074" s="215"/>
      <c r="I1074" s="215"/>
      <c r="J1074" s="215"/>
      <c r="K1074" s="215"/>
      <c r="L1074" s="215"/>
      <c r="M1074" s="215"/>
      <c r="N1074" s="215"/>
      <c r="O1074" s="215"/>
      <c r="P1074" s="215"/>
      <c r="Q1074" s="215"/>
      <c r="R1074" s="215"/>
      <c r="S1074" s="215"/>
      <c r="T1074" s="215"/>
      <c r="U1074" s="215"/>
      <c r="V1074" s="215"/>
      <c r="W1074" s="215"/>
      <c r="X1074" s="215"/>
      <c r="AD1074" s="196"/>
    </row>
    <row r="1075" spans="3:30" s="195" customFormat="1" ht="15">
      <c r="C1075" s="215"/>
      <c r="D1075" s="215"/>
      <c r="E1075" s="215"/>
      <c r="F1075" s="215"/>
      <c r="G1075" s="215"/>
      <c r="H1075" s="215"/>
      <c r="I1075" s="215"/>
      <c r="J1075" s="215"/>
      <c r="K1075" s="215"/>
      <c r="L1075" s="215"/>
      <c r="M1075" s="215"/>
      <c r="N1075" s="215"/>
      <c r="O1075" s="215"/>
      <c r="P1075" s="215"/>
      <c r="Q1075" s="215"/>
      <c r="R1075" s="215"/>
      <c r="S1075" s="215"/>
      <c r="T1075" s="215"/>
      <c r="U1075" s="215"/>
      <c r="V1075" s="215"/>
      <c r="W1075" s="215"/>
      <c r="X1075" s="215"/>
      <c r="AD1075" s="196"/>
    </row>
    <row r="1076" spans="3:30" s="195" customFormat="1" ht="15">
      <c r="C1076" s="215"/>
      <c r="D1076" s="215"/>
      <c r="E1076" s="215"/>
      <c r="F1076" s="215"/>
      <c r="G1076" s="215"/>
      <c r="H1076" s="215"/>
      <c r="I1076" s="215"/>
      <c r="J1076" s="215"/>
      <c r="K1076" s="215"/>
      <c r="L1076" s="215"/>
      <c r="M1076" s="215"/>
      <c r="N1076" s="215"/>
      <c r="O1076" s="215"/>
      <c r="P1076" s="215"/>
      <c r="Q1076" s="215"/>
      <c r="R1076" s="215"/>
      <c r="S1076" s="215"/>
      <c r="T1076" s="215"/>
      <c r="U1076" s="215"/>
      <c r="V1076" s="215"/>
      <c r="W1076" s="215"/>
      <c r="X1076" s="215"/>
      <c r="AD1076" s="196"/>
    </row>
    <row r="1077" spans="3:30" s="195" customFormat="1" ht="15">
      <c r="C1077" s="215"/>
      <c r="D1077" s="215"/>
      <c r="E1077" s="215"/>
      <c r="F1077" s="215"/>
      <c r="G1077" s="215"/>
      <c r="H1077" s="215"/>
      <c r="I1077" s="215"/>
      <c r="J1077" s="215"/>
      <c r="K1077" s="215"/>
      <c r="L1077" s="215"/>
      <c r="M1077" s="215"/>
      <c r="N1077" s="215"/>
      <c r="O1077" s="215"/>
      <c r="P1077" s="215"/>
      <c r="Q1077" s="215"/>
      <c r="R1077" s="215"/>
      <c r="S1077" s="215"/>
      <c r="T1077" s="215"/>
      <c r="U1077" s="215"/>
      <c r="V1077" s="215"/>
      <c r="W1077" s="215"/>
      <c r="X1077" s="215"/>
      <c r="AD1077" s="196"/>
    </row>
    <row r="1078" spans="3:30" s="195" customFormat="1" ht="15">
      <c r="C1078" s="215"/>
      <c r="D1078" s="215"/>
      <c r="E1078" s="215"/>
      <c r="F1078" s="215"/>
      <c r="G1078" s="215"/>
      <c r="H1078" s="215"/>
      <c r="I1078" s="215"/>
      <c r="J1078" s="215"/>
      <c r="K1078" s="215"/>
      <c r="L1078" s="215"/>
      <c r="M1078" s="215"/>
      <c r="N1078" s="215"/>
      <c r="O1078" s="215"/>
      <c r="P1078" s="215"/>
      <c r="Q1078" s="215"/>
      <c r="R1078" s="215"/>
      <c r="S1078" s="215"/>
      <c r="T1078" s="215"/>
      <c r="U1078" s="215"/>
      <c r="V1078" s="215"/>
      <c r="W1078" s="215"/>
      <c r="X1078" s="215"/>
      <c r="AD1078" s="196"/>
    </row>
    <row r="1079" spans="3:30" s="195" customFormat="1" ht="15">
      <c r="C1079" s="215"/>
      <c r="D1079" s="215"/>
      <c r="E1079" s="215"/>
      <c r="F1079" s="215"/>
      <c r="G1079" s="215"/>
      <c r="H1079" s="215"/>
      <c r="I1079" s="215"/>
      <c r="J1079" s="215"/>
      <c r="K1079" s="215"/>
      <c r="L1079" s="215"/>
      <c r="M1079" s="215"/>
      <c r="N1079" s="215"/>
      <c r="O1079" s="215"/>
      <c r="P1079" s="215"/>
      <c r="Q1079" s="215"/>
      <c r="R1079" s="215"/>
      <c r="S1079" s="215"/>
      <c r="T1079" s="215"/>
      <c r="U1079" s="215"/>
      <c r="V1079" s="215"/>
      <c r="W1079" s="215"/>
      <c r="X1079" s="215"/>
      <c r="AD1079" s="196"/>
    </row>
    <row r="1080" spans="3:30" s="195" customFormat="1" ht="15">
      <c r="C1080" s="215"/>
      <c r="D1080" s="215"/>
      <c r="E1080" s="215"/>
      <c r="F1080" s="215"/>
      <c r="G1080" s="215"/>
      <c r="H1080" s="215"/>
      <c r="I1080" s="215"/>
      <c r="J1080" s="215"/>
      <c r="K1080" s="215"/>
      <c r="L1080" s="215"/>
      <c r="M1080" s="215"/>
      <c r="N1080" s="215"/>
      <c r="O1080" s="215"/>
      <c r="P1080" s="215"/>
      <c r="Q1080" s="215"/>
      <c r="R1080" s="215"/>
      <c r="S1080" s="215"/>
      <c r="T1080" s="215"/>
      <c r="U1080" s="215"/>
      <c r="V1080" s="215"/>
      <c r="W1080" s="215"/>
      <c r="X1080" s="215"/>
      <c r="AD1080" s="196"/>
    </row>
    <row r="1081" spans="3:30" s="195" customFormat="1" ht="15">
      <c r="C1081" s="215"/>
      <c r="D1081" s="215"/>
      <c r="E1081" s="215"/>
      <c r="F1081" s="215"/>
      <c r="G1081" s="215"/>
      <c r="H1081" s="215"/>
      <c r="I1081" s="215"/>
      <c r="J1081" s="215"/>
      <c r="K1081" s="215"/>
      <c r="L1081" s="215"/>
      <c r="M1081" s="215"/>
      <c r="N1081" s="215"/>
      <c r="O1081" s="215"/>
      <c r="P1081" s="215"/>
      <c r="Q1081" s="215"/>
      <c r="R1081" s="215"/>
      <c r="S1081" s="215"/>
      <c r="T1081" s="215"/>
      <c r="U1081" s="215"/>
      <c r="V1081" s="215"/>
      <c r="W1081" s="215"/>
      <c r="X1081" s="215"/>
      <c r="AD1081" s="196"/>
    </row>
    <row r="1082" spans="3:30" s="195" customFormat="1" ht="15">
      <c r="C1082" s="215"/>
      <c r="D1082" s="215"/>
      <c r="E1082" s="215"/>
      <c r="F1082" s="215"/>
      <c r="G1082" s="215"/>
      <c r="H1082" s="215"/>
      <c r="I1082" s="215"/>
      <c r="J1082" s="215"/>
      <c r="K1082" s="215"/>
      <c r="L1082" s="215"/>
      <c r="M1082" s="215"/>
      <c r="N1082" s="215"/>
      <c r="O1082" s="215"/>
      <c r="P1082" s="215"/>
      <c r="Q1082" s="215"/>
      <c r="R1082" s="215"/>
      <c r="S1082" s="215"/>
      <c r="T1082" s="215"/>
      <c r="U1082" s="215"/>
      <c r="V1082" s="215"/>
      <c r="W1082" s="215"/>
      <c r="X1082" s="215"/>
      <c r="AD1082" s="196"/>
    </row>
    <row r="1083" spans="3:30" s="195" customFormat="1" ht="15">
      <c r="C1083" s="215"/>
      <c r="D1083" s="215"/>
      <c r="E1083" s="215"/>
      <c r="F1083" s="215"/>
      <c r="G1083" s="215"/>
      <c r="H1083" s="215"/>
      <c r="I1083" s="215"/>
      <c r="J1083" s="215"/>
      <c r="K1083" s="215"/>
      <c r="L1083" s="215"/>
      <c r="M1083" s="215"/>
      <c r="N1083" s="215"/>
      <c r="O1083" s="215"/>
      <c r="P1083" s="215"/>
      <c r="Q1083" s="215"/>
      <c r="R1083" s="215"/>
      <c r="S1083" s="215"/>
      <c r="T1083" s="215"/>
      <c r="U1083" s="215"/>
      <c r="V1083" s="215"/>
      <c r="W1083" s="215"/>
      <c r="X1083" s="215"/>
      <c r="AD1083" s="196"/>
    </row>
    <row r="1084" spans="3:30" s="195" customFormat="1" ht="15">
      <c r="C1084" s="215"/>
      <c r="D1084" s="215"/>
      <c r="E1084" s="215"/>
      <c r="F1084" s="215"/>
      <c r="G1084" s="215"/>
      <c r="H1084" s="215"/>
      <c r="I1084" s="215"/>
      <c r="J1084" s="215"/>
      <c r="K1084" s="215"/>
      <c r="L1084" s="215"/>
      <c r="M1084" s="215"/>
      <c r="N1084" s="215"/>
      <c r="O1084" s="215"/>
      <c r="P1084" s="215"/>
      <c r="Q1084" s="215"/>
      <c r="R1084" s="215"/>
      <c r="S1084" s="215"/>
      <c r="T1084" s="215"/>
      <c r="U1084" s="215"/>
      <c r="V1084" s="215"/>
      <c r="W1084" s="215"/>
      <c r="X1084" s="215"/>
      <c r="AD1084" s="196"/>
    </row>
    <row r="1085" spans="3:30" s="195" customFormat="1" ht="15">
      <c r="C1085" s="215"/>
      <c r="D1085" s="215"/>
      <c r="E1085" s="215"/>
      <c r="F1085" s="215"/>
      <c r="G1085" s="215"/>
      <c r="H1085" s="215"/>
      <c r="I1085" s="215"/>
      <c r="J1085" s="215"/>
      <c r="K1085" s="215"/>
      <c r="L1085" s="215"/>
      <c r="M1085" s="215"/>
      <c r="N1085" s="215"/>
      <c r="O1085" s="215"/>
      <c r="P1085" s="215"/>
      <c r="Q1085" s="215"/>
      <c r="R1085" s="215"/>
      <c r="S1085" s="215"/>
      <c r="T1085" s="215"/>
      <c r="U1085" s="215"/>
      <c r="V1085" s="215"/>
      <c r="W1085" s="215"/>
      <c r="X1085" s="215"/>
      <c r="AD1085" s="196"/>
    </row>
    <row r="1086" spans="3:30" s="195" customFormat="1" ht="15">
      <c r="C1086" s="215"/>
      <c r="D1086" s="215"/>
      <c r="E1086" s="215"/>
      <c r="F1086" s="215"/>
      <c r="G1086" s="215"/>
      <c r="H1086" s="215"/>
      <c r="I1086" s="215"/>
      <c r="J1086" s="215"/>
      <c r="K1086" s="215"/>
      <c r="L1086" s="215"/>
      <c r="M1086" s="215"/>
      <c r="N1086" s="215"/>
      <c r="O1086" s="215"/>
      <c r="P1086" s="215"/>
      <c r="Q1086" s="215"/>
      <c r="R1086" s="215"/>
      <c r="S1086" s="215"/>
      <c r="T1086" s="215"/>
      <c r="U1086" s="215"/>
      <c r="V1086" s="215"/>
      <c r="W1086" s="215"/>
      <c r="X1086" s="215"/>
      <c r="AD1086" s="196"/>
    </row>
    <row r="1087" spans="3:30" s="195" customFormat="1" ht="15">
      <c r="C1087" s="215"/>
      <c r="D1087" s="215"/>
      <c r="E1087" s="215"/>
      <c r="F1087" s="215"/>
      <c r="G1087" s="215"/>
      <c r="H1087" s="215"/>
      <c r="I1087" s="215"/>
      <c r="J1087" s="215"/>
      <c r="K1087" s="215"/>
      <c r="L1087" s="215"/>
      <c r="M1087" s="215"/>
      <c r="N1087" s="215"/>
      <c r="O1087" s="215"/>
      <c r="P1087" s="215"/>
      <c r="Q1087" s="215"/>
      <c r="R1087" s="215"/>
      <c r="S1087" s="215"/>
      <c r="T1087" s="215"/>
      <c r="U1087" s="215"/>
      <c r="V1087" s="215"/>
      <c r="W1087" s="215"/>
      <c r="X1087" s="215"/>
      <c r="AD1087" s="196"/>
    </row>
    <row r="1088" spans="3:30" s="195" customFormat="1" ht="15">
      <c r="C1088" s="215"/>
      <c r="D1088" s="215"/>
      <c r="E1088" s="215"/>
      <c r="F1088" s="215"/>
      <c r="G1088" s="215"/>
      <c r="H1088" s="215"/>
      <c r="I1088" s="215"/>
      <c r="J1088" s="215"/>
      <c r="K1088" s="215"/>
      <c r="L1088" s="215"/>
      <c r="M1088" s="215"/>
      <c r="N1088" s="215"/>
      <c r="O1088" s="215"/>
      <c r="P1088" s="215"/>
      <c r="Q1088" s="215"/>
      <c r="R1088" s="215"/>
      <c r="S1088" s="215"/>
      <c r="T1088" s="215"/>
      <c r="U1088" s="215"/>
      <c r="V1088" s="215"/>
      <c r="W1088" s="215"/>
      <c r="X1088" s="215"/>
      <c r="AD1088" s="196"/>
    </row>
    <row r="1089" spans="3:30" s="195" customFormat="1" ht="15">
      <c r="C1089" s="215"/>
      <c r="D1089" s="215"/>
      <c r="E1089" s="215"/>
      <c r="F1089" s="215"/>
      <c r="G1089" s="215"/>
      <c r="H1089" s="215"/>
      <c r="I1089" s="215"/>
      <c r="J1089" s="215"/>
      <c r="K1089" s="215"/>
      <c r="L1089" s="215"/>
      <c r="M1089" s="215"/>
      <c r="N1089" s="215"/>
      <c r="O1089" s="215"/>
      <c r="P1089" s="215"/>
      <c r="Q1089" s="215"/>
      <c r="R1089" s="215"/>
      <c r="S1089" s="215"/>
      <c r="T1089" s="215"/>
      <c r="U1089" s="215"/>
      <c r="V1089" s="215"/>
      <c r="W1089" s="215"/>
      <c r="X1089" s="215"/>
      <c r="AD1089" s="196"/>
    </row>
    <row r="1090" spans="3:30" s="195" customFormat="1" ht="15">
      <c r="C1090" s="215"/>
      <c r="D1090" s="215"/>
      <c r="E1090" s="215"/>
      <c r="F1090" s="215"/>
      <c r="G1090" s="215"/>
      <c r="H1090" s="215"/>
      <c r="I1090" s="215"/>
      <c r="J1090" s="215"/>
      <c r="K1090" s="215"/>
      <c r="L1090" s="215"/>
      <c r="M1090" s="215"/>
      <c r="N1090" s="215"/>
      <c r="O1090" s="215"/>
      <c r="P1090" s="215"/>
      <c r="Q1090" s="215"/>
      <c r="R1090" s="215"/>
      <c r="S1090" s="215"/>
      <c r="T1090" s="215"/>
      <c r="U1090" s="215"/>
      <c r="V1090" s="215"/>
      <c r="W1090" s="215"/>
      <c r="X1090" s="215"/>
      <c r="AD1090" s="196"/>
    </row>
    <row r="1091" spans="3:30" s="195" customFormat="1" ht="15">
      <c r="C1091" s="215"/>
      <c r="D1091" s="215"/>
      <c r="E1091" s="215"/>
      <c r="F1091" s="215"/>
      <c r="G1091" s="215"/>
      <c r="H1091" s="215"/>
      <c r="I1091" s="215"/>
      <c r="J1091" s="215"/>
      <c r="K1091" s="215"/>
      <c r="L1091" s="215"/>
      <c r="M1091" s="215"/>
      <c r="N1091" s="215"/>
      <c r="O1091" s="215"/>
      <c r="P1091" s="215"/>
      <c r="Q1091" s="215"/>
      <c r="R1091" s="215"/>
      <c r="S1091" s="215"/>
      <c r="T1091" s="215"/>
      <c r="U1091" s="215"/>
      <c r="V1091" s="215"/>
      <c r="W1091" s="215"/>
      <c r="X1091" s="215"/>
      <c r="AD1091" s="196"/>
    </row>
    <row r="1092" spans="3:30" s="195" customFormat="1" ht="15">
      <c r="C1092" s="215"/>
      <c r="D1092" s="215"/>
      <c r="E1092" s="215"/>
      <c r="F1092" s="215"/>
      <c r="G1092" s="215"/>
      <c r="H1092" s="215"/>
      <c r="I1092" s="215"/>
      <c r="J1092" s="215"/>
      <c r="K1092" s="215"/>
      <c r="L1092" s="215"/>
      <c r="M1092" s="215"/>
      <c r="N1092" s="215"/>
      <c r="O1092" s="215"/>
      <c r="P1092" s="215"/>
      <c r="Q1092" s="215"/>
      <c r="R1092" s="215"/>
      <c r="S1092" s="215"/>
      <c r="T1092" s="215"/>
      <c r="U1092" s="215"/>
      <c r="V1092" s="215"/>
      <c r="W1092" s="215"/>
      <c r="X1092" s="215"/>
      <c r="AD1092" s="196"/>
    </row>
    <row r="1093" spans="3:30" s="195" customFormat="1" ht="15">
      <c r="C1093" s="215"/>
      <c r="D1093" s="215"/>
      <c r="E1093" s="215"/>
      <c r="F1093" s="215"/>
      <c r="G1093" s="215"/>
      <c r="H1093" s="215"/>
      <c r="I1093" s="215"/>
      <c r="J1093" s="215"/>
      <c r="K1093" s="215"/>
      <c r="L1093" s="215"/>
      <c r="M1093" s="215"/>
      <c r="N1093" s="215"/>
      <c r="O1093" s="215"/>
      <c r="P1093" s="215"/>
      <c r="Q1093" s="215"/>
      <c r="R1093" s="215"/>
      <c r="S1093" s="215"/>
      <c r="T1093" s="215"/>
      <c r="U1093" s="215"/>
      <c r="V1093" s="215"/>
      <c r="W1093" s="215"/>
      <c r="X1093" s="215"/>
      <c r="AD1093" s="196"/>
    </row>
    <row r="1094" spans="3:30" s="195" customFormat="1" ht="15">
      <c r="C1094" s="215"/>
      <c r="D1094" s="215"/>
      <c r="E1094" s="215"/>
      <c r="F1094" s="215"/>
      <c r="G1094" s="215"/>
      <c r="H1094" s="215"/>
      <c r="I1094" s="215"/>
      <c r="J1094" s="215"/>
      <c r="K1094" s="215"/>
      <c r="L1094" s="215"/>
      <c r="M1094" s="215"/>
      <c r="N1094" s="215"/>
      <c r="O1094" s="215"/>
      <c r="P1094" s="215"/>
      <c r="Q1094" s="215"/>
      <c r="R1094" s="215"/>
      <c r="S1094" s="215"/>
      <c r="T1094" s="215"/>
      <c r="U1094" s="215"/>
      <c r="V1094" s="215"/>
      <c r="W1094" s="215"/>
      <c r="X1094" s="215"/>
      <c r="AD1094" s="196"/>
    </row>
    <row r="1095" spans="3:30" s="195" customFormat="1" ht="15">
      <c r="C1095" s="215"/>
      <c r="D1095" s="215"/>
      <c r="E1095" s="215"/>
      <c r="F1095" s="215"/>
      <c r="G1095" s="215"/>
      <c r="H1095" s="215"/>
      <c r="I1095" s="215"/>
      <c r="J1095" s="215"/>
      <c r="K1095" s="215"/>
      <c r="L1095" s="215"/>
      <c r="M1095" s="215"/>
      <c r="N1095" s="215"/>
      <c r="O1095" s="215"/>
      <c r="P1095" s="215"/>
      <c r="Q1095" s="215"/>
      <c r="R1095" s="215"/>
      <c r="S1095" s="215"/>
      <c r="T1095" s="215"/>
      <c r="U1095" s="215"/>
      <c r="V1095" s="215"/>
      <c r="W1095" s="215"/>
      <c r="X1095" s="215"/>
      <c r="AD1095" s="196"/>
    </row>
    <row r="1096" spans="3:30" s="195" customFormat="1" ht="15">
      <c r="C1096" s="215"/>
      <c r="D1096" s="215"/>
      <c r="E1096" s="215"/>
      <c r="F1096" s="215"/>
      <c r="G1096" s="215"/>
      <c r="H1096" s="215"/>
      <c r="I1096" s="215"/>
      <c r="J1096" s="215"/>
      <c r="K1096" s="215"/>
      <c r="L1096" s="215"/>
      <c r="M1096" s="215"/>
      <c r="N1096" s="215"/>
      <c r="O1096" s="215"/>
      <c r="P1096" s="215"/>
      <c r="Q1096" s="215"/>
      <c r="R1096" s="215"/>
      <c r="S1096" s="215"/>
      <c r="T1096" s="215"/>
      <c r="U1096" s="215"/>
      <c r="V1096" s="215"/>
      <c r="W1096" s="215"/>
      <c r="X1096" s="215"/>
      <c r="AD1096" s="196"/>
    </row>
    <row r="1097" spans="3:30" s="195" customFormat="1" ht="15">
      <c r="C1097" s="215"/>
      <c r="D1097" s="215"/>
      <c r="E1097" s="215"/>
      <c r="F1097" s="215"/>
      <c r="G1097" s="215"/>
      <c r="H1097" s="215"/>
      <c r="I1097" s="215"/>
      <c r="J1097" s="215"/>
      <c r="K1097" s="215"/>
      <c r="L1097" s="215"/>
      <c r="M1097" s="215"/>
      <c r="N1097" s="215"/>
      <c r="O1097" s="215"/>
      <c r="P1097" s="215"/>
      <c r="Q1097" s="215"/>
      <c r="R1097" s="215"/>
      <c r="S1097" s="215"/>
      <c r="T1097" s="215"/>
      <c r="U1097" s="215"/>
      <c r="V1097" s="215"/>
      <c r="W1097" s="215"/>
      <c r="X1097" s="215"/>
      <c r="AD1097" s="196"/>
    </row>
    <row r="1098" spans="3:30" s="195" customFormat="1" ht="15">
      <c r="C1098" s="215"/>
      <c r="D1098" s="215"/>
      <c r="E1098" s="215"/>
      <c r="F1098" s="215"/>
      <c r="G1098" s="215"/>
      <c r="H1098" s="215"/>
      <c r="I1098" s="215"/>
      <c r="J1098" s="215"/>
      <c r="K1098" s="215"/>
      <c r="L1098" s="215"/>
      <c r="M1098" s="215"/>
      <c r="N1098" s="215"/>
      <c r="O1098" s="215"/>
      <c r="P1098" s="215"/>
      <c r="Q1098" s="215"/>
      <c r="R1098" s="215"/>
      <c r="S1098" s="215"/>
      <c r="T1098" s="215"/>
      <c r="U1098" s="215"/>
      <c r="V1098" s="215"/>
      <c r="W1098" s="215"/>
      <c r="X1098" s="215"/>
      <c r="AD1098" s="196"/>
    </row>
    <row r="1099" spans="3:30" s="195" customFormat="1" ht="15">
      <c r="C1099" s="215"/>
      <c r="D1099" s="215"/>
      <c r="E1099" s="215"/>
      <c r="F1099" s="215"/>
      <c r="G1099" s="215"/>
      <c r="H1099" s="215"/>
      <c r="I1099" s="215"/>
      <c r="J1099" s="215"/>
      <c r="K1099" s="215"/>
      <c r="L1099" s="215"/>
      <c r="M1099" s="215"/>
      <c r="N1099" s="215"/>
      <c r="O1099" s="215"/>
      <c r="P1099" s="215"/>
      <c r="Q1099" s="215"/>
      <c r="R1099" s="215"/>
      <c r="S1099" s="215"/>
      <c r="T1099" s="215"/>
      <c r="U1099" s="215"/>
      <c r="V1099" s="215"/>
      <c r="W1099" s="215"/>
      <c r="X1099" s="215"/>
      <c r="AD1099" s="196"/>
    </row>
    <row r="1100" spans="3:30" s="195" customFormat="1" ht="15">
      <c r="C1100" s="215"/>
      <c r="D1100" s="215"/>
      <c r="E1100" s="215"/>
      <c r="F1100" s="215"/>
      <c r="G1100" s="215"/>
      <c r="H1100" s="215"/>
      <c r="I1100" s="215"/>
      <c r="J1100" s="215"/>
      <c r="K1100" s="215"/>
      <c r="L1100" s="215"/>
      <c r="M1100" s="215"/>
      <c r="N1100" s="215"/>
      <c r="O1100" s="215"/>
      <c r="P1100" s="215"/>
      <c r="Q1100" s="215"/>
      <c r="R1100" s="215"/>
      <c r="S1100" s="215"/>
      <c r="T1100" s="215"/>
      <c r="U1100" s="215"/>
      <c r="V1100" s="215"/>
      <c r="W1100" s="215"/>
      <c r="X1100" s="215"/>
      <c r="AD1100" s="196"/>
    </row>
    <row r="1101" spans="3:30" s="195" customFormat="1" ht="15">
      <c r="C1101" s="215"/>
      <c r="D1101" s="215"/>
      <c r="E1101" s="215"/>
      <c r="F1101" s="215"/>
      <c r="G1101" s="215"/>
      <c r="H1101" s="215"/>
      <c r="I1101" s="215"/>
      <c r="J1101" s="215"/>
      <c r="K1101" s="215"/>
      <c r="L1101" s="215"/>
      <c r="M1101" s="215"/>
      <c r="N1101" s="215"/>
      <c r="O1101" s="215"/>
      <c r="P1101" s="215"/>
      <c r="Q1101" s="215"/>
      <c r="R1101" s="215"/>
      <c r="S1101" s="215"/>
      <c r="T1101" s="215"/>
      <c r="U1101" s="215"/>
      <c r="V1101" s="215"/>
      <c r="W1101" s="215"/>
      <c r="X1101" s="215"/>
      <c r="AD1101" s="196"/>
    </row>
    <row r="1102" spans="3:30" s="195" customFormat="1" ht="15">
      <c r="C1102" s="215"/>
      <c r="D1102" s="215"/>
      <c r="E1102" s="215"/>
      <c r="F1102" s="215"/>
      <c r="G1102" s="215"/>
      <c r="H1102" s="215"/>
      <c r="I1102" s="215"/>
      <c r="J1102" s="215"/>
      <c r="K1102" s="215"/>
      <c r="L1102" s="215"/>
      <c r="M1102" s="215"/>
      <c r="N1102" s="215"/>
      <c r="O1102" s="215"/>
      <c r="P1102" s="215"/>
      <c r="Q1102" s="215"/>
      <c r="R1102" s="215"/>
      <c r="S1102" s="215"/>
      <c r="T1102" s="215"/>
      <c r="U1102" s="215"/>
      <c r="V1102" s="215"/>
      <c r="W1102" s="215"/>
      <c r="X1102" s="215"/>
      <c r="AD1102" s="196"/>
    </row>
    <row r="1103" spans="3:30" s="195" customFormat="1" ht="15">
      <c r="C1103" s="215"/>
      <c r="D1103" s="215"/>
      <c r="E1103" s="215"/>
      <c r="F1103" s="215"/>
      <c r="G1103" s="215"/>
      <c r="H1103" s="215"/>
      <c r="I1103" s="215"/>
      <c r="J1103" s="215"/>
      <c r="K1103" s="215"/>
      <c r="L1103" s="215"/>
      <c r="M1103" s="215"/>
      <c r="N1103" s="215"/>
      <c r="O1103" s="215"/>
      <c r="P1103" s="215"/>
      <c r="Q1103" s="215"/>
      <c r="R1103" s="215"/>
      <c r="S1103" s="215"/>
      <c r="T1103" s="215"/>
      <c r="U1103" s="215"/>
      <c r="V1103" s="215"/>
      <c r="W1103" s="215"/>
      <c r="X1103" s="215"/>
      <c r="AD1103" s="196"/>
    </row>
    <row r="1104" spans="3:30" s="195" customFormat="1" ht="15">
      <c r="C1104" s="215"/>
      <c r="D1104" s="215"/>
      <c r="E1104" s="215"/>
      <c r="F1104" s="215"/>
      <c r="G1104" s="215"/>
      <c r="H1104" s="215"/>
      <c r="I1104" s="215"/>
      <c r="J1104" s="215"/>
      <c r="K1104" s="215"/>
      <c r="L1104" s="215"/>
      <c r="M1104" s="215"/>
      <c r="N1104" s="215"/>
      <c r="O1104" s="215"/>
      <c r="P1104" s="215"/>
      <c r="Q1104" s="215"/>
      <c r="R1104" s="215"/>
      <c r="S1104" s="215"/>
      <c r="T1104" s="215"/>
      <c r="U1104" s="215"/>
      <c r="V1104" s="215"/>
      <c r="W1104" s="215"/>
      <c r="X1104" s="215"/>
      <c r="AD1104" s="196"/>
    </row>
    <row r="1105" spans="3:30" s="195" customFormat="1" ht="15">
      <c r="C1105" s="215"/>
      <c r="D1105" s="215"/>
      <c r="E1105" s="215"/>
      <c r="F1105" s="215"/>
      <c r="G1105" s="215"/>
      <c r="H1105" s="215"/>
      <c r="I1105" s="215"/>
      <c r="J1105" s="215"/>
      <c r="K1105" s="215"/>
      <c r="L1105" s="215"/>
      <c r="M1105" s="215"/>
      <c r="N1105" s="215"/>
      <c r="O1105" s="215"/>
      <c r="P1105" s="215"/>
      <c r="Q1105" s="215"/>
      <c r="R1105" s="215"/>
      <c r="S1105" s="215"/>
      <c r="T1105" s="215"/>
      <c r="U1105" s="215"/>
      <c r="V1105" s="215"/>
      <c r="W1105" s="215"/>
      <c r="X1105" s="215"/>
      <c r="AD1105" s="196"/>
    </row>
    <row r="1106" spans="3:30" s="195" customFormat="1" ht="15">
      <c r="C1106" s="215"/>
      <c r="D1106" s="215"/>
      <c r="E1106" s="215"/>
      <c r="F1106" s="215"/>
      <c r="G1106" s="215"/>
      <c r="H1106" s="215"/>
      <c r="I1106" s="215"/>
      <c r="J1106" s="215"/>
      <c r="K1106" s="215"/>
      <c r="L1106" s="215"/>
      <c r="M1106" s="215"/>
      <c r="N1106" s="215"/>
      <c r="O1106" s="215"/>
      <c r="P1106" s="215"/>
      <c r="Q1106" s="215"/>
      <c r="R1106" s="215"/>
      <c r="S1106" s="215"/>
      <c r="T1106" s="215"/>
      <c r="U1106" s="215"/>
      <c r="V1106" s="215"/>
      <c r="W1106" s="215"/>
      <c r="X1106" s="215"/>
      <c r="AD1106" s="196"/>
    </row>
    <row r="1107" spans="3:30" s="195" customFormat="1" ht="15">
      <c r="C1107" s="215"/>
      <c r="D1107" s="215"/>
      <c r="E1107" s="215"/>
      <c r="F1107" s="215"/>
      <c r="G1107" s="215"/>
      <c r="H1107" s="215"/>
      <c r="I1107" s="215"/>
      <c r="J1107" s="215"/>
      <c r="K1107" s="215"/>
      <c r="L1107" s="215"/>
      <c r="M1107" s="215"/>
      <c r="N1107" s="215"/>
      <c r="O1107" s="215"/>
      <c r="P1107" s="215"/>
      <c r="Q1107" s="215"/>
      <c r="R1107" s="215"/>
      <c r="S1107" s="215"/>
      <c r="T1107" s="215"/>
      <c r="U1107" s="215"/>
      <c r="V1107" s="215"/>
      <c r="W1107" s="215"/>
      <c r="X1107" s="215"/>
      <c r="AD1107" s="196"/>
    </row>
    <row r="1108" spans="3:30" s="195" customFormat="1" ht="15">
      <c r="C1108" s="215"/>
      <c r="D1108" s="215"/>
      <c r="E1108" s="215"/>
      <c r="F1108" s="215"/>
      <c r="G1108" s="215"/>
      <c r="H1108" s="215"/>
      <c r="I1108" s="215"/>
      <c r="J1108" s="215"/>
      <c r="K1108" s="215"/>
      <c r="L1108" s="215"/>
      <c r="M1108" s="215"/>
      <c r="N1108" s="215"/>
      <c r="O1108" s="215"/>
      <c r="P1108" s="215"/>
      <c r="Q1108" s="215"/>
      <c r="R1108" s="215"/>
      <c r="S1108" s="215"/>
      <c r="T1108" s="215"/>
      <c r="U1108" s="215"/>
      <c r="V1108" s="215"/>
      <c r="W1108" s="215"/>
      <c r="X1108" s="215"/>
      <c r="AD1108" s="196"/>
    </row>
    <row r="1109" spans="3:30" s="195" customFormat="1" ht="15">
      <c r="C1109" s="215"/>
      <c r="D1109" s="215"/>
      <c r="E1109" s="215"/>
      <c r="F1109" s="215"/>
      <c r="G1109" s="215"/>
      <c r="H1109" s="215"/>
      <c r="I1109" s="215"/>
      <c r="J1109" s="215"/>
      <c r="K1109" s="215"/>
      <c r="L1109" s="215"/>
      <c r="M1109" s="215"/>
      <c r="N1109" s="215"/>
      <c r="O1109" s="215"/>
      <c r="P1109" s="215"/>
      <c r="Q1109" s="215"/>
      <c r="R1109" s="215"/>
      <c r="S1109" s="215"/>
      <c r="T1109" s="215"/>
      <c r="U1109" s="215"/>
      <c r="V1109" s="215"/>
      <c r="W1109" s="215"/>
      <c r="X1109" s="215"/>
      <c r="AD1109" s="196"/>
    </row>
    <row r="1110" spans="3:30" s="195" customFormat="1" ht="15">
      <c r="C1110" s="215"/>
      <c r="D1110" s="215"/>
      <c r="E1110" s="215"/>
      <c r="F1110" s="215"/>
      <c r="G1110" s="215"/>
      <c r="H1110" s="215"/>
      <c r="I1110" s="215"/>
      <c r="J1110" s="215"/>
      <c r="K1110" s="215"/>
      <c r="L1110" s="215"/>
      <c r="M1110" s="215"/>
      <c r="N1110" s="215"/>
      <c r="O1110" s="215"/>
      <c r="P1110" s="215"/>
      <c r="Q1110" s="215"/>
      <c r="R1110" s="215"/>
      <c r="S1110" s="215"/>
      <c r="T1110" s="215"/>
      <c r="U1110" s="215"/>
      <c r="V1110" s="215"/>
      <c r="W1110" s="215"/>
      <c r="X1110" s="215"/>
      <c r="AD1110" s="196"/>
    </row>
    <row r="1111" spans="3:30" s="195" customFormat="1" ht="15">
      <c r="C1111" s="215"/>
      <c r="D1111" s="215"/>
      <c r="E1111" s="215"/>
      <c r="F1111" s="215"/>
      <c r="G1111" s="215"/>
      <c r="H1111" s="215"/>
      <c r="I1111" s="215"/>
      <c r="J1111" s="215"/>
      <c r="K1111" s="215"/>
      <c r="L1111" s="215"/>
      <c r="M1111" s="215"/>
      <c r="N1111" s="215"/>
      <c r="O1111" s="215"/>
      <c r="P1111" s="215"/>
      <c r="Q1111" s="215"/>
      <c r="R1111" s="215"/>
      <c r="S1111" s="215"/>
      <c r="T1111" s="215"/>
      <c r="U1111" s="215"/>
      <c r="V1111" s="215"/>
      <c r="W1111" s="215"/>
      <c r="X1111" s="215"/>
      <c r="AD1111" s="196"/>
    </row>
    <row r="1112" spans="3:30" s="195" customFormat="1" ht="15">
      <c r="C1112" s="215"/>
      <c r="D1112" s="215"/>
      <c r="E1112" s="215"/>
      <c r="F1112" s="215"/>
      <c r="G1112" s="215"/>
      <c r="H1112" s="215"/>
      <c r="I1112" s="215"/>
      <c r="J1112" s="215"/>
      <c r="K1112" s="215"/>
      <c r="L1112" s="215"/>
      <c r="M1112" s="215"/>
      <c r="N1112" s="215"/>
      <c r="O1112" s="215"/>
      <c r="P1112" s="215"/>
      <c r="Q1112" s="215"/>
      <c r="R1112" s="215"/>
      <c r="S1112" s="215"/>
      <c r="T1112" s="215"/>
      <c r="U1112" s="215"/>
      <c r="V1112" s="215"/>
      <c r="W1112" s="215"/>
      <c r="X1112" s="215"/>
      <c r="AD1112" s="196"/>
    </row>
    <row r="1113" spans="3:30" s="195" customFormat="1" ht="15">
      <c r="C1113" s="215"/>
      <c r="D1113" s="215"/>
      <c r="E1113" s="215"/>
      <c r="F1113" s="215"/>
      <c r="G1113" s="215"/>
      <c r="H1113" s="215"/>
      <c r="I1113" s="215"/>
      <c r="J1113" s="215"/>
      <c r="K1113" s="215"/>
      <c r="L1113" s="215"/>
      <c r="M1113" s="215"/>
      <c r="N1113" s="215"/>
      <c r="O1113" s="215"/>
      <c r="P1113" s="215"/>
      <c r="Q1113" s="215"/>
      <c r="R1113" s="215"/>
      <c r="S1113" s="215"/>
      <c r="T1113" s="215"/>
      <c r="U1113" s="215"/>
      <c r="V1113" s="215"/>
      <c r="W1113" s="215"/>
      <c r="X1113" s="215"/>
      <c r="AD1113" s="196"/>
    </row>
    <row r="1114" spans="3:30" s="195" customFormat="1" ht="15">
      <c r="C1114" s="215"/>
      <c r="D1114" s="215"/>
      <c r="E1114" s="215"/>
      <c r="F1114" s="215"/>
      <c r="G1114" s="215"/>
      <c r="H1114" s="215"/>
      <c r="I1114" s="215"/>
      <c r="J1114" s="215"/>
      <c r="K1114" s="215"/>
      <c r="L1114" s="215"/>
      <c r="M1114" s="215"/>
      <c r="N1114" s="215"/>
      <c r="O1114" s="215"/>
      <c r="P1114" s="215"/>
      <c r="Q1114" s="215"/>
      <c r="R1114" s="215"/>
      <c r="S1114" s="215"/>
      <c r="T1114" s="215"/>
      <c r="U1114" s="215"/>
      <c r="V1114" s="215"/>
      <c r="W1114" s="215"/>
      <c r="X1114" s="215"/>
      <c r="AD1114" s="196"/>
    </row>
    <row r="1115" spans="3:30" s="195" customFormat="1" ht="15">
      <c r="C1115" s="215"/>
      <c r="D1115" s="215"/>
      <c r="E1115" s="215"/>
      <c r="F1115" s="215"/>
      <c r="G1115" s="215"/>
      <c r="H1115" s="215"/>
      <c r="I1115" s="215"/>
      <c r="J1115" s="215"/>
      <c r="K1115" s="215"/>
      <c r="L1115" s="215"/>
      <c r="M1115" s="215"/>
      <c r="N1115" s="215"/>
      <c r="O1115" s="215"/>
      <c r="P1115" s="215"/>
      <c r="Q1115" s="215"/>
      <c r="R1115" s="215"/>
      <c r="S1115" s="215"/>
      <c r="T1115" s="215"/>
      <c r="U1115" s="215"/>
      <c r="V1115" s="215"/>
      <c r="W1115" s="215"/>
      <c r="X1115" s="215"/>
      <c r="AD1115" s="196"/>
    </row>
    <row r="1116" spans="3:30" s="195" customFormat="1" ht="15">
      <c r="C1116" s="215"/>
      <c r="D1116" s="215"/>
      <c r="E1116" s="215"/>
      <c r="F1116" s="215"/>
      <c r="G1116" s="215"/>
      <c r="H1116" s="215"/>
      <c r="I1116" s="215"/>
      <c r="J1116" s="215"/>
      <c r="K1116" s="215"/>
      <c r="L1116" s="215"/>
      <c r="M1116" s="215"/>
      <c r="N1116" s="215"/>
      <c r="O1116" s="215"/>
      <c r="P1116" s="215"/>
      <c r="Q1116" s="215"/>
      <c r="R1116" s="215"/>
      <c r="S1116" s="215"/>
      <c r="T1116" s="215"/>
      <c r="U1116" s="215"/>
      <c r="V1116" s="215"/>
      <c r="W1116" s="215"/>
      <c r="X1116" s="215"/>
      <c r="AD1116" s="196"/>
    </row>
    <row r="1117" spans="3:30" s="195" customFormat="1" ht="15">
      <c r="C1117" s="215"/>
      <c r="D1117" s="215"/>
      <c r="E1117" s="215"/>
      <c r="F1117" s="215"/>
      <c r="G1117" s="215"/>
      <c r="H1117" s="215"/>
      <c r="I1117" s="215"/>
      <c r="J1117" s="215"/>
      <c r="K1117" s="215"/>
      <c r="L1117" s="215"/>
      <c r="M1117" s="215"/>
      <c r="N1117" s="215"/>
      <c r="O1117" s="215"/>
      <c r="P1117" s="215"/>
      <c r="Q1117" s="215"/>
      <c r="R1117" s="215"/>
      <c r="S1117" s="215"/>
      <c r="T1117" s="215"/>
      <c r="U1117" s="215"/>
      <c r="V1117" s="215"/>
      <c r="W1117" s="215"/>
      <c r="X1117" s="215"/>
      <c r="AD1117" s="196"/>
    </row>
    <row r="1118" spans="3:30" s="195" customFormat="1" ht="15">
      <c r="C1118" s="215"/>
      <c r="D1118" s="215"/>
      <c r="E1118" s="215"/>
      <c r="F1118" s="215"/>
      <c r="G1118" s="215"/>
      <c r="H1118" s="215"/>
      <c r="I1118" s="215"/>
      <c r="J1118" s="215"/>
      <c r="K1118" s="215"/>
      <c r="L1118" s="215"/>
      <c r="M1118" s="215"/>
      <c r="N1118" s="215"/>
      <c r="O1118" s="215"/>
      <c r="P1118" s="215"/>
      <c r="Q1118" s="215"/>
      <c r="R1118" s="215"/>
      <c r="S1118" s="215"/>
      <c r="T1118" s="215"/>
      <c r="U1118" s="215"/>
      <c r="V1118" s="215"/>
      <c r="W1118" s="215"/>
      <c r="X1118" s="215"/>
      <c r="AD1118" s="196"/>
    </row>
    <row r="1119" spans="3:30" s="195" customFormat="1" ht="15">
      <c r="C1119" s="215"/>
      <c r="D1119" s="215"/>
      <c r="E1119" s="215"/>
      <c r="F1119" s="215"/>
      <c r="G1119" s="215"/>
      <c r="H1119" s="215"/>
      <c r="I1119" s="215"/>
      <c r="J1119" s="215"/>
      <c r="K1119" s="215"/>
      <c r="L1119" s="215"/>
      <c r="M1119" s="215"/>
      <c r="N1119" s="215"/>
      <c r="O1119" s="215"/>
      <c r="P1119" s="215"/>
      <c r="Q1119" s="215"/>
      <c r="R1119" s="215"/>
      <c r="S1119" s="215"/>
      <c r="T1119" s="215"/>
      <c r="U1119" s="215"/>
      <c r="V1119" s="215"/>
      <c r="W1119" s="215"/>
      <c r="X1119" s="215"/>
      <c r="AD1119" s="196"/>
    </row>
    <row r="1120" spans="3:30" s="195" customFormat="1" ht="15">
      <c r="C1120" s="215"/>
      <c r="D1120" s="215"/>
      <c r="E1120" s="215"/>
      <c r="F1120" s="215"/>
      <c r="G1120" s="215"/>
      <c r="H1120" s="215"/>
      <c r="I1120" s="215"/>
      <c r="J1120" s="215"/>
      <c r="K1120" s="215"/>
      <c r="L1120" s="215"/>
      <c r="M1120" s="215"/>
      <c r="N1120" s="215"/>
      <c r="O1120" s="215"/>
      <c r="P1120" s="215"/>
      <c r="Q1120" s="215"/>
      <c r="R1120" s="215"/>
      <c r="S1120" s="215"/>
      <c r="T1120" s="215"/>
      <c r="U1120" s="215"/>
      <c r="V1120" s="215"/>
      <c r="W1120" s="215"/>
      <c r="X1120" s="215"/>
      <c r="AD1120" s="196"/>
    </row>
    <row r="1121" spans="3:31" s="195" customFormat="1" ht="15">
      <c r="C1121" s="215"/>
      <c r="D1121" s="215"/>
      <c r="E1121" s="215"/>
      <c r="F1121" s="215"/>
      <c r="G1121" s="215"/>
      <c r="H1121" s="215"/>
      <c r="I1121" s="215"/>
      <c r="J1121" s="215"/>
      <c r="K1121" s="215"/>
      <c r="L1121" s="215"/>
      <c r="M1121" s="215"/>
      <c r="N1121" s="215"/>
      <c r="O1121" s="215"/>
      <c r="P1121" s="215"/>
      <c r="Q1121" s="215"/>
      <c r="R1121" s="215"/>
      <c r="S1121" s="215"/>
      <c r="T1121" s="215"/>
      <c r="U1121" s="215"/>
      <c r="V1121" s="215"/>
      <c r="W1121" s="215"/>
      <c r="X1121" s="215"/>
      <c r="AD1121" s="196"/>
    </row>
    <row r="1122" spans="3:31" s="195" customFormat="1" ht="15">
      <c r="C1122" s="215"/>
      <c r="D1122" s="215"/>
      <c r="E1122" s="215"/>
      <c r="F1122" s="215"/>
      <c r="G1122" s="215"/>
      <c r="H1122" s="215"/>
      <c r="I1122" s="215"/>
      <c r="J1122" s="215"/>
      <c r="K1122" s="215"/>
      <c r="L1122" s="215"/>
      <c r="M1122" s="215"/>
      <c r="N1122" s="215"/>
      <c r="O1122" s="215"/>
      <c r="P1122" s="215"/>
      <c r="Q1122" s="215"/>
      <c r="R1122" s="215"/>
      <c r="S1122" s="215"/>
      <c r="T1122" s="215"/>
      <c r="U1122" s="215"/>
      <c r="V1122" s="215"/>
      <c r="W1122" s="215"/>
      <c r="X1122" s="215"/>
      <c r="AD1122" s="196"/>
    </row>
    <row r="1123" spans="3:31" s="195" customFormat="1" ht="15">
      <c r="C1123" s="215"/>
      <c r="D1123" s="215"/>
      <c r="E1123" s="215"/>
      <c r="F1123" s="215"/>
      <c r="G1123" s="215"/>
      <c r="H1123" s="215"/>
      <c r="I1123" s="215"/>
      <c r="J1123" s="215"/>
      <c r="K1123" s="215"/>
      <c r="L1123" s="215"/>
      <c r="M1123" s="215"/>
      <c r="N1123" s="215"/>
      <c r="O1123" s="215"/>
      <c r="P1123" s="215"/>
      <c r="Q1123" s="215"/>
      <c r="R1123" s="215"/>
      <c r="S1123" s="215"/>
      <c r="T1123" s="215"/>
      <c r="U1123" s="215"/>
      <c r="V1123" s="215"/>
      <c r="W1123" s="215"/>
      <c r="X1123" s="215"/>
      <c r="AD1123" s="196"/>
    </row>
    <row r="1124" spans="3:31" s="195" customFormat="1" ht="15">
      <c r="C1124" s="215"/>
      <c r="D1124" s="215"/>
      <c r="E1124" s="215"/>
      <c r="F1124" s="215"/>
      <c r="G1124" s="215"/>
      <c r="H1124" s="215"/>
      <c r="I1124" s="215"/>
      <c r="J1124" s="215"/>
      <c r="K1124" s="215"/>
      <c r="L1124" s="215"/>
      <c r="M1124" s="215"/>
      <c r="N1124" s="215"/>
      <c r="O1124" s="215"/>
      <c r="P1124" s="215"/>
      <c r="Q1124" s="215"/>
      <c r="R1124" s="215"/>
      <c r="S1124" s="215"/>
      <c r="T1124" s="215"/>
      <c r="U1124" s="215"/>
      <c r="V1124" s="215"/>
      <c r="W1124" s="215"/>
      <c r="X1124" s="215"/>
      <c r="AD1124" s="196"/>
    </row>
    <row r="1125" spans="3:31" s="195" customFormat="1" ht="15">
      <c r="C1125" s="215"/>
      <c r="D1125" s="215"/>
      <c r="E1125" s="215"/>
      <c r="F1125" s="215"/>
      <c r="G1125" s="215"/>
      <c r="H1125" s="215"/>
      <c r="I1125" s="215"/>
      <c r="J1125" s="215"/>
      <c r="K1125" s="215"/>
      <c r="L1125" s="215"/>
      <c r="M1125" s="215"/>
      <c r="N1125" s="215"/>
      <c r="O1125" s="215"/>
      <c r="P1125" s="215"/>
      <c r="Q1125" s="215"/>
      <c r="R1125" s="215"/>
      <c r="S1125" s="215"/>
      <c r="T1125" s="215"/>
      <c r="U1125" s="215"/>
      <c r="V1125" s="215"/>
      <c r="W1125" s="215"/>
      <c r="X1125" s="215"/>
      <c r="AD1125" s="196"/>
    </row>
    <row r="1126" spans="3:31" s="195" customFormat="1" ht="15">
      <c r="C1126" s="215"/>
      <c r="D1126" s="215"/>
      <c r="E1126" s="215"/>
      <c r="F1126" s="215"/>
      <c r="G1126" s="215"/>
      <c r="H1126" s="215"/>
      <c r="I1126" s="215"/>
      <c r="J1126" s="215"/>
      <c r="K1126" s="215"/>
      <c r="L1126" s="215"/>
      <c r="M1126" s="215"/>
      <c r="N1126" s="215"/>
      <c r="O1126" s="215"/>
      <c r="P1126" s="215"/>
      <c r="Q1126" s="215"/>
      <c r="R1126" s="215"/>
      <c r="S1126" s="215"/>
      <c r="T1126" s="215"/>
      <c r="U1126" s="215"/>
      <c r="V1126" s="215"/>
      <c r="W1126" s="215"/>
      <c r="X1126" s="215"/>
      <c r="AD1126" s="196"/>
    </row>
    <row r="1127" spans="3:31" s="195" customFormat="1" ht="15">
      <c r="C1127" s="215"/>
      <c r="D1127" s="215"/>
      <c r="E1127" s="215"/>
      <c r="F1127" s="215"/>
      <c r="G1127" s="215"/>
      <c r="H1127" s="215"/>
      <c r="I1127" s="215"/>
      <c r="J1127" s="215"/>
      <c r="K1127" s="215"/>
      <c r="L1127" s="215"/>
      <c r="M1127" s="215"/>
      <c r="N1127" s="215"/>
      <c r="O1127" s="215"/>
      <c r="P1127" s="215"/>
      <c r="Q1127" s="215"/>
      <c r="R1127" s="215"/>
      <c r="S1127" s="215"/>
      <c r="T1127" s="215"/>
      <c r="U1127" s="215"/>
      <c r="V1127" s="215"/>
      <c r="W1127" s="215"/>
      <c r="X1127" s="215"/>
      <c r="AD1127" s="196"/>
    </row>
    <row r="1128" spans="3:31" s="195" customFormat="1" ht="15">
      <c r="C1128" s="215"/>
      <c r="D1128" s="215"/>
      <c r="E1128" s="215"/>
      <c r="F1128" s="215"/>
      <c r="G1128" s="215"/>
      <c r="H1128" s="215"/>
      <c r="I1128" s="215"/>
      <c r="J1128" s="215"/>
      <c r="K1128" s="215"/>
      <c r="L1128" s="215"/>
      <c r="M1128" s="215"/>
      <c r="N1128" s="215"/>
      <c r="O1128" s="215"/>
      <c r="P1128" s="215"/>
      <c r="Q1128" s="215"/>
      <c r="R1128" s="215"/>
      <c r="S1128" s="215"/>
      <c r="T1128" s="215"/>
      <c r="U1128" s="215"/>
      <c r="V1128" s="215"/>
      <c r="W1128" s="215"/>
      <c r="X1128" s="215"/>
      <c r="AD1128" s="196"/>
    </row>
    <row r="1129" spans="3:31" s="195" customFormat="1" ht="15">
      <c r="C1129" s="215"/>
      <c r="D1129" s="215"/>
      <c r="E1129" s="215"/>
      <c r="F1129" s="215"/>
      <c r="G1129" s="215"/>
      <c r="H1129" s="215"/>
      <c r="I1129" s="215"/>
      <c r="J1129" s="215"/>
      <c r="K1129" s="215"/>
      <c r="L1129" s="215"/>
      <c r="M1129" s="215"/>
      <c r="N1129" s="215"/>
      <c r="O1129" s="215"/>
      <c r="P1129" s="215"/>
      <c r="Q1129" s="215"/>
      <c r="R1129" s="215"/>
      <c r="S1129" s="215"/>
      <c r="T1129" s="215"/>
      <c r="U1129" s="215"/>
      <c r="V1129" s="215"/>
      <c r="W1129" s="215"/>
      <c r="X1129" s="215"/>
      <c r="AD1129" s="196"/>
    </row>
    <row r="1130" spans="3:31" s="195" customFormat="1" ht="15">
      <c r="C1130" s="215"/>
      <c r="D1130" s="215"/>
      <c r="E1130" s="215"/>
      <c r="F1130" s="215"/>
      <c r="G1130" s="215"/>
      <c r="H1130" s="215"/>
      <c r="I1130" s="215"/>
      <c r="J1130" s="215"/>
      <c r="K1130" s="215"/>
      <c r="L1130" s="215"/>
      <c r="M1130" s="215"/>
      <c r="N1130" s="215"/>
      <c r="O1130" s="215"/>
      <c r="P1130" s="215"/>
      <c r="Q1130" s="215"/>
      <c r="R1130" s="215"/>
      <c r="S1130" s="215"/>
      <c r="T1130" s="215"/>
      <c r="U1130" s="215"/>
      <c r="V1130" s="215"/>
      <c r="W1130" s="215"/>
      <c r="X1130" s="215"/>
      <c r="AD1130" s="196"/>
    </row>
    <row r="1131" spans="3:31" s="195" customFormat="1" ht="15">
      <c r="C1131" s="215"/>
      <c r="D1131" s="215"/>
      <c r="E1131" s="215"/>
      <c r="F1131" s="215"/>
      <c r="G1131" s="215"/>
      <c r="H1131" s="215"/>
      <c r="I1131" s="215"/>
      <c r="J1131" s="215"/>
      <c r="K1131" s="215"/>
      <c r="L1131" s="215"/>
      <c r="M1131" s="215"/>
      <c r="N1131" s="215"/>
      <c r="O1131" s="215"/>
      <c r="P1131" s="215"/>
      <c r="Q1131" s="215"/>
      <c r="R1131" s="215"/>
      <c r="S1131" s="215"/>
      <c r="T1131" s="215"/>
      <c r="U1131" s="215"/>
      <c r="V1131" s="215"/>
      <c r="W1131" s="215"/>
      <c r="X1131" s="215"/>
      <c r="AD1131" s="196"/>
    </row>
    <row r="1132" spans="3:31" s="195" customFormat="1" ht="15">
      <c r="C1132" s="215"/>
      <c r="D1132" s="215"/>
      <c r="E1132" s="215"/>
      <c r="F1132" s="215"/>
      <c r="G1132" s="215"/>
      <c r="H1132" s="215"/>
      <c r="I1132" s="215"/>
      <c r="J1132" s="215"/>
      <c r="K1132" s="215"/>
      <c r="L1132" s="215"/>
      <c r="M1132" s="215"/>
      <c r="N1132" s="215"/>
      <c r="O1132" s="215"/>
      <c r="P1132" s="215"/>
      <c r="Q1132" s="215"/>
      <c r="R1132" s="215"/>
      <c r="S1132" s="215"/>
      <c r="T1132" s="215"/>
      <c r="U1132" s="215"/>
      <c r="V1132" s="215"/>
      <c r="W1132" s="215"/>
      <c r="X1132" s="215"/>
      <c r="AD1132" s="196"/>
    </row>
    <row r="1133" spans="3:31" s="195" customFormat="1" ht="15">
      <c r="C1133" s="215"/>
      <c r="D1133" s="215"/>
      <c r="E1133" s="215"/>
      <c r="F1133" s="215"/>
      <c r="G1133" s="215"/>
      <c r="H1133" s="215"/>
      <c r="I1133" s="215"/>
      <c r="J1133" s="215"/>
      <c r="K1133" s="215"/>
      <c r="L1133" s="215"/>
      <c r="M1133" s="215"/>
      <c r="N1133" s="215"/>
      <c r="O1133" s="215"/>
      <c r="P1133" s="215"/>
      <c r="Q1133" s="215"/>
      <c r="R1133" s="215"/>
      <c r="S1133" s="215"/>
      <c r="T1133" s="215"/>
      <c r="U1133" s="215"/>
      <c r="V1133" s="215"/>
      <c r="W1133" s="215"/>
      <c r="X1133" s="215"/>
      <c r="AD1133" s="196"/>
    </row>
    <row r="1134" spans="3:31" s="195" customFormat="1" ht="15">
      <c r="C1134" s="215"/>
      <c r="D1134" s="215"/>
      <c r="E1134" s="215"/>
      <c r="F1134" s="215"/>
      <c r="G1134" s="215"/>
      <c r="H1134" s="215"/>
      <c r="I1134" s="215"/>
      <c r="J1134" s="215"/>
      <c r="K1134" s="215"/>
      <c r="L1134" s="215"/>
      <c r="M1134" s="215"/>
      <c r="N1134" s="215"/>
      <c r="O1134" s="215"/>
      <c r="P1134" s="215"/>
      <c r="Q1134" s="215"/>
      <c r="R1134" s="215"/>
      <c r="S1134" s="215"/>
      <c r="T1134" s="215"/>
      <c r="U1134" s="215"/>
      <c r="V1134" s="215"/>
      <c r="W1134" s="215"/>
      <c r="X1134" s="215"/>
      <c r="AB1134" s="216"/>
      <c r="AC1134" s="216"/>
      <c r="AD1134" s="218"/>
      <c r="AE1134" s="216"/>
    </row>
    <row r="1135" spans="3:31" s="195" customFormat="1" ht="15">
      <c r="C1135" s="215"/>
      <c r="D1135" s="215"/>
      <c r="E1135" s="215"/>
      <c r="F1135" s="215"/>
      <c r="G1135" s="215"/>
      <c r="H1135" s="215"/>
      <c r="I1135" s="215"/>
      <c r="J1135" s="215"/>
      <c r="K1135" s="215"/>
      <c r="L1135" s="215"/>
      <c r="M1135" s="215"/>
      <c r="N1135" s="215"/>
      <c r="O1135" s="215"/>
      <c r="P1135" s="215"/>
      <c r="Q1135" s="215"/>
      <c r="R1135" s="215"/>
      <c r="S1135" s="215"/>
      <c r="T1135" s="215"/>
      <c r="U1135" s="215"/>
      <c r="V1135" s="215"/>
      <c r="W1135" s="215"/>
      <c r="X1135" s="215"/>
      <c r="AB1135" s="216"/>
      <c r="AC1135" s="216"/>
      <c r="AD1135" s="218"/>
      <c r="AE1135" s="216"/>
    </row>
    <row r="1136" spans="3:31" s="195" customFormat="1" ht="15">
      <c r="C1136" s="215"/>
      <c r="D1136" s="215"/>
      <c r="E1136" s="215"/>
      <c r="F1136" s="215"/>
      <c r="G1136" s="215"/>
      <c r="H1136" s="215"/>
      <c r="I1136" s="215"/>
      <c r="J1136" s="215"/>
      <c r="K1136" s="215"/>
      <c r="L1136" s="215"/>
      <c r="M1136" s="215"/>
      <c r="N1136" s="215"/>
      <c r="O1136" s="215"/>
      <c r="P1136" s="215"/>
      <c r="Q1136" s="215"/>
      <c r="R1136" s="215"/>
      <c r="S1136" s="215"/>
      <c r="T1136" s="215"/>
      <c r="U1136" s="215"/>
      <c r="V1136" s="215"/>
      <c r="W1136" s="215"/>
      <c r="X1136" s="215"/>
      <c r="AB1136" s="216"/>
      <c r="AC1136" s="216"/>
      <c r="AD1136" s="218"/>
      <c r="AE1136" s="216"/>
    </row>
  </sheetData>
  <mergeCells count="8">
    <mergeCell ref="AD21:AD22"/>
    <mergeCell ref="AB30:AC30"/>
    <mergeCell ref="AB31:AC31"/>
    <mergeCell ref="AB32:AC32"/>
    <mergeCell ref="AB33:AC33"/>
    <mergeCell ref="W1:X1"/>
    <mergeCell ref="A2:X2"/>
    <mergeCell ref="AB21:AC21"/>
  </mergeCells>
  <printOptions horizontalCentered="1"/>
  <pageMargins left="0.74803149606299213" right="0.74803149606299213" top="1.35" bottom="0.78740157480314965" header="0.51181102362204722" footer="0.51181102362204722"/>
  <pageSetup paperSize="9" scale="53" fitToHeight="2" orientation="landscape" r:id="rId1"/>
  <headerFooter alignWithMargins="0">
    <oddHeader>&amp;C&amp;"Arial,Gras"&amp;12&amp;UPBVM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P19"/>
  <sheetViews>
    <sheetView zoomScale="85" zoomScaleNormal="85" workbookViewId="0">
      <selection activeCell="G8" sqref="G8:H8"/>
    </sheetView>
  </sheetViews>
  <sheetFormatPr defaultColWidth="8.7109375" defaultRowHeight="15"/>
  <cols>
    <col min="7" max="8" width="16" style="4" customWidth="1"/>
    <col min="9" max="9" width="29.42578125" customWidth="1"/>
    <col min="11" max="11" width="37" style="164" customWidth="1"/>
    <col min="12" max="15" width="22.7109375" style="164" customWidth="1"/>
  </cols>
  <sheetData>
    <row r="5" spans="5:16">
      <c r="K5" s="160"/>
      <c r="L5" s="160"/>
      <c r="M5" s="160"/>
      <c r="N5" s="160"/>
      <c r="O5" s="160"/>
      <c r="P5" s="152"/>
    </row>
    <row r="6" spans="5:16">
      <c r="J6" s="152"/>
      <c r="K6" s="160"/>
      <c r="L6" s="155" t="s">
        <v>214</v>
      </c>
      <c r="M6" s="155" t="s">
        <v>216</v>
      </c>
      <c r="N6" s="155" t="s">
        <v>217</v>
      </c>
      <c r="O6" s="155" t="s">
        <v>218</v>
      </c>
      <c r="P6" s="152"/>
    </row>
    <row r="7" spans="5:16">
      <c r="E7" s="152"/>
      <c r="F7" s="152"/>
      <c r="G7" s="153"/>
      <c r="H7" s="153"/>
      <c r="I7" s="152"/>
      <c r="J7" s="152"/>
      <c r="K7" s="160"/>
      <c r="L7" s="166" t="s">
        <v>242</v>
      </c>
      <c r="M7" s="166" t="s">
        <v>241</v>
      </c>
      <c r="N7" s="166" t="s">
        <v>243</v>
      </c>
      <c r="O7" s="166" t="s">
        <v>244</v>
      </c>
      <c r="P7" s="152"/>
    </row>
    <row r="8" spans="5:16">
      <c r="E8" s="152"/>
      <c r="F8" s="154"/>
      <c r="G8" s="436" t="s">
        <v>235</v>
      </c>
      <c r="H8" s="436"/>
      <c r="I8" s="155" t="s">
        <v>238</v>
      </c>
      <c r="J8" s="152"/>
      <c r="K8" s="155" t="s">
        <v>190</v>
      </c>
      <c r="L8" s="158">
        <f>'Aquaculture Package 1'!E40</f>
        <v>0.22788007526200671</v>
      </c>
      <c r="M8" s="158">
        <f>'Aquaculture Package 2'!E35</f>
        <v>0.30780087159715674</v>
      </c>
      <c r="N8" s="158">
        <f>'Aquaculture Package 3'!E45</f>
        <v>0.15339011071296715</v>
      </c>
      <c r="O8" s="158">
        <f>'Aquaculture Package 4'!E28</f>
        <v>0.18586883994826553</v>
      </c>
      <c r="P8" s="152"/>
    </row>
    <row r="9" spans="5:16">
      <c r="E9" s="152"/>
      <c r="F9" s="161" t="s">
        <v>240</v>
      </c>
      <c r="G9" s="162" t="s">
        <v>95</v>
      </c>
      <c r="H9" s="163" t="s">
        <v>96</v>
      </c>
      <c r="I9" s="162" t="s">
        <v>239</v>
      </c>
      <c r="J9" s="152"/>
      <c r="K9" s="155" t="s">
        <v>520</v>
      </c>
      <c r="L9" s="165">
        <f>'Aquaculture Package 1'!E41</f>
        <v>1321.694979279684</v>
      </c>
      <c r="M9" s="165">
        <f>'Aquaculture Package 2'!E36</f>
        <v>395.90398486549731</v>
      </c>
      <c r="N9" s="165">
        <f>'Aquaculture Package 3'!E46</f>
        <v>3422.607869777321</v>
      </c>
      <c r="O9" s="165">
        <f>'Aquaculture Package 4'!E29</f>
        <v>1912.3198467681973</v>
      </c>
      <c r="P9" s="152"/>
    </row>
    <row r="10" spans="5:16">
      <c r="E10" s="152"/>
      <c r="F10" s="161" t="s">
        <v>5</v>
      </c>
      <c r="G10" s="162" t="s">
        <v>236</v>
      </c>
      <c r="H10" s="163" t="s">
        <v>237</v>
      </c>
      <c r="I10" s="162" t="s">
        <v>236</v>
      </c>
      <c r="J10" s="152"/>
      <c r="K10" s="155" t="s">
        <v>246</v>
      </c>
      <c r="L10" s="165">
        <f>MAX('Aquaculture Package 1'!E38:N38)</f>
        <v>2812.5</v>
      </c>
      <c r="M10" s="165">
        <f>MAX('Aquaculture Package 2'!E33:N33)</f>
        <v>376.80000000000018</v>
      </c>
      <c r="N10" s="165">
        <f>MAX('Aquaculture Package 3'!E43:N43)</f>
        <v>6518.5</v>
      </c>
      <c r="O10" s="165">
        <f>MAX('Aquaculture Package 4'!E26:N26)</f>
        <v>1942.92</v>
      </c>
      <c r="P10" s="152"/>
    </row>
    <row r="11" spans="5:16">
      <c r="E11" s="152"/>
      <c r="F11" s="156" t="s">
        <v>42</v>
      </c>
      <c r="G11" s="157">
        <f>'Eco Analysis Infrastructure'!O50</f>
        <v>0.11396570357482627</v>
      </c>
      <c r="H11" s="288">
        <f>'Eco Analysis Infrastructure'!P50</f>
        <v>0.58334140827597358</v>
      </c>
      <c r="I11" s="158">
        <f>'Eco Analysis Infrastructure'!K59</f>
        <v>0.1151004994750781</v>
      </c>
      <c r="J11" s="152"/>
      <c r="K11" s="155" t="s">
        <v>247</v>
      </c>
      <c r="L11" s="165">
        <f>L10/20</f>
        <v>140.625</v>
      </c>
      <c r="M11" s="165">
        <f>M10/2</f>
        <v>188.40000000000009</v>
      </c>
      <c r="N11" s="165">
        <f>N10/25</f>
        <v>260.74</v>
      </c>
      <c r="O11" s="165">
        <f>O10/10</f>
        <v>194.292</v>
      </c>
      <c r="P11" s="152"/>
    </row>
    <row r="12" spans="5:16">
      <c r="E12" s="152"/>
      <c r="F12" s="156" t="s">
        <v>23</v>
      </c>
      <c r="G12" s="157">
        <f>'Eco Analysis Infrastructure'!O51</f>
        <v>0.7865341557228207</v>
      </c>
      <c r="H12" s="288">
        <f>'Eco Analysis Infrastructure'!P51</f>
        <v>6.4795975416920282</v>
      </c>
      <c r="I12" s="158">
        <f>'Eco Analysis Infrastructure'!K60</f>
        <v>1.649544928142798E-2</v>
      </c>
      <c r="J12" s="152"/>
      <c r="K12" s="160"/>
      <c r="L12" s="437" t="s">
        <v>245</v>
      </c>
      <c r="M12" s="437"/>
      <c r="N12" s="160"/>
      <c r="O12" s="160"/>
      <c r="P12" s="152"/>
    </row>
    <row r="13" spans="5:16">
      <c r="E13" s="152"/>
      <c r="F13" s="156" t="s">
        <v>27</v>
      </c>
      <c r="G13" s="157">
        <f>'Eco Analysis Infrastructure'!O52</f>
        <v>1.0450942597497441</v>
      </c>
      <c r="H13" s="288">
        <f>'Eco Analysis Infrastructure'!P52</f>
        <v>10.182352598215454</v>
      </c>
      <c r="I13" s="158">
        <f>'Eco Analysis Infrastructure'!K61</f>
        <v>1.0990803785699992E-2</v>
      </c>
      <c r="J13" s="152"/>
      <c r="K13" s="160"/>
      <c r="L13" s="160"/>
      <c r="M13" s="160"/>
      <c r="N13" s="160"/>
      <c r="O13" s="160"/>
      <c r="P13" s="152"/>
    </row>
    <row r="14" spans="5:16">
      <c r="E14" s="152"/>
      <c r="F14" s="156" t="s">
        <v>29</v>
      </c>
      <c r="G14" s="157">
        <f>'Eco Analysis Infrastructure'!O53</f>
        <v>0.63153329439160677</v>
      </c>
      <c r="H14" s="288">
        <f>'Eco Analysis Infrastructure'!P53</f>
        <v>2.2363069576167875</v>
      </c>
      <c r="I14" s="158">
        <f>'Eco Analysis Infrastructure'!K62</f>
        <v>2.2212749081432118E-2</v>
      </c>
      <c r="J14" s="152"/>
      <c r="P14" s="152"/>
    </row>
    <row r="15" spans="5:16">
      <c r="E15" s="152"/>
      <c r="F15" s="156" t="s">
        <v>35</v>
      </c>
      <c r="G15" s="157">
        <f>'Eco Analysis Infrastructure'!O54</f>
        <v>0.24030753536606997</v>
      </c>
      <c r="H15" s="288">
        <f>'Eco Analysis Infrastructure'!P54</f>
        <v>1.6958061499140018</v>
      </c>
      <c r="I15" s="158">
        <f>'Eco Analysis Infrastructure'!K63</f>
        <v>6.6871096228209831E-2</v>
      </c>
      <c r="J15" s="152"/>
      <c r="P15" s="152"/>
    </row>
    <row r="16" spans="5:16">
      <c r="E16" s="152"/>
      <c r="F16" s="156" t="s">
        <v>31</v>
      </c>
      <c r="G16" s="157">
        <f>'Eco Analysis Infrastructure'!O55</f>
        <v>0.24884849220325944</v>
      </c>
      <c r="H16" s="288">
        <f>'Eco Analysis Infrastructure'!P55</f>
        <v>1.0064822943841654</v>
      </c>
      <c r="I16" s="158">
        <f>'Eco Analysis Infrastructure'!K64</f>
        <v>6.4729235599856577E-2</v>
      </c>
      <c r="J16" s="152"/>
    </row>
    <row r="17" spans="5:10">
      <c r="E17" s="152"/>
      <c r="F17" s="156" t="s">
        <v>49</v>
      </c>
      <c r="G17" s="159">
        <f>'Eco Analysis Infrastructure'!O56</f>
        <v>0.41816130931332807</v>
      </c>
      <c r="H17" s="287">
        <f>'Eco Analysis Infrastructure'!P56</f>
        <v>27.251002910990547</v>
      </c>
      <c r="I17" s="154"/>
      <c r="J17" s="152"/>
    </row>
    <row r="18" spans="5:10">
      <c r="E18" s="152"/>
      <c r="F18" s="152"/>
      <c r="G18" s="153"/>
      <c r="H18" s="153"/>
      <c r="I18" s="152"/>
      <c r="J18" s="152"/>
    </row>
    <row r="19" spans="5:10">
      <c r="E19" s="152"/>
    </row>
  </sheetData>
  <mergeCells count="2">
    <mergeCell ref="G8:H8"/>
    <mergeCell ref="L12:M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topLeftCell="A54" zoomScale="115" zoomScaleNormal="115" workbookViewId="0">
      <pane xSplit="3" topLeftCell="D1" activePane="topRight" state="frozen"/>
      <selection pane="topRight" activeCell="N87" sqref="N87"/>
    </sheetView>
  </sheetViews>
  <sheetFormatPr defaultColWidth="9.140625" defaultRowHeight="12"/>
  <cols>
    <col min="1" max="1" width="22.42578125" style="239" customWidth="1"/>
    <col min="2" max="2" width="21" style="239" bestFit="1" customWidth="1"/>
    <col min="3" max="3" width="13.28515625" style="239" bestFit="1" customWidth="1"/>
    <col min="4" max="4" width="9.28515625" style="239" customWidth="1"/>
    <col min="5" max="5" width="11" style="239" customWidth="1"/>
    <col min="6" max="6" width="10.28515625" style="239" customWidth="1"/>
    <col min="7" max="7" width="9.7109375" style="239" customWidth="1"/>
    <col min="8" max="8" width="9.42578125" style="239" customWidth="1"/>
    <col min="9" max="9" width="11.42578125" style="239" customWidth="1"/>
    <col min="10" max="10" width="10.28515625" style="239" customWidth="1"/>
    <col min="11" max="12" width="10.42578125" style="239" customWidth="1"/>
    <col min="13" max="13" width="9.140625" style="239" customWidth="1"/>
    <col min="14" max="16384" width="9.140625" style="239"/>
  </cols>
  <sheetData>
    <row r="1" spans="1:16">
      <c r="A1" s="270" t="s">
        <v>477</v>
      </c>
      <c r="B1" s="268"/>
      <c r="C1" s="269"/>
      <c r="D1" s="268"/>
    </row>
    <row r="2" spans="1:16">
      <c r="A2" s="438" t="s">
        <v>476</v>
      </c>
      <c r="B2" s="439"/>
      <c r="C2" s="440"/>
    </row>
    <row r="3" spans="1:16">
      <c r="A3" s="267" t="s">
        <v>475</v>
      </c>
      <c r="B3" s="267" t="s">
        <v>474</v>
      </c>
      <c r="C3" s="267" t="s">
        <v>473</v>
      </c>
      <c r="D3" s="266">
        <v>2010</v>
      </c>
      <c r="E3" s="266">
        <v>2011</v>
      </c>
      <c r="F3" s="266">
        <v>2012</v>
      </c>
      <c r="G3" s="266">
        <v>2013</v>
      </c>
      <c r="H3" s="266">
        <v>2014</v>
      </c>
      <c r="I3" s="266">
        <v>2015</v>
      </c>
      <c r="J3" s="266">
        <v>2016</v>
      </c>
      <c r="K3" s="266">
        <v>2017</v>
      </c>
      <c r="L3" s="266">
        <v>2018</v>
      </c>
      <c r="M3" s="266">
        <v>2019</v>
      </c>
      <c r="N3" s="239" t="s">
        <v>472</v>
      </c>
      <c r="O3" s="239" t="s">
        <v>471</v>
      </c>
    </row>
    <row r="4" spans="1:16" ht="15">
      <c r="A4" s="254" t="s">
        <v>470</v>
      </c>
      <c r="B4" s="248" t="s">
        <v>469</v>
      </c>
      <c r="C4" s="248" t="s">
        <v>468</v>
      </c>
      <c r="D4" s="253">
        <v>18159.147000000001</v>
      </c>
      <c r="E4" s="257">
        <v>15660.581</v>
      </c>
      <c r="F4" s="257">
        <v>14051.700999999999</v>
      </c>
      <c r="G4" s="257">
        <v>11097.6683462617</v>
      </c>
      <c r="H4" s="257">
        <v>16880.839865000002</v>
      </c>
      <c r="I4" s="257">
        <v>17558.7290986308</v>
      </c>
      <c r="J4" s="257">
        <v>15059.992202388599</v>
      </c>
      <c r="K4" s="257">
        <v>28445.65</v>
      </c>
      <c r="L4" s="257">
        <v>17724.178561542405</v>
      </c>
      <c r="M4" s="249">
        <v>11636.5</v>
      </c>
      <c r="N4" s="246">
        <f t="shared" ref="N4:N35" si="0">O4/$O$86</f>
        <v>0.33459145329426299</v>
      </c>
      <c r="O4" s="245">
        <f t="shared" ref="O4:O35" si="1">AVERAGE(I4:M4)</f>
        <v>18085.009972512362</v>
      </c>
      <c r="P4" s="239" t="s">
        <v>453</v>
      </c>
    </row>
    <row r="5" spans="1:16" ht="15">
      <c r="A5" s="254" t="s">
        <v>467</v>
      </c>
      <c r="B5" s="248" t="s">
        <v>466</v>
      </c>
      <c r="C5" s="248"/>
      <c r="D5" s="253">
        <v>2605.6669999999999</v>
      </c>
      <c r="E5" s="257">
        <v>3932.9209999999998</v>
      </c>
      <c r="F5" s="257">
        <v>2487.105</v>
      </c>
      <c r="G5" s="257">
        <v>3858.1736119202214</v>
      </c>
      <c r="H5" s="257">
        <v>6275.9013050000003</v>
      </c>
      <c r="I5" s="257">
        <v>5701.2834999999995</v>
      </c>
      <c r="J5" s="257">
        <v>6928.84180149443</v>
      </c>
      <c r="K5" s="257">
        <v>10860.53</v>
      </c>
      <c r="L5" s="257">
        <v>5471.6966475476238</v>
      </c>
      <c r="M5" s="249">
        <v>10336.9</v>
      </c>
      <c r="N5" s="261">
        <f t="shared" si="0"/>
        <v>0.14541538924217356</v>
      </c>
      <c r="O5" s="245">
        <f t="shared" si="1"/>
        <v>7859.8503898084109</v>
      </c>
      <c r="P5" s="239" t="s">
        <v>453</v>
      </c>
    </row>
    <row r="6" spans="1:16" ht="15">
      <c r="A6" s="254" t="s">
        <v>465</v>
      </c>
      <c r="B6" s="248" t="s">
        <v>464</v>
      </c>
      <c r="C6" s="248" t="s">
        <v>463</v>
      </c>
      <c r="D6" s="253">
        <v>1689.6759999999999</v>
      </c>
      <c r="E6" s="257">
        <v>1864.424</v>
      </c>
      <c r="F6" s="257">
        <v>10160.328</v>
      </c>
      <c r="G6" s="257">
        <v>4288.0453571189701</v>
      </c>
      <c r="H6" s="257">
        <v>7212.7759050000004</v>
      </c>
      <c r="I6" s="257">
        <v>4519.5064524999998</v>
      </c>
      <c r="J6" s="257">
        <v>5680.21</v>
      </c>
      <c r="K6" s="257">
        <v>2644.53</v>
      </c>
      <c r="L6" s="257">
        <v>4263.6560967839223</v>
      </c>
      <c r="M6" s="249">
        <v>3083.1</v>
      </c>
      <c r="N6" s="261">
        <f t="shared" si="0"/>
        <v>7.4710900316905637E-2</v>
      </c>
      <c r="O6" s="245">
        <f t="shared" si="1"/>
        <v>4038.2005098567847</v>
      </c>
      <c r="P6" s="239" t="s">
        <v>453</v>
      </c>
    </row>
    <row r="7" spans="1:16" ht="15">
      <c r="A7" s="248" t="s">
        <v>462</v>
      </c>
      <c r="B7" s="248" t="s">
        <v>461</v>
      </c>
      <c r="C7" s="248" t="s">
        <v>460</v>
      </c>
      <c r="D7" s="253">
        <v>3792.7190000000001</v>
      </c>
      <c r="E7" s="257">
        <v>1241.28</v>
      </c>
      <c r="F7" s="257">
        <v>1486.45</v>
      </c>
      <c r="G7" s="257">
        <v>1529.3091963256879</v>
      </c>
      <c r="H7" s="257">
        <v>2189.0810000000001</v>
      </c>
      <c r="I7" s="257">
        <v>3735.8865000000001</v>
      </c>
      <c r="J7" s="257">
        <v>3541.48</v>
      </c>
      <c r="K7" s="257">
        <v>2200.5100000000002</v>
      </c>
      <c r="L7" s="257">
        <v>3207.3239081039815</v>
      </c>
      <c r="M7" s="249">
        <v>4557.8999999999996</v>
      </c>
      <c r="N7" s="246">
        <f t="shared" si="0"/>
        <v>6.3803050522121749E-2</v>
      </c>
      <c r="O7" s="245">
        <f t="shared" si="1"/>
        <v>3448.6200816207956</v>
      </c>
      <c r="P7" s="239" t="s">
        <v>453</v>
      </c>
    </row>
    <row r="8" spans="1:16" ht="15">
      <c r="A8" s="254" t="s">
        <v>459</v>
      </c>
      <c r="B8" s="248" t="s">
        <v>458</v>
      </c>
      <c r="C8" s="248" t="s">
        <v>457</v>
      </c>
      <c r="D8" s="253">
        <v>199.85499999999999</v>
      </c>
      <c r="E8" s="257">
        <v>771.7</v>
      </c>
      <c r="F8" s="257">
        <v>412.4</v>
      </c>
      <c r="G8" s="257">
        <v>143.95908883291895</v>
      </c>
      <c r="H8" s="257">
        <v>1331.049</v>
      </c>
      <c r="I8" s="257">
        <v>3716.5645</v>
      </c>
      <c r="J8" s="257">
        <v>2864.9056770375</v>
      </c>
      <c r="K8" s="257">
        <v>15.29</v>
      </c>
      <c r="L8" s="257">
        <v>915.96248095098724</v>
      </c>
      <c r="M8" s="249">
        <v>202.8</v>
      </c>
      <c r="N8" s="246">
        <f t="shared" si="0"/>
        <v>2.8549035283750579E-2</v>
      </c>
      <c r="O8" s="245">
        <f t="shared" si="1"/>
        <v>1543.1045315976974</v>
      </c>
    </row>
    <row r="9" spans="1:16" ht="15">
      <c r="A9" s="254" t="s">
        <v>456</v>
      </c>
      <c r="B9" s="248" t="s">
        <v>455</v>
      </c>
      <c r="C9" s="248" t="s">
        <v>454</v>
      </c>
      <c r="D9" s="253">
        <v>1558.2139999999999</v>
      </c>
      <c r="E9" s="257">
        <v>881.37800000000004</v>
      </c>
      <c r="F9" s="257">
        <v>796.38300000000004</v>
      </c>
      <c r="G9" s="257">
        <v>2549.0658918107702</v>
      </c>
      <c r="H9" s="257">
        <v>1046.5225</v>
      </c>
      <c r="I9" s="257">
        <v>952.80174999999997</v>
      </c>
      <c r="J9" s="257">
        <v>990.83142312376003</v>
      </c>
      <c r="K9" s="257">
        <v>687.62</v>
      </c>
      <c r="L9" s="257">
        <v>1651.848665077189</v>
      </c>
      <c r="M9" s="249">
        <v>2929.4</v>
      </c>
      <c r="N9" s="246">
        <f t="shared" si="0"/>
        <v>2.6687753842537167E-2</v>
      </c>
      <c r="O9" s="245">
        <f t="shared" si="1"/>
        <v>1442.5003676401898</v>
      </c>
      <c r="P9" s="239" t="s">
        <v>453</v>
      </c>
    </row>
    <row r="10" spans="1:16" s="259" customFormat="1" ht="15">
      <c r="A10" s="265" t="s">
        <v>452</v>
      </c>
      <c r="B10" s="265" t="s">
        <v>451</v>
      </c>
      <c r="C10" s="265" t="s">
        <v>450</v>
      </c>
      <c r="D10" s="264">
        <v>2096.797</v>
      </c>
      <c r="E10" s="263">
        <v>2629.7440000000001</v>
      </c>
      <c r="F10" s="263">
        <v>1874.25</v>
      </c>
      <c r="G10" s="263">
        <v>1687.02</v>
      </c>
      <c r="H10" s="263">
        <v>2389.0005000000001</v>
      </c>
      <c r="I10" s="263">
        <v>1194.5002500000001</v>
      </c>
      <c r="J10" s="263">
        <v>1242.176961397473</v>
      </c>
      <c r="K10" s="263">
        <v>1061.4000000000001</v>
      </c>
      <c r="L10" s="263">
        <v>1761.7788353220881</v>
      </c>
      <c r="M10" s="262">
        <v>1151.8</v>
      </c>
      <c r="N10" s="261">
        <f t="shared" si="0"/>
        <v>2.3724458188914391E-2</v>
      </c>
      <c r="O10" s="260">
        <f t="shared" si="1"/>
        <v>1282.3312093439122</v>
      </c>
      <c r="P10" s="259" t="s">
        <v>449</v>
      </c>
    </row>
    <row r="11" spans="1:16" ht="15">
      <c r="A11" s="254" t="s">
        <v>448</v>
      </c>
      <c r="B11" s="248" t="s">
        <v>447</v>
      </c>
      <c r="C11" s="248" t="s">
        <v>446</v>
      </c>
      <c r="D11" s="253">
        <v>1055.7850000000001</v>
      </c>
      <c r="E11" s="257">
        <v>452.59500000000003</v>
      </c>
      <c r="F11" s="257">
        <v>234.31100000000001</v>
      </c>
      <c r="G11" s="257">
        <v>556.25239679802303</v>
      </c>
      <c r="H11" s="257">
        <v>1240.6804999999999</v>
      </c>
      <c r="I11" s="257">
        <v>850.09465</v>
      </c>
      <c r="J11" s="257">
        <v>1032.02924500633</v>
      </c>
      <c r="K11" s="257">
        <v>1214.93</v>
      </c>
      <c r="L11" s="257">
        <v>1153.5964046099432</v>
      </c>
      <c r="M11" s="249">
        <v>2051.9</v>
      </c>
      <c r="N11" s="246">
        <f t="shared" si="0"/>
        <v>2.3320744278426859E-2</v>
      </c>
      <c r="O11" s="245">
        <f t="shared" si="1"/>
        <v>1260.5100599232549</v>
      </c>
    </row>
    <row r="12" spans="1:16" ht="15">
      <c r="A12" s="254" t="s">
        <v>445</v>
      </c>
      <c r="B12" s="248" t="s">
        <v>444</v>
      </c>
      <c r="C12" s="248" t="s">
        <v>443</v>
      </c>
      <c r="D12" s="253">
        <v>1282.7739999999999</v>
      </c>
      <c r="E12" s="257">
        <v>608.15200000000004</v>
      </c>
      <c r="F12" s="257">
        <v>829.42200000000003</v>
      </c>
      <c r="G12" s="257">
        <v>1021</v>
      </c>
      <c r="H12" s="257">
        <v>304.07600000000002</v>
      </c>
      <c r="I12" s="257">
        <v>1384.1994</v>
      </c>
      <c r="J12" s="257">
        <v>1040.1208802455885</v>
      </c>
      <c r="K12" s="257">
        <v>1056.94</v>
      </c>
      <c r="L12" s="257">
        <v>1091.0100274548183</v>
      </c>
      <c r="M12" s="249">
        <v>1252.2</v>
      </c>
      <c r="N12" s="246">
        <f t="shared" si="0"/>
        <v>2.1551749077106351E-2</v>
      </c>
      <c r="O12" s="245">
        <f t="shared" si="1"/>
        <v>1164.8940615400813</v>
      </c>
    </row>
    <row r="13" spans="1:16" ht="15">
      <c r="A13" s="248" t="s">
        <v>442</v>
      </c>
      <c r="B13" s="248" t="s">
        <v>441</v>
      </c>
      <c r="C13" s="248" t="s">
        <v>440</v>
      </c>
      <c r="D13" s="253">
        <v>269.363</v>
      </c>
      <c r="E13" s="257">
        <v>627.73</v>
      </c>
      <c r="F13" s="257">
        <v>974</v>
      </c>
      <c r="G13" s="257">
        <v>1420</v>
      </c>
      <c r="H13" s="257">
        <v>827.97500000000002</v>
      </c>
      <c r="I13" s="257">
        <v>1473.953</v>
      </c>
      <c r="J13" s="257">
        <v>1532.7836547398708</v>
      </c>
      <c r="K13" s="257"/>
      <c r="L13" s="257">
        <v>830.69102298055338</v>
      </c>
      <c r="M13" s="249">
        <v>799.2</v>
      </c>
      <c r="N13" s="246">
        <f t="shared" si="0"/>
        <v>2.1445605994008802E-2</v>
      </c>
      <c r="O13" s="245">
        <f t="shared" si="1"/>
        <v>1159.156919430106</v>
      </c>
    </row>
    <row r="14" spans="1:16" ht="15">
      <c r="A14" s="254" t="s">
        <v>439</v>
      </c>
      <c r="B14" s="248" t="s">
        <v>438</v>
      </c>
      <c r="C14" s="248" t="s">
        <v>437</v>
      </c>
      <c r="D14" s="253">
        <v>581.76</v>
      </c>
      <c r="E14" s="257">
        <v>755.61</v>
      </c>
      <c r="F14" s="257">
        <v>850.6</v>
      </c>
      <c r="G14" s="257">
        <v>889.20533364186599</v>
      </c>
      <c r="H14" s="257">
        <v>1443.5925</v>
      </c>
      <c r="I14" s="257">
        <v>1445.6722500000001</v>
      </c>
      <c r="J14" s="257">
        <v>903.37412041700998</v>
      </c>
      <c r="K14" s="257">
        <v>180.61</v>
      </c>
      <c r="L14" s="257">
        <v>992.57161313884217</v>
      </c>
      <c r="M14" s="249">
        <v>1379.5</v>
      </c>
      <c r="N14" s="246">
        <f t="shared" si="0"/>
        <v>1.8137410951543659E-2</v>
      </c>
      <c r="O14" s="245">
        <f t="shared" si="1"/>
        <v>980.34559671117063</v>
      </c>
    </row>
    <row r="15" spans="1:16" ht="15">
      <c r="A15" s="248" t="s">
        <v>436</v>
      </c>
      <c r="B15" s="248" t="s">
        <v>435</v>
      </c>
      <c r="C15" s="248"/>
      <c r="D15" s="253">
        <v>97.938000000000002</v>
      </c>
      <c r="E15" s="257">
        <v>1554.048</v>
      </c>
      <c r="F15" s="257"/>
      <c r="G15" s="257">
        <v>1684</v>
      </c>
      <c r="H15" s="257">
        <v>1002.38</v>
      </c>
      <c r="I15" s="257">
        <v>1638.19</v>
      </c>
      <c r="J15" s="257">
        <v>1703.5759317687259</v>
      </c>
      <c r="K15" s="257">
        <v>0.28999999999999998</v>
      </c>
      <c r="L15" s="257">
        <v>813.95829237336216</v>
      </c>
      <c r="M15" s="249">
        <v>537.9</v>
      </c>
      <c r="N15" s="246">
        <f t="shared" si="0"/>
        <v>1.7368456907476449E-2</v>
      </c>
      <c r="O15" s="245">
        <f t="shared" si="1"/>
        <v>938.78284482841752</v>
      </c>
    </row>
    <row r="16" spans="1:16" ht="15">
      <c r="A16" s="248" t="s">
        <v>434</v>
      </c>
      <c r="B16" s="248" t="s">
        <v>433</v>
      </c>
      <c r="C16" s="248" t="s">
        <v>432</v>
      </c>
      <c r="D16" s="253">
        <v>1013.1</v>
      </c>
      <c r="E16" s="257">
        <v>437.60300000000001</v>
      </c>
      <c r="F16" s="257">
        <v>269.78399999999999</v>
      </c>
      <c r="G16" s="257">
        <v>315.65100049271933</v>
      </c>
      <c r="H16" s="257">
        <v>445.58949999999999</v>
      </c>
      <c r="I16" s="257">
        <v>730.55330000000004</v>
      </c>
      <c r="J16" s="257">
        <v>1759.7122548386999</v>
      </c>
      <c r="K16" s="257">
        <v>268.35000000000002</v>
      </c>
      <c r="L16" s="257">
        <v>683.44604245993537</v>
      </c>
      <c r="M16" s="249">
        <v>446.1</v>
      </c>
      <c r="N16" s="246">
        <f t="shared" si="0"/>
        <v>1.4387004944541553E-2</v>
      </c>
      <c r="O16" s="245">
        <f t="shared" si="1"/>
        <v>777.632319459727</v>
      </c>
    </row>
    <row r="17" spans="1:16" ht="15">
      <c r="A17" s="254" t="s">
        <v>431</v>
      </c>
      <c r="B17" s="248" t="s">
        <v>430</v>
      </c>
      <c r="C17" s="248" t="s">
        <v>429</v>
      </c>
      <c r="D17" s="253">
        <v>659.30200000000002</v>
      </c>
      <c r="E17" s="257">
        <v>990.57</v>
      </c>
      <c r="F17" s="257">
        <v>757.81600000000003</v>
      </c>
      <c r="G17" s="257">
        <v>1574.6464932824799</v>
      </c>
      <c r="H17" s="257">
        <v>1775.7915</v>
      </c>
      <c r="I17" s="257">
        <v>810.03865000000008</v>
      </c>
      <c r="J17" s="257">
        <v>842.37014506402238</v>
      </c>
      <c r="K17" s="257"/>
      <c r="L17" s="257">
        <v>853.78598082864596</v>
      </c>
      <c r="M17" s="249">
        <v>527.79999999999995</v>
      </c>
      <c r="N17" s="246">
        <f t="shared" si="0"/>
        <v>1.4033013015973825E-2</v>
      </c>
      <c r="O17" s="245">
        <f t="shared" si="1"/>
        <v>758.49869397316706</v>
      </c>
    </row>
    <row r="18" spans="1:16" ht="15">
      <c r="A18" s="254" t="s">
        <v>428</v>
      </c>
      <c r="B18" s="248" t="s">
        <v>427</v>
      </c>
      <c r="C18" s="248"/>
      <c r="D18" s="253">
        <v>90.539000000000001</v>
      </c>
      <c r="E18" s="257">
        <v>781</v>
      </c>
      <c r="F18" s="257"/>
      <c r="G18" s="257">
        <v>120</v>
      </c>
      <c r="H18" s="257">
        <v>41.790300000000002</v>
      </c>
      <c r="I18" s="257">
        <v>1018.7941500000001</v>
      </c>
      <c r="J18" s="257">
        <v>1859.4578121993</v>
      </c>
      <c r="K18" s="257">
        <v>0.1</v>
      </c>
      <c r="L18" s="257">
        <v>453.07465563616108</v>
      </c>
      <c r="M18" s="249">
        <v>434.1</v>
      </c>
      <c r="N18" s="246">
        <f t="shared" si="0"/>
        <v>1.3933230066168121E-2</v>
      </c>
      <c r="O18" s="245">
        <f t="shared" si="1"/>
        <v>753.10532356709223</v>
      </c>
      <c r="P18" s="239" t="s">
        <v>423</v>
      </c>
    </row>
    <row r="19" spans="1:16" ht="15">
      <c r="A19" s="248" t="s">
        <v>426</v>
      </c>
      <c r="B19" s="248" t="s">
        <v>425</v>
      </c>
      <c r="C19" s="248" t="s">
        <v>424</v>
      </c>
      <c r="D19" s="253">
        <v>324.57799999999997</v>
      </c>
      <c r="E19" s="257">
        <v>925.9</v>
      </c>
      <c r="F19" s="257">
        <v>1402.5</v>
      </c>
      <c r="G19" s="257">
        <v>5677.21563435189</v>
      </c>
      <c r="H19" s="257">
        <v>331.22949999999997</v>
      </c>
      <c r="I19" s="257">
        <v>167.46654999999998</v>
      </c>
      <c r="J19" s="257">
        <v>174.15072974218126</v>
      </c>
      <c r="K19" s="257"/>
      <c r="L19" s="257">
        <v>1148.8160253767553</v>
      </c>
      <c r="M19" s="249">
        <v>1434.1</v>
      </c>
      <c r="N19" s="246">
        <f t="shared" si="0"/>
        <v>1.352672531359521E-2</v>
      </c>
      <c r="O19" s="245">
        <f t="shared" si="1"/>
        <v>731.13332627973409</v>
      </c>
      <c r="P19" s="239" t="s">
        <v>423</v>
      </c>
    </row>
    <row r="20" spans="1:16" ht="15">
      <c r="A20" s="254" t="s">
        <v>422</v>
      </c>
      <c r="B20" s="248" t="s">
        <v>421</v>
      </c>
      <c r="C20" s="248" t="s">
        <v>420</v>
      </c>
      <c r="D20" s="253">
        <v>768.721</v>
      </c>
      <c r="E20" s="257">
        <v>908.51</v>
      </c>
      <c r="F20" s="257">
        <v>156.85</v>
      </c>
      <c r="G20" s="257">
        <v>286.60000000000002</v>
      </c>
      <c r="H20" s="257">
        <v>45.688499999999998</v>
      </c>
      <c r="I20" s="257">
        <v>41.119650000000007</v>
      </c>
      <c r="J20" s="257">
        <v>42.760880033911754</v>
      </c>
      <c r="K20" s="257">
        <v>393.72</v>
      </c>
      <c r="L20" s="257">
        <v>799.77882861076898</v>
      </c>
      <c r="M20" s="249">
        <v>2231.6999999999998</v>
      </c>
      <c r="N20" s="246">
        <f t="shared" si="0"/>
        <v>1.2984321978460235E-2</v>
      </c>
      <c r="O20" s="245">
        <f t="shared" si="1"/>
        <v>701.81587172893614</v>
      </c>
      <c r="P20" s="239" t="s">
        <v>343</v>
      </c>
    </row>
    <row r="21" spans="1:16" ht="15">
      <c r="A21" s="254" t="s">
        <v>419</v>
      </c>
      <c r="B21" s="248" t="s">
        <v>418</v>
      </c>
      <c r="C21" s="248" t="s">
        <v>417</v>
      </c>
      <c r="D21" s="253">
        <v>1658.8610000000001</v>
      </c>
      <c r="E21" s="257">
        <v>1210.3040000000001</v>
      </c>
      <c r="F21" s="257">
        <v>625.05600000000004</v>
      </c>
      <c r="G21" s="257">
        <v>714.30200000000002</v>
      </c>
      <c r="H21" s="257">
        <v>605.15200000000004</v>
      </c>
      <c r="I21" s="257">
        <v>544.63679999999988</v>
      </c>
      <c r="J21" s="257">
        <v>520.6189776751861</v>
      </c>
      <c r="K21" s="257">
        <v>461.02</v>
      </c>
      <c r="L21" s="257">
        <v>928.83582162981781</v>
      </c>
      <c r="M21" s="249">
        <v>729.7</v>
      </c>
      <c r="N21" s="246">
        <f t="shared" si="0"/>
        <v>1.1784463963243844E-2</v>
      </c>
      <c r="O21" s="245">
        <f t="shared" si="1"/>
        <v>636.96231986100088</v>
      </c>
    </row>
    <row r="22" spans="1:16" ht="15">
      <c r="A22" s="248" t="s">
        <v>416</v>
      </c>
      <c r="B22" s="248" t="s">
        <v>415</v>
      </c>
      <c r="C22" s="248" t="s">
        <v>415</v>
      </c>
      <c r="D22" s="253">
        <v>802.33500000000004</v>
      </c>
      <c r="E22" s="257">
        <v>424.14</v>
      </c>
      <c r="F22" s="257"/>
      <c r="G22" s="257">
        <v>525.78917526528369</v>
      </c>
      <c r="H22" s="257">
        <v>118.508</v>
      </c>
      <c r="I22" s="257">
        <v>686.82849999999985</v>
      </c>
      <c r="J22" s="257">
        <v>714.2422440942845</v>
      </c>
      <c r="K22" s="257">
        <v>16.75</v>
      </c>
      <c r="L22" s="257">
        <v>549.53767766922533</v>
      </c>
      <c r="M22" s="249">
        <v>756.3</v>
      </c>
      <c r="N22" s="246">
        <f t="shared" si="0"/>
        <v>1.0078101488471694E-2</v>
      </c>
      <c r="O22" s="245">
        <f t="shared" si="1"/>
        <v>544.7316843527019</v>
      </c>
    </row>
    <row r="23" spans="1:16" ht="15">
      <c r="A23" s="254" t="s">
        <v>414</v>
      </c>
      <c r="B23" s="248"/>
      <c r="C23" s="248" t="s">
        <v>413</v>
      </c>
      <c r="D23" s="253">
        <v>174.93600000000001</v>
      </c>
      <c r="E23" s="257">
        <v>55.030999999999999</v>
      </c>
      <c r="F23" s="257">
        <v>45.2</v>
      </c>
      <c r="G23" s="257">
        <v>9</v>
      </c>
      <c r="H23" s="257">
        <v>0</v>
      </c>
      <c r="I23" s="257"/>
      <c r="J23" s="257"/>
      <c r="K23" s="257"/>
      <c r="L23" s="257">
        <v>15.279327245483842</v>
      </c>
      <c r="M23" s="249">
        <v>964</v>
      </c>
      <c r="N23" s="246">
        <f t="shared" si="0"/>
        <v>9.0588419299217123E-3</v>
      </c>
      <c r="O23" s="245">
        <f t="shared" si="1"/>
        <v>489.63966362274192</v>
      </c>
    </row>
    <row r="24" spans="1:16" ht="15">
      <c r="A24" s="248" t="s">
        <v>412</v>
      </c>
      <c r="B24" s="248" t="s">
        <v>411</v>
      </c>
      <c r="C24" s="248" t="s">
        <v>410</v>
      </c>
      <c r="D24" s="253">
        <v>317.12700000000001</v>
      </c>
      <c r="E24" s="257">
        <v>0.51700000000000002</v>
      </c>
      <c r="F24" s="257"/>
      <c r="G24" s="257">
        <v>142.06</v>
      </c>
      <c r="H24" s="257">
        <v>15.906499999999999</v>
      </c>
      <c r="I24" s="257">
        <v>497.47680000000003</v>
      </c>
      <c r="J24" s="257">
        <v>416.46123936280753</v>
      </c>
      <c r="K24" s="257">
        <v>574.30999999999995</v>
      </c>
      <c r="L24" s="257">
        <v>149.17329889518936</v>
      </c>
      <c r="M24" s="249">
        <v>787.4</v>
      </c>
      <c r="N24" s="246">
        <f t="shared" si="0"/>
        <v>8.9723422522832493E-3</v>
      </c>
      <c r="O24" s="245">
        <f t="shared" si="1"/>
        <v>484.96426765159941</v>
      </c>
    </row>
    <row r="25" spans="1:16" ht="15">
      <c r="A25" s="254" t="s">
        <v>409</v>
      </c>
      <c r="B25" s="248" t="s">
        <v>408</v>
      </c>
      <c r="C25" s="248"/>
      <c r="D25" s="253">
        <v>642.31399999999996</v>
      </c>
      <c r="E25" s="257">
        <v>29.859000000000002</v>
      </c>
      <c r="F25" s="257"/>
      <c r="G25" s="257">
        <v>278</v>
      </c>
      <c r="H25" s="257">
        <v>161.64400000000001</v>
      </c>
      <c r="I25" s="257">
        <v>722.822</v>
      </c>
      <c r="J25" s="257">
        <v>851.67237143001398</v>
      </c>
      <c r="K25" s="257">
        <v>327.25</v>
      </c>
      <c r="L25" s="257">
        <v>352.05633023606271</v>
      </c>
      <c r="M25" s="249">
        <v>28.2</v>
      </c>
      <c r="N25" s="246">
        <f t="shared" si="0"/>
        <v>8.4438762527584057E-3</v>
      </c>
      <c r="O25" s="245">
        <f t="shared" si="1"/>
        <v>456.40014033321529</v>
      </c>
    </row>
    <row r="26" spans="1:16" ht="15">
      <c r="A26" s="254" t="s">
        <v>407</v>
      </c>
      <c r="B26" s="248" t="s">
        <v>406</v>
      </c>
      <c r="C26" s="248" t="s">
        <v>405</v>
      </c>
      <c r="D26" s="253">
        <v>549.22199999999998</v>
      </c>
      <c r="E26" s="257">
        <v>456.34</v>
      </c>
      <c r="F26" s="257">
        <v>910.28</v>
      </c>
      <c r="G26" s="257">
        <v>401.56412408686708</v>
      </c>
      <c r="H26" s="257">
        <v>147.59</v>
      </c>
      <c r="I26" s="257">
        <v>99.591999999999999</v>
      </c>
      <c r="J26" s="257">
        <v>403.56706743217001</v>
      </c>
      <c r="K26" s="257">
        <v>557.78</v>
      </c>
      <c r="L26" s="257">
        <v>480.38132601299873</v>
      </c>
      <c r="M26" s="249">
        <v>565.9</v>
      </c>
      <c r="N26" s="246">
        <f t="shared" si="0"/>
        <v>7.7971528345934472E-3</v>
      </c>
      <c r="O26" s="245">
        <f t="shared" si="1"/>
        <v>421.44407868903374</v>
      </c>
    </row>
    <row r="27" spans="1:16" ht="15">
      <c r="A27" s="254" t="s">
        <v>404</v>
      </c>
      <c r="B27" s="248" t="s">
        <v>403</v>
      </c>
      <c r="C27" s="248" t="s">
        <v>402</v>
      </c>
      <c r="D27" s="253">
        <v>505.02100000000002</v>
      </c>
      <c r="E27" s="257">
        <v>1221.9000000000001</v>
      </c>
      <c r="F27" s="257">
        <v>934.98900000000003</v>
      </c>
      <c r="G27" s="257">
        <v>69.060287181446228</v>
      </c>
      <c r="H27" s="257">
        <v>75.046600000000012</v>
      </c>
      <c r="I27" s="257">
        <v>340.90979999999996</v>
      </c>
      <c r="J27" s="257">
        <v>1054.5167106282399</v>
      </c>
      <c r="K27" s="257">
        <v>1.51</v>
      </c>
      <c r="L27" s="257">
        <v>456.92768445173556</v>
      </c>
      <c r="M27" s="249">
        <v>97.2</v>
      </c>
      <c r="N27" s="246">
        <f t="shared" si="0"/>
        <v>7.2193424885518311E-3</v>
      </c>
      <c r="O27" s="245">
        <f t="shared" si="1"/>
        <v>390.21283901599509</v>
      </c>
    </row>
    <row r="28" spans="1:16" ht="15">
      <c r="A28" s="248" t="s">
        <v>401</v>
      </c>
      <c r="B28" s="248" t="s">
        <v>400</v>
      </c>
      <c r="C28" s="248" t="s">
        <v>399</v>
      </c>
      <c r="D28" s="253">
        <v>188.86600000000001</v>
      </c>
      <c r="E28" s="257">
        <v>896.28</v>
      </c>
      <c r="F28" s="257">
        <v>1041.8699999999999</v>
      </c>
      <c r="G28" s="257">
        <v>852.21</v>
      </c>
      <c r="H28" s="257">
        <v>723.11199999999997</v>
      </c>
      <c r="I28" s="257">
        <v>361.55599999999998</v>
      </c>
      <c r="J28" s="257">
        <v>775.98697317562005</v>
      </c>
      <c r="K28" s="257">
        <v>68.83</v>
      </c>
      <c r="L28" s="257">
        <v>530.95178020199114</v>
      </c>
      <c r="M28" s="249">
        <v>101.2</v>
      </c>
      <c r="N28" s="246">
        <f t="shared" si="0"/>
        <v>6.8029231953432466E-3</v>
      </c>
      <c r="O28" s="245">
        <f t="shared" si="1"/>
        <v>367.70495067552224</v>
      </c>
    </row>
    <row r="29" spans="1:16" ht="15">
      <c r="A29" s="248" t="s">
        <v>398</v>
      </c>
      <c r="B29" s="248" t="s">
        <v>397</v>
      </c>
      <c r="C29" s="248" t="s">
        <v>396</v>
      </c>
      <c r="D29" s="253">
        <v>16.846</v>
      </c>
      <c r="E29" s="257">
        <v>1092.462</v>
      </c>
      <c r="F29" s="257">
        <v>613.30700000000002</v>
      </c>
      <c r="G29" s="257">
        <v>356.86</v>
      </c>
      <c r="H29" s="257">
        <v>552.75199999999995</v>
      </c>
      <c r="I29" s="257">
        <v>78.36</v>
      </c>
      <c r="J29" s="257">
        <v>100.87161158447215</v>
      </c>
      <c r="K29" s="257"/>
      <c r="L29" s="257">
        <v>477.39944591112157</v>
      </c>
      <c r="M29" s="249">
        <v>759</v>
      </c>
      <c r="N29" s="246">
        <f t="shared" si="0"/>
        <v>6.5476609299063701E-3</v>
      </c>
      <c r="O29" s="245">
        <f t="shared" si="1"/>
        <v>353.90776437389843</v>
      </c>
    </row>
    <row r="30" spans="1:16" ht="15">
      <c r="A30" s="254" t="s">
        <v>395</v>
      </c>
      <c r="B30" s="248"/>
      <c r="C30" s="248" t="s">
        <v>394</v>
      </c>
      <c r="D30" s="253">
        <v>370.346</v>
      </c>
      <c r="E30" s="257">
        <v>15.141999999999999</v>
      </c>
      <c r="F30" s="257"/>
      <c r="G30" s="257">
        <v>56.2</v>
      </c>
      <c r="H30" s="257">
        <v>0</v>
      </c>
      <c r="I30" s="257"/>
      <c r="J30" s="257"/>
      <c r="K30" s="257"/>
      <c r="L30" s="257">
        <v>246.67877702819965</v>
      </c>
      <c r="M30" s="249">
        <v>414.1</v>
      </c>
      <c r="N30" s="246">
        <f t="shared" si="0"/>
        <v>6.1125465688962851E-3</v>
      </c>
      <c r="O30" s="245">
        <f t="shared" si="1"/>
        <v>330.38938851409983</v>
      </c>
    </row>
    <row r="31" spans="1:16" ht="15">
      <c r="A31" s="248" t="s">
        <v>393</v>
      </c>
      <c r="B31" s="248" t="s">
        <v>392</v>
      </c>
      <c r="C31" s="248" t="s">
        <v>391</v>
      </c>
      <c r="D31" s="253">
        <v>780.00800000000004</v>
      </c>
      <c r="E31" s="257">
        <v>185.83600000000001</v>
      </c>
      <c r="F31" s="257">
        <v>776.75</v>
      </c>
      <c r="G31" s="257">
        <v>354.81350993507868</v>
      </c>
      <c r="H31" s="257">
        <v>133.852</v>
      </c>
      <c r="I31" s="257">
        <v>72.024000000000001</v>
      </c>
      <c r="J31" s="257">
        <v>74.898731471752797</v>
      </c>
      <c r="K31" s="257">
        <v>95.84</v>
      </c>
      <c r="L31" s="257">
        <v>463.9324665507894</v>
      </c>
      <c r="M31" s="249">
        <v>852.9</v>
      </c>
      <c r="N31" s="246">
        <f t="shared" si="0"/>
        <v>5.7708259453574879E-3</v>
      </c>
      <c r="O31" s="245">
        <f t="shared" si="1"/>
        <v>311.91903960450844</v>
      </c>
    </row>
    <row r="32" spans="1:16" ht="15">
      <c r="A32" s="248" t="s">
        <v>390</v>
      </c>
      <c r="B32" s="248"/>
      <c r="C32" s="248" t="s">
        <v>389</v>
      </c>
      <c r="D32" s="253">
        <v>230.65700000000001</v>
      </c>
      <c r="E32" s="257">
        <v>13.537000000000001</v>
      </c>
      <c r="F32" s="257"/>
      <c r="G32" s="257">
        <v>13.5</v>
      </c>
      <c r="H32" s="257">
        <v>0</v>
      </c>
      <c r="I32" s="257">
        <v>42</v>
      </c>
      <c r="J32" s="257">
        <v>43.676367902554944</v>
      </c>
      <c r="K32" s="257"/>
      <c r="L32" s="257">
        <v>12.014446335775519</v>
      </c>
      <c r="M32" s="249">
        <v>1129.2</v>
      </c>
      <c r="N32" s="246">
        <f t="shared" si="0"/>
        <v>5.6746883357172559E-3</v>
      </c>
      <c r="O32" s="245">
        <f t="shared" si="1"/>
        <v>306.72270355958261</v>
      </c>
    </row>
    <row r="33" spans="1:16" ht="15">
      <c r="A33" s="254" t="s">
        <v>388</v>
      </c>
      <c r="B33" s="248" t="s">
        <v>387</v>
      </c>
      <c r="C33" s="248" t="s">
        <v>386</v>
      </c>
      <c r="D33" s="253">
        <v>256.61200000000002</v>
      </c>
      <c r="E33" s="257">
        <v>1160.4000000000001</v>
      </c>
      <c r="F33" s="257">
        <v>271.03399999999999</v>
      </c>
      <c r="G33" s="257">
        <v>1122.7449948515</v>
      </c>
      <c r="H33" s="257">
        <v>716.5</v>
      </c>
      <c r="I33" s="257">
        <v>64.484999999999999</v>
      </c>
      <c r="J33" s="257">
        <v>367.05882343324402</v>
      </c>
      <c r="K33" s="257">
        <v>162.28</v>
      </c>
      <c r="L33" s="257">
        <v>472.07356320425095</v>
      </c>
      <c r="M33" s="249">
        <v>342.2</v>
      </c>
      <c r="N33" s="246">
        <f t="shared" si="0"/>
        <v>5.2102525980464581E-3</v>
      </c>
      <c r="O33" s="245">
        <f t="shared" si="1"/>
        <v>281.619477327499</v>
      </c>
    </row>
    <row r="34" spans="1:16" ht="15">
      <c r="A34" s="254" t="s">
        <v>385</v>
      </c>
      <c r="B34" s="248" t="s">
        <v>384</v>
      </c>
      <c r="C34" s="248" t="s">
        <v>383</v>
      </c>
      <c r="D34" s="253">
        <v>169.07900000000001</v>
      </c>
      <c r="E34" s="257">
        <v>578.83000000000004</v>
      </c>
      <c r="F34" s="257">
        <v>1156.4739999999999</v>
      </c>
      <c r="G34" s="257">
        <v>182.04700462851267</v>
      </c>
      <c r="H34" s="257">
        <v>55.119</v>
      </c>
      <c r="I34" s="257">
        <v>100.85899999999999</v>
      </c>
      <c r="J34" s="257">
        <v>504.88463786390002</v>
      </c>
      <c r="K34" s="257">
        <v>204.73</v>
      </c>
      <c r="L34" s="257">
        <v>338.87767284906283</v>
      </c>
      <c r="M34" s="249">
        <v>257</v>
      </c>
      <c r="N34" s="246">
        <f t="shared" si="0"/>
        <v>5.2037917547067053E-3</v>
      </c>
      <c r="O34" s="245">
        <f t="shared" si="1"/>
        <v>281.27026214259257</v>
      </c>
    </row>
    <row r="35" spans="1:16" ht="15">
      <c r="A35" s="254" t="s">
        <v>382</v>
      </c>
      <c r="B35" s="248" t="s">
        <v>381</v>
      </c>
      <c r="C35" s="248"/>
      <c r="D35" s="253">
        <v>7.01</v>
      </c>
      <c r="E35" s="257">
        <v>908.51</v>
      </c>
      <c r="F35" s="257">
        <v>156.85</v>
      </c>
      <c r="G35" s="257">
        <v>286.60000000000002</v>
      </c>
      <c r="H35" s="257">
        <v>45.688499999999998</v>
      </c>
      <c r="I35" s="257">
        <v>41.119650000000007</v>
      </c>
      <c r="J35" s="257">
        <v>42.760880033911754</v>
      </c>
      <c r="K35" s="257">
        <v>393.72</v>
      </c>
      <c r="L35" s="257">
        <v>799.77882861076898</v>
      </c>
      <c r="M35" s="249">
        <v>10.4</v>
      </c>
      <c r="N35" s="246">
        <f t="shared" si="0"/>
        <v>4.7650509210244033E-3</v>
      </c>
      <c r="O35" s="245">
        <f t="shared" si="1"/>
        <v>257.55587172893621</v>
      </c>
    </row>
    <row r="36" spans="1:16" ht="15">
      <c r="A36" s="254" t="s">
        <v>380</v>
      </c>
      <c r="B36" s="248"/>
      <c r="C36" s="248" t="s">
        <v>379</v>
      </c>
      <c r="D36" s="253">
        <v>119.643</v>
      </c>
      <c r="E36" s="257">
        <v>56.637999999999998</v>
      </c>
      <c r="F36" s="257"/>
      <c r="G36" s="257">
        <v>80.369452800000005</v>
      </c>
      <c r="H36" s="257">
        <v>90.336500000000001</v>
      </c>
      <c r="I36" s="257">
        <v>54</v>
      </c>
      <c r="J36" s="257">
        <v>56.155330160427795</v>
      </c>
      <c r="K36" s="257"/>
      <c r="L36" s="257">
        <v>60.917860644037752</v>
      </c>
      <c r="M36" s="249">
        <v>846.9</v>
      </c>
      <c r="N36" s="246">
        <f t="shared" ref="N36:N67" si="2">O36/$O$86</f>
        <v>4.708390123140024E-3</v>
      </c>
      <c r="O36" s="245">
        <f t="shared" ref="O36:O67" si="3">AVERAGE(I36:M36)</f>
        <v>254.49329770111638</v>
      </c>
    </row>
    <row r="37" spans="1:16" ht="15">
      <c r="A37" s="248" t="s">
        <v>378</v>
      </c>
      <c r="B37" s="248"/>
      <c r="C37" s="248"/>
      <c r="D37" s="253">
        <v>355.315</v>
      </c>
      <c r="E37" s="257">
        <v>378.5</v>
      </c>
      <c r="F37" s="257">
        <v>203.29400000000001</v>
      </c>
      <c r="G37" s="257">
        <v>98.74</v>
      </c>
      <c r="H37" s="257">
        <v>553.1</v>
      </c>
      <c r="I37" s="257"/>
      <c r="J37" s="257"/>
      <c r="K37" s="257">
        <v>51.38</v>
      </c>
      <c r="L37" s="257">
        <v>228.21710455659539</v>
      </c>
      <c r="M37" s="249">
        <v>261</v>
      </c>
      <c r="N37" s="246">
        <f t="shared" si="2"/>
        <v>3.33386915711193E-3</v>
      </c>
      <c r="O37" s="245">
        <f t="shared" si="3"/>
        <v>180.19903485219848</v>
      </c>
    </row>
    <row r="38" spans="1:16" ht="15">
      <c r="A38" s="254" t="s">
        <v>377</v>
      </c>
      <c r="B38" s="256" t="s">
        <v>376</v>
      </c>
      <c r="C38" s="248"/>
      <c r="D38" s="253">
        <v>112.309</v>
      </c>
      <c r="E38" s="257">
        <v>49.559699999999999</v>
      </c>
      <c r="F38" s="257">
        <v>10.627000000000001</v>
      </c>
      <c r="G38" s="257">
        <v>24.677086233436253</v>
      </c>
      <c r="H38" s="257">
        <v>247.79849999999999</v>
      </c>
      <c r="I38" s="257">
        <v>277.58064999999999</v>
      </c>
      <c r="J38" s="257">
        <v>288.65987123881757</v>
      </c>
      <c r="K38" s="257"/>
      <c r="L38" s="257">
        <v>111.17201024867141</v>
      </c>
      <c r="M38" s="249">
        <v>34.799999999999997</v>
      </c>
      <c r="N38" s="246">
        <f t="shared" si="2"/>
        <v>3.2941677434375283E-3</v>
      </c>
      <c r="O38" s="245">
        <f t="shared" si="3"/>
        <v>178.05313287187224</v>
      </c>
    </row>
    <row r="39" spans="1:16" ht="15">
      <c r="A39" s="254" t="s">
        <v>375</v>
      </c>
      <c r="B39" s="248" t="s">
        <v>374</v>
      </c>
      <c r="C39" s="248" t="s">
        <v>373</v>
      </c>
      <c r="D39" s="253">
        <v>190.227</v>
      </c>
      <c r="E39" s="257">
        <v>1553</v>
      </c>
      <c r="F39" s="257">
        <v>471.02</v>
      </c>
      <c r="G39" s="257">
        <v>268.23</v>
      </c>
      <c r="H39" s="257">
        <v>114.663</v>
      </c>
      <c r="I39" s="257">
        <v>57.331499999999998</v>
      </c>
      <c r="J39" s="257">
        <v>259.619802057269</v>
      </c>
      <c r="K39" s="257"/>
      <c r="L39" s="257">
        <v>287.71408657100125</v>
      </c>
      <c r="M39" s="249">
        <v>59.9</v>
      </c>
      <c r="N39" s="246">
        <f t="shared" si="2"/>
        <v>3.0737873455442409E-3</v>
      </c>
      <c r="O39" s="245">
        <f t="shared" si="3"/>
        <v>166.14134715706754</v>
      </c>
    </row>
    <row r="40" spans="1:16" ht="15">
      <c r="A40" s="254" t="s">
        <v>372</v>
      </c>
      <c r="B40" s="248" t="s">
        <v>371</v>
      </c>
      <c r="C40" s="248" t="s">
        <v>370</v>
      </c>
      <c r="D40" s="253">
        <v>4.7560000000000002</v>
      </c>
      <c r="E40" s="257"/>
      <c r="F40" s="257"/>
      <c r="G40" s="257"/>
      <c r="H40" s="257">
        <v>0</v>
      </c>
      <c r="I40" s="257">
        <v>6.9668999999999999</v>
      </c>
      <c r="J40" s="257">
        <v>7.2449735128645258</v>
      </c>
      <c r="K40" s="257"/>
      <c r="L40" s="257">
        <v>6.9848854475523945</v>
      </c>
      <c r="M40" s="249">
        <v>567.20000000000005</v>
      </c>
      <c r="N40" s="246">
        <f t="shared" si="2"/>
        <v>2.721487671190521E-3</v>
      </c>
      <c r="O40" s="245">
        <f t="shared" si="3"/>
        <v>147.09918974010424</v>
      </c>
    </row>
    <row r="41" spans="1:16" ht="15">
      <c r="A41" s="254" t="s">
        <v>369</v>
      </c>
      <c r="B41" s="248"/>
      <c r="C41" s="248" t="s">
        <v>368</v>
      </c>
      <c r="D41" s="253">
        <v>99.350999999999999</v>
      </c>
      <c r="E41" s="257"/>
      <c r="F41" s="257">
        <v>1475</v>
      </c>
      <c r="G41" s="257">
        <v>712.35199999999998</v>
      </c>
      <c r="H41" s="257">
        <v>479</v>
      </c>
      <c r="I41" s="257">
        <v>25.487099999999998</v>
      </c>
      <c r="J41" s="257">
        <v>26.504379913552572</v>
      </c>
      <c r="K41" s="257"/>
      <c r="L41" s="257">
        <v>272.46256711265977</v>
      </c>
      <c r="M41" s="249">
        <v>211.9</v>
      </c>
      <c r="N41" s="246">
        <f t="shared" si="2"/>
        <v>2.480776625884125E-3</v>
      </c>
      <c r="O41" s="245">
        <f t="shared" si="3"/>
        <v>134.08851175655309</v>
      </c>
    </row>
    <row r="42" spans="1:16" ht="15">
      <c r="A42" s="254" t="s">
        <v>367</v>
      </c>
      <c r="B42" s="248" t="s">
        <v>366</v>
      </c>
      <c r="C42" s="248"/>
      <c r="D42" s="253">
        <v>174.50899999999999</v>
      </c>
      <c r="E42" s="257">
        <v>252.869</v>
      </c>
      <c r="F42" s="257">
        <v>47.41</v>
      </c>
      <c r="G42" s="257">
        <v>12.685216510795954</v>
      </c>
      <c r="H42" s="257">
        <v>126.4345</v>
      </c>
      <c r="I42" s="257">
        <v>1.8936000000000004</v>
      </c>
      <c r="J42" s="257">
        <v>1.9691802442923347</v>
      </c>
      <c r="K42" s="257">
        <v>118.26</v>
      </c>
      <c r="L42" s="257">
        <v>54.482902893465635</v>
      </c>
      <c r="M42" s="249">
        <v>486</v>
      </c>
      <c r="N42" s="246">
        <f t="shared" si="2"/>
        <v>2.4517785593601371E-3</v>
      </c>
      <c r="O42" s="245">
        <f t="shared" si="3"/>
        <v>132.52113662755158</v>
      </c>
    </row>
    <row r="43" spans="1:16" ht="15">
      <c r="A43" s="248" t="s">
        <v>365</v>
      </c>
      <c r="B43" s="248" t="s">
        <v>364</v>
      </c>
      <c r="C43" s="248" t="s">
        <v>363</v>
      </c>
      <c r="D43" s="253">
        <v>233.48099999999999</v>
      </c>
      <c r="E43" s="257">
        <v>302.81</v>
      </c>
      <c r="F43" s="257">
        <v>258.32</v>
      </c>
      <c r="G43" s="257">
        <v>474.5</v>
      </c>
      <c r="H43" s="257">
        <v>217.1575</v>
      </c>
      <c r="I43" s="257">
        <v>15.441750000000001</v>
      </c>
      <c r="J43" s="257">
        <v>415.38487687238995</v>
      </c>
      <c r="K43" s="257">
        <v>4.08</v>
      </c>
      <c r="L43" s="257">
        <v>202.00453459115749</v>
      </c>
      <c r="M43" s="249">
        <v>16</v>
      </c>
      <c r="N43" s="246">
        <f t="shared" si="2"/>
        <v>2.4159068169514021E-3</v>
      </c>
      <c r="O43" s="245">
        <f t="shared" si="3"/>
        <v>130.58223229270948</v>
      </c>
    </row>
    <row r="44" spans="1:16" ht="15">
      <c r="A44" s="248" t="s">
        <v>362</v>
      </c>
      <c r="B44" s="248"/>
      <c r="C44" s="248"/>
      <c r="D44" s="253">
        <v>3.9910000000000001</v>
      </c>
      <c r="E44" s="257">
        <v>306.8</v>
      </c>
      <c r="F44" s="257">
        <v>393.00900000000001</v>
      </c>
      <c r="G44" s="257">
        <v>344.75027209956846</v>
      </c>
      <c r="H44" s="257">
        <v>2.1040000000000001</v>
      </c>
      <c r="I44" s="257"/>
      <c r="J44" s="257"/>
      <c r="K44" s="257"/>
      <c r="L44" s="257">
        <v>232.88337924429032</v>
      </c>
      <c r="M44" s="249">
        <v>9.6</v>
      </c>
      <c r="N44" s="246">
        <f t="shared" si="2"/>
        <v>2.2430970838381043E-3</v>
      </c>
      <c r="O44" s="245">
        <f t="shared" si="3"/>
        <v>121.24168962214516</v>
      </c>
    </row>
    <row r="45" spans="1:16" ht="15">
      <c r="A45" s="254" t="s">
        <v>361</v>
      </c>
      <c r="B45" s="248"/>
      <c r="C45" s="248" t="s">
        <v>360</v>
      </c>
      <c r="D45" s="253">
        <v>454.40600000000001</v>
      </c>
      <c r="E45" s="257"/>
      <c r="F45" s="257">
        <v>87.03</v>
      </c>
      <c r="G45" s="257">
        <v>70.61503825894718</v>
      </c>
      <c r="H45" s="257">
        <v>0</v>
      </c>
      <c r="I45" s="257"/>
      <c r="J45" s="257"/>
      <c r="K45" s="257"/>
      <c r="L45" s="257">
        <v>39.235360685091031</v>
      </c>
      <c r="M45" s="249">
        <v>202.4</v>
      </c>
      <c r="N45" s="246">
        <f t="shared" si="2"/>
        <v>2.2352524721244733E-3</v>
      </c>
      <c r="O45" s="245">
        <f t="shared" si="3"/>
        <v>120.81768034254551</v>
      </c>
    </row>
    <row r="46" spans="1:16" ht="15">
      <c r="A46" s="254" t="s">
        <v>359</v>
      </c>
      <c r="B46" s="248"/>
      <c r="C46" s="248"/>
      <c r="D46" s="253">
        <v>103.523</v>
      </c>
      <c r="E46" s="250"/>
      <c r="F46" s="250"/>
      <c r="G46" s="252"/>
      <c r="H46" s="251"/>
      <c r="I46" s="250"/>
      <c r="J46" s="250"/>
      <c r="K46" s="250"/>
      <c r="L46" s="250"/>
      <c r="M46" s="249">
        <v>99.1</v>
      </c>
      <c r="N46" s="246">
        <f t="shared" si="2"/>
        <v>1.8334528469632445E-3</v>
      </c>
      <c r="O46" s="245">
        <f t="shared" si="3"/>
        <v>99.1</v>
      </c>
    </row>
    <row r="47" spans="1:16" ht="15">
      <c r="A47" s="254" t="s">
        <v>358</v>
      </c>
      <c r="B47" s="248"/>
      <c r="C47" s="248" t="s">
        <v>357</v>
      </c>
      <c r="D47" s="253">
        <v>6.4790000000000001</v>
      </c>
      <c r="E47" s="257">
        <v>11.013</v>
      </c>
      <c r="F47" s="257">
        <v>185</v>
      </c>
      <c r="G47" s="257">
        <v>234</v>
      </c>
      <c r="H47" s="257">
        <v>0</v>
      </c>
      <c r="I47" s="257">
        <v>4.1857499999999996</v>
      </c>
      <c r="J47" s="257">
        <v>4.3528180225742705</v>
      </c>
      <c r="K47" s="257"/>
      <c r="L47" s="257">
        <v>326.06568709047684</v>
      </c>
      <c r="M47" s="249">
        <v>49.3</v>
      </c>
      <c r="N47" s="246">
        <f t="shared" si="2"/>
        <v>1.7756567848091003E-3</v>
      </c>
      <c r="O47" s="245">
        <f t="shared" si="3"/>
        <v>95.976063778262784</v>
      </c>
    </row>
    <row r="48" spans="1:16" ht="15">
      <c r="A48" s="254" t="s">
        <v>356</v>
      </c>
      <c r="B48" s="248" t="s">
        <v>355</v>
      </c>
      <c r="C48" s="248"/>
      <c r="D48" s="253">
        <v>0</v>
      </c>
      <c r="E48" s="257"/>
      <c r="F48" s="257"/>
      <c r="G48" s="257"/>
      <c r="H48" s="257">
        <v>0</v>
      </c>
      <c r="I48" s="257">
        <v>109.364</v>
      </c>
      <c r="J48" s="257">
        <v>113.72910236416712</v>
      </c>
      <c r="K48" s="257"/>
      <c r="L48" s="257">
        <v>21.473204223401495</v>
      </c>
      <c r="M48" s="249">
        <v>136</v>
      </c>
      <c r="N48" s="246">
        <f t="shared" si="2"/>
        <v>1.7602179068397193E-3</v>
      </c>
      <c r="O48" s="245">
        <f t="shared" si="3"/>
        <v>95.141576646892162</v>
      </c>
      <c r="P48" s="258" t="s">
        <v>343</v>
      </c>
    </row>
    <row r="49" spans="1:16" ht="15">
      <c r="A49" s="254" t="s">
        <v>354</v>
      </c>
      <c r="B49" s="248"/>
      <c r="C49" s="248" t="s">
        <v>353</v>
      </c>
      <c r="D49" s="253">
        <v>0.29799999999999999</v>
      </c>
      <c r="E49" s="257">
        <v>40.255000000000003</v>
      </c>
      <c r="F49" s="257">
        <v>174.3</v>
      </c>
      <c r="G49" s="257">
        <v>283.06</v>
      </c>
      <c r="H49" s="257">
        <v>0</v>
      </c>
      <c r="I49" s="257">
        <v>46</v>
      </c>
      <c r="J49" s="257">
        <v>47.836021988512563</v>
      </c>
      <c r="K49" s="257"/>
      <c r="L49" s="257">
        <v>256.98049766834725</v>
      </c>
      <c r="M49" s="249">
        <v>8.8000000000000007</v>
      </c>
      <c r="N49" s="246">
        <f t="shared" si="2"/>
        <v>1.6633197068110072E-3</v>
      </c>
      <c r="O49" s="245">
        <f t="shared" si="3"/>
        <v>89.904129914214948</v>
      </c>
    </row>
    <row r="50" spans="1:16" ht="15">
      <c r="A50" s="254" t="s">
        <v>352</v>
      </c>
      <c r="B50" s="248"/>
      <c r="C50" s="248" t="s">
        <v>351</v>
      </c>
      <c r="D50" s="253">
        <v>5.0149999999999997</v>
      </c>
      <c r="E50" s="257"/>
      <c r="F50" s="257">
        <v>103.5</v>
      </c>
      <c r="G50" s="257"/>
      <c r="H50" s="257">
        <v>0</v>
      </c>
      <c r="I50" s="257">
        <v>74.737499999999997</v>
      </c>
      <c r="J50" s="257">
        <v>77.720536812314293</v>
      </c>
      <c r="K50" s="257"/>
      <c r="L50" s="257">
        <v>187.43876545687522</v>
      </c>
      <c r="M50" s="249">
        <v>16.5</v>
      </c>
      <c r="N50" s="246">
        <f t="shared" si="2"/>
        <v>1.6484276785293695E-3</v>
      </c>
      <c r="O50" s="245">
        <f t="shared" si="3"/>
        <v>89.099200567297373</v>
      </c>
    </row>
    <row r="51" spans="1:16" ht="15">
      <c r="A51" s="248" t="s">
        <v>350</v>
      </c>
      <c r="B51" s="248"/>
      <c r="C51" s="248" t="s">
        <v>349</v>
      </c>
      <c r="D51" s="253">
        <v>32.305</v>
      </c>
      <c r="E51" s="257">
        <v>365.4</v>
      </c>
      <c r="F51" s="257">
        <v>120</v>
      </c>
      <c r="G51" s="257">
        <v>135.22999999999999</v>
      </c>
      <c r="H51" s="257">
        <v>0</v>
      </c>
      <c r="I51" s="257">
        <v>50.139849999999996</v>
      </c>
      <c r="J51" s="257">
        <v>52.141107980450464</v>
      </c>
      <c r="K51" s="257"/>
      <c r="L51" s="257">
        <v>130.2550708822499</v>
      </c>
      <c r="M51" s="249">
        <v>113.2</v>
      </c>
      <c r="N51" s="246">
        <f t="shared" si="2"/>
        <v>1.5991188355602536E-3</v>
      </c>
      <c r="O51" s="245">
        <f t="shared" si="3"/>
        <v>86.434007215675095</v>
      </c>
    </row>
    <row r="52" spans="1:16" ht="15">
      <c r="A52" s="254" t="s">
        <v>348</v>
      </c>
      <c r="B52" s="256" t="s">
        <v>347</v>
      </c>
      <c r="C52" s="248"/>
      <c r="D52" s="253">
        <v>122.196</v>
      </c>
      <c r="E52" s="250"/>
      <c r="F52" s="250"/>
      <c r="G52" s="252"/>
      <c r="H52" s="251"/>
      <c r="I52" s="250"/>
      <c r="J52" s="250"/>
      <c r="K52" s="250"/>
      <c r="L52" s="250"/>
      <c r="M52" s="249">
        <v>79.400000000000006</v>
      </c>
      <c r="N52" s="246">
        <f t="shared" si="2"/>
        <v>1.4689824021077865E-3</v>
      </c>
      <c r="O52" s="245">
        <f t="shared" si="3"/>
        <v>79.400000000000006</v>
      </c>
    </row>
    <row r="53" spans="1:16" ht="15">
      <c r="A53" s="254" t="s">
        <v>346</v>
      </c>
      <c r="B53" s="248" t="s">
        <v>345</v>
      </c>
      <c r="C53" s="248" t="s">
        <v>344</v>
      </c>
      <c r="D53" s="253">
        <v>1.0369999999999999</v>
      </c>
      <c r="E53" s="257">
        <v>323.3</v>
      </c>
      <c r="F53" s="257">
        <v>46.33</v>
      </c>
      <c r="G53" s="257">
        <v>12.063910911866019</v>
      </c>
      <c r="H53" s="257">
        <v>14.397</v>
      </c>
      <c r="I53" s="257">
        <v>107.37350000000001</v>
      </c>
      <c r="J53" s="257">
        <v>111.65915449964247</v>
      </c>
      <c r="K53" s="257"/>
      <c r="L53" s="257">
        <v>58.972918909618137</v>
      </c>
      <c r="M53" s="249">
        <v>17.3</v>
      </c>
      <c r="N53" s="246">
        <f t="shared" si="2"/>
        <v>1.3658648947813381E-3</v>
      </c>
      <c r="O53" s="245">
        <f t="shared" si="3"/>
        <v>73.826393352315165</v>
      </c>
      <c r="P53" s="258" t="s">
        <v>343</v>
      </c>
    </row>
    <row r="54" spans="1:16" ht="15">
      <c r="A54" s="254" t="s">
        <v>342</v>
      </c>
      <c r="B54" s="256" t="s">
        <v>341</v>
      </c>
      <c r="C54" s="248"/>
      <c r="D54" s="253">
        <v>323.67099999999999</v>
      </c>
      <c r="E54" s="257">
        <v>56.036999999999999</v>
      </c>
      <c r="F54" s="257">
        <v>4.16</v>
      </c>
      <c r="G54" s="257">
        <v>74.02</v>
      </c>
      <c r="H54" s="257">
        <v>28.051500000000001</v>
      </c>
      <c r="I54" s="257">
        <v>25.246350000000003</v>
      </c>
      <c r="J54" s="257">
        <v>20.254020733253999</v>
      </c>
      <c r="K54" s="257">
        <v>15.12</v>
      </c>
      <c r="L54" s="257">
        <v>119.35705548460689</v>
      </c>
      <c r="M54" s="249">
        <v>152.19999999999999</v>
      </c>
      <c r="N54" s="246">
        <f t="shared" si="2"/>
        <v>1.2291254244118268E-3</v>
      </c>
      <c r="O54" s="245">
        <f t="shared" si="3"/>
        <v>66.435485243572174</v>
      </c>
    </row>
    <row r="55" spans="1:16" ht="15">
      <c r="A55" s="248" t="s">
        <v>340</v>
      </c>
      <c r="B55" s="248" t="s">
        <v>339</v>
      </c>
      <c r="C55" s="248" t="s">
        <v>338</v>
      </c>
      <c r="D55" s="253">
        <v>0.97199999999999998</v>
      </c>
      <c r="E55" s="257"/>
      <c r="F55" s="257">
        <v>52</v>
      </c>
      <c r="G55" s="257">
        <v>87</v>
      </c>
      <c r="H55" s="257">
        <v>0</v>
      </c>
      <c r="I55" s="257"/>
      <c r="J55" s="257"/>
      <c r="K55" s="257">
        <v>7.242</v>
      </c>
      <c r="L55" s="257">
        <v>177.12745081966744</v>
      </c>
      <c r="M55" s="249">
        <v>0.5</v>
      </c>
      <c r="N55" s="246">
        <f t="shared" si="2"/>
        <v>1.1400922331713784E-3</v>
      </c>
      <c r="O55" s="245">
        <f t="shared" si="3"/>
        <v>61.623150273222478</v>
      </c>
    </row>
    <row r="56" spans="1:16" ht="15">
      <c r="A56" s="248" t="s">
        <v>337</v>
      </c>
      <c r="B56" s="248" t="s">
        <v>336</v>
      </c>
      <c r="C56" s="248" t="s">
        <v>335</v>
      </c>
      <c r="D56" s="253">
        <v>293.452</v>
      </c>
      <c r="E56" s="257"/>
      <c r="F56" s="257"/>
      <c r="G56" s="257"/>
      <c r="H56" s="257">
        <v>0</v>
      </c>
      <c r="I56" s="257">
        <v>10.0053</v>
      </c>
      <c r="J56" s="257">
        <v>10.404646756557929</v>
      </c>
      <c r="K56" s="257"/>
      <c r="L56" s="257">
        <v>2.1794135562998349</v>
      </c>
      <c r="M56" s="249">
        <v>220.4</v>
      </c>
      <c r="N56" s="246">
        <f t="shared" si="2"/>
        <v>1.1238888356392199E-3</v>
      </c>
      <c r="O56" s="245">
        <f t="shared" si="3"/>
        <v>60.747340078214442</v>
      </c>
    </row>
    <row r="57" spans="1:16" ht="15">
      <c r="A57" s="254" t="s">
        <v>334</v>
      </c>
      <c r="B57" s="256" t="s">
        <v>333</v>
      </c>
      <c r="C57" s="248"/>
      <c r="D57" s="253">
        <v>99.364000000000004</v>
      </c>
      <c r="E57" s="257">
        <v>18.983000000000001</v>
      </c>
      <c r="F57" s="257">
        <v>15.34</v>
      </c>
      <c r="G57" s="257">
        <v>18.2</v>
      </c>
      <c r="H57" s="257">
        <v>15.4915</v>
      </c>
      <c r="I57" s="257">
        <v>13.942350000000001</v>
      </c>
      <c r="J57" s="257">
        <v>36.498838286337801</v>
      </c>
      <c r="K57" s="257">
        <v>38.83</v>
      </c>
      <c r="L57" s="257">
        <v>64.386357737063165</v>
      </c>
      <c r="M57" s="249">
        <v>140.1</v>
      </c>
      <c r="N57" s="246">
        <f t="shared" si="2"/>
        <v>1.0869638931857537E-3</v>
      </c>
      <c r="O57" s="245">
        <f t="shared" si="3"/>
        <v>58.751509204680204</v>
      </c>
    </row>
    <row r="58" spans="1:16" ht="15">
      <c r="A58" s="254" t="s">
        <v>332</v>
      </c>
      <c r="B58" s="248"/>
      <c r="C58" s="248" t="s">
        <v>331</v>
      </c>
      <c r="D58" s="253">
        <v>19.437000000000001</v>
      </c>
      <c r="E58" s="257">
        <v>3.1949999999999998</v>
      </c>
      <c r="F58" s="257"/>
      <c r="G58" s="257">
        <v>34.833246184136812</v>
      </c>
      <c r="H58" s="257">
        <v>8.3714999999999993</v>
      </c>
      <c r="I58" s="257"/>
      <c r="J58" s="257"/>
      <c r="K58" s="257"/>
      <c r="L58" s="257">
        <v>15.895117921555656</v>
      </c>
      <c r="M58" s="249">
        <v>99.9</v>
      </c>
      <c r="N58" s="246">
        <f t="shared" si="2"/>
        <v>1.0711649274355241E-3</v>
      </c>
      <c r="O58" s="245">
        <f t="shared" si="3"/>
        <v>57.897558960777829</v>
      </c>
    </row>
    <row r="59" spans="1:16" ht="15">
      <c r="A59" s="254" t="s">
        <v>330</v>
      </c>
      <c r="B59" s="256" t="s">
        <v>329</v>
      </c>
      <c r="C59" s="248"/>
      <c r="D59" s="253">
        <v>82.933000000000007</v>
      </c>
      <c r="E59" s="257">
        <v>127.825</v>
      </c>
      <c r="F59" s="257">
        <v>202.43600000000001</v>
      </c>
      <c r="G59" s="257">
        <v>102.36</v>
      </c>
      <c r="H59" s="257">
        <v>64.424000000000007</v>
      </c>
      <c r="I59" s="257">
        <v>63.632599999999996</v>
      </c>
      <c r="J59" s="257">
        <v>63.052660583058405</v>
      </c>
      <c r="K59" s="257"/>
      <c r="L59" s="257">
        <v>78.680521454358697</v>
      </c>
      <c r="M59" s="249">
        <v>26.2</v>
      </c>
      <c r="N59" s="246">
        <f t="shared" si="2"/>
        <v>1.0710518222395876E-3</v>
      </c>
      <c r="O59" s="245">
        <f t="shared" si="3"/>
        <v>57.89144550935427</v>
      </c>
    </row>
    <row r="60" spans="1:16" ht="15">
      <c r="A60" s="254" t="s">
        <v>328</v>
      </c>
      <c r="B60" s="248" t="s">
        <v>327</v>
      </c>
      <c r="C60" s="248" t="s">
        <v>326</v>
      </c>
      <c r="D60" s="253">
        <v>1.7230000000000001</v>
      </c>
      <c r="E60" s="257">
        <v>222.34</v>
      </c>
      <c r="F60" s="257">
        <v>543.61099999999999</v>
      </c>
      <c r="G60" s="257">
        <v>122.3</v>
      </c>
      <c r="H60" s="257">
        <v>11.117000000000001</v>
      </c>
      <c r="I60" s="257">
        <v>14.315850000000001</v>
      </c>
      <c r="J60" s="257">
        <v>14.887245986614076</v>
      </c>
      <c r="K60" s="257"/>
      <c r="L60" s="257">
        <v>190.75412798358883</v>
      </c>
      <c r="M60" s="249">
        <v>8</v>
      </c>
      <c r="N60" s="246">
        <f t="shared" si="2"/>
        <v>1.0543613049293808E-3</v>
      </c>
      <c r="O60" s="245">
        <f t="shared" si="3"/>
        <v>56.989305992550726</v>
      </c>
    </row>
    <row r="61" spans="1:16" ht="15">
      <c r="A61" s="254" t="s">
        <v>325</v>
      </c>
      <c r="B61" s="248" t="s">
        <v>324</v>
      </c>
      <c r="C61" s="248"/>
      <c r="D61" s="253">
        <v>1.7230000000000001</v>
      </c>
      <c r="E61" s="257">
        <v>0.22900000000000001</v>
      </c>
      <c r="F61" s="257"/>
      <c r="G61" s="252">
        <v>14.6</v>
      </c>
      <c r="H61" s="251">
        <v>1.6705000000000001</v>
      </c>
      <c r="I61" s="257">
        <v>113.79105</v>
      </c>
      <c r="J61" s="257">
        <v>118.33280000000001</v>
      </c>
      <c r="K61" s="257">
        <v>7.63</v>
      </c>
      <c r="L61" s="257">
        <v>25.241499999999998</v>
      </c>
      <c r="M61" s="249">
        <v>17.8</v>
      </c>
      <c r="N61" s="246">
        <f t="shared" si="2"/>
        <v>1.0464014925640106E-3</v>
      </c>
      <c r="O61" s="245">
        <f t="shared" si="3"/>
        <v>56.559069999999998</v>
      </c>
    </row>
    <row r="62" spans="1:16" ht="15">
      <c r="A62" s="248" t="s">
        <v>323</v>
      </c>
      <c r="B62" s="248" t="s">
        <v>322</v>
      </c>
      <c r="C62" s="248"/>
      <c r="D62" s="253">
        <v>51.613</v>
      </c>
      <c r="E62" s="257">
        <v>107.78</v>
      </c>
      <c r="F62" s="257">
        <v>250.71</v>
      </c>
      <c r="G62" s="257">
        <v>401.54831084151095</v>
      </c>
      <c r="H62" s="257">
        <v>7.7409999999999997</v>
      </c>
      <c r="I62" s="257">
        <v>12.773700000000002</v>
      </c>
      <c r="J62" s="257">
        <v>13.283543349449195</v>
      </c>
      <c r="K62" s="257">
        <v>4.6900000000000004</v>
      </c>
      <c r="L62" s="257">
        <v>192.52812569221547</v>
      </c>
      <c r="M62" s="249">
        <v>57.8</v>
      </c>
      <c r="N62" s="246">
        <f t="shared" si="2"/>
        <v>1.0400372060155091E-3</v>
      </c>
      <c r="O62" s="245">
        <f t="shared" si="3"/>
        <v>56.215073808332932</v>
      </c>
    </row>
    <row r="63" spans="1:16" ht="15">
      <c r="A63" s="254" t="s">
        <v>321</v>
      </c>
      <c r="B63" s="248"/>
      <c r="C63" s="248" t="s">
        <v>320</v>
      </c>
      <c r="D63" s="253">
        <v>0.64800000000000002</v>
      </c>
      <c r="E63" s="257">
        <v>10.971</v>
      </c>
      <c r="F63" s="257">
        <v>241.82</v>
      </c>
      <c r="G63" s="257">
        <v>120.3</v>
      </c>
      <c r="H63" s="257">
        <v>0</v>
      </c>
      <c r="I63" s="257">
        <v>11.958500000000001</v>
      </c>
      <c r="J63" s="257">
        <v>12.435805846731032</v>
      </c>
      <c r="K63" s="257"/>
      <c r="L63" s="257">
        <v>172.66670827505257</v>
      </c>
      <c r="M63" s="249">
        <v>10.7</v>
      </c>
      <c r="N63" s="246">
        <f t="shared" si="2"/>
        <v>9.609485944237009E-4</v>
      </c>
      <c r="O63" s="245">
        <f t="shared" si="3"/>
        <v>51.940253530445901</v>
      </c>
    </row>
    <row r="64" spans="1:16" ht="15">
      <c r="A64" s="254" t="s">
        <v>319</v>
      </c>
      <c r="B64" s="256" t="s">
        <v>318</v>
      </c>
      <c r="C64" s="248"/>
      <c r="D64" s="253">
        <v>7.8E-2</v>
      </c>
      <c r="E64" s="257">
        <v>97.801000000000002</v>
      </c>
      <c r="F64" s="257">
        <v>3.7919999999999998</v>
      </c>
      <c r="G64" s="257">
        <v>7.05</v>
      </c>
      <c r="H64" s="257">
        <v>48.900500000000001</v>
      </c>
      <c r="I64" s="257">
        <v>44.010449999999999</v>
      </c>
      <c r="J64" s="257">
        <v>45.767062041833313</v>
      </c>
      <c r="K64" s="257">
        <v>0.17</v>
      </c>
      <c r="L64" s="257">
        <v>36.262169133383374</v>
      </c>
      <c r="M64" s="249">
        <v>66.599999999999994</v>
      </c>
      <c r="N64" s="246">
        <f t="shared" si="2"/>
        <v>7.1343584030832813E-4</v>
      </c>
      <c r="O64" s="245">
        <f t="shared" si="3"/>
        <v>38.561936235043341</v>
      </c>
    </row>
    <row r="65" spans="1:15" ht="15">
      <c r="A65" s="254" t="s">
        <v>317</v>
      </c>
      <c r="B65" s="256" t="s">
        <v>316</v>
      </c>
      <c r="C65" s="248"/>
      <c r="D65" s="253">
        <v>281.25799999999998</v>
      </c>
      <c r="E65" s="257">
        <v>6.093</v>
      </c>
      <c r="F65" s="257">
        <v>26.942</v>
      </c>
      <c r="G65" s="257">
        <v>9.56</v>
      </c>
      <c r="H65" s="257">
        <v>4.5664999999999996</v>
      </c>
      <c r="I65" s="257">
        <v>4.1098500000000007</v>
      </c>
      <c r="J65" s="257">
        <v>14.2738885862932</v>
      </c>
      <c r="K65" s="257">
        <v>4.22</v>
      </c>
      <c r="L65" s="257">
        <v>79.247560299625903</v>
      </c>
      <c r="M65" s="249">
        <v>69.2</v>
      </c>
      <c r="N65" s="246">
        <f t="shared" si="2"/>
        <v>6.3292530962492282E-4</v>
      </c>
      <c r="O65" s="245">
        <f t="shared" si="3"/>
        <v>34.210259777183822</v>
      </c>
    </row>
    <row r="66" spans="1:15" ht="15">
      <c r="A66" s="248"/>
      <c r="B66" s="256" t="s">
        <v>315</v>
      </c>
      <c r="C66" s="248"/>
      <c r="D66" s="253">
        <v>0</v>
      </c>
      <c r="E66" s="250"/>
      <c r="F66" s="250"/>
      <c r="G66" s="252"/>
      <c r="H66" s="251"/>
      <c r="I66" s="250"/>
      <c r="J66" s="250"/>
      <c r="K66" s="250"/>
      <c r="L66" s="250"/>
      <c r="M66" s="249">
        <v>33.799999999999997</v>
      </c>
      <c r="N66" s="246">
        <f t="shared" si="2"/>
        <v>6.2533507797535488E-4</v>
      </c>
      <c r="O66" s="245">
        <f t="shared" si="3"/>
        <v>33.799999999999997</v>
      </c>
    </row>
    <row r="67" spans="1:15" ht="15">
      <c r="A67" s="254" t="s">
        <v>314</v>
      </c>
      <c r="B67" s="256" t="s">
        <v>313</v>
      </c>
      <c r="C67" s="248"/>
      <c r="D67" s="253">
        <v>35.945999999999998</v>
      </c>
      <c r="E67" s="257"/>
      <c r="F67" s="257"/>
      <c r="G67" s="257">
        <v>21</v>
      </c>
      <c r="H67" s="257">
        <v>0</v>
      </c>
      <c r="I67" s="257">
        <v>53</v>
      </c>
      <c r="J67" s="257">
        <v>63.995676074470197</v>
      </c>
      <c r="K67" s="257">
        <v>0.46</v>
      </c>
      <c r="L67" s="257">
        <v>24.309405619941462</v>
      </c>
      <c r="M67" s="249">
        <v>20.6</v>
      </c>
      <c r="N67" s="246">
        <f t="shared" si="2"/>
        <v>6.007845030878685E-4</v>
      </c>
      <c r="O67" s="245">
        <f t="shared" si="3"/>
        <v>32.473016338882331</v>
      </c>
    </row>
    <row r="68" spans="1:15" ht="15">
      <c r="A68" s="254" t="s">
        <v>312</v>
      </c>
      <c r="B68" s="248" t="s">
        <v>311</v>
      </c>
      <c r="C68" s="248" t="s">
        <v>310</v>
      </c>
      <c r="D68" s="253">
        <v>27.199000000000002</v>
      </c>
      <c r="E68" s="257">
        <v>152.47999999999999</v>
      </c>
      <c r="F68" s="257">
        <v>102.02</v>
      </c>
      <c r="G68" s="257">
        <v>145.09</v>
      </c>
      <c r="H68" s="257">
        <v>76.569999999999993</v>
      </c>
      <c r="I68" s="257">
        <v>6.8912999999999993</v>
      </c>
      <c r="J68" s="257">
        <v>7.1663560506399255</v>
      </c>
      <c r="K68" s="257">
        <v>62.41</v>
      </c>
      <c r="L68" s="257">
        <v>63.413638689586264</v>
      </c>
      <c r="M68" s="249">
        <v>13.7</v>
      </c>
      <c r="N68" s="246">
        <f t="shared" ref="N68:N86" si="4">O68/$O$86</f>
        <v>5.6828266817713182E-4</v>
      </c>
      <c r="O68" s="245">
        <f t="shared" ref="O68:O80" si="5">AVERAGE(I68:M68)</f>
        <v>30.71625894804523</v>
      </c>
    </row>
    <row r="69" spans="1:15" ht="15">
      <c r="A69" s="248" t="s">
        <v>309</v>
      </c>
      <c r="B69" s="248" t="s">
        <v>308</v>
      </c>
      <c r="C69" s="248"/>
      <c r="D69" s="253">
        <v>3.3690000000000002</v>
      </c>
      <c r="E69" s="257">
        <v>177.09</v>
      </c>
      <c r="F69" s="257">
        <v>125.371</v>
      </c>
      <c r="G69" s="257">
        <v>145.63</v>
      </c>
      <c r="H69" s="257">
        <v>14.193</v>
      </c>
      <c r="I69" s="257">
        <v>9.0034500000000008</v>
      </c>
      <c r="J69" s="257">
        <v>9.3628093950537714</v>
      </c>
      <c r="K69" s="257"/>
      <c r="L69" s="257">
        <v>65.942892541835434</v>
      </c>
      <c r="M69" s="249">
        <v>12</v>
      </c>
      <c r="N69" s="246">
        <f t="shared" si="4"/>
        <v>4.4545481535647127E-4</v>
      </c>
      <c r="O69" s="245">
        <f t="shared" si="5"/>
        <v>24.077287984222302</v>
      </c>
    </row>
    <row r="70" spans="1:15" ht="15">
      <c r="A70" s="248"/>
      <c r="B70" s="248"/>
      <c r="C70" s="248" t="s">
        <v>307</v>
      </c>
      <c r="D70" s="253"/>
      <c r="E70" s="250"/>
      <c r="F70" s="250"/>
      <c r="G70" s="252"/>
      <c r="H70" s="251"/>
      <c r="I70" s="250"/>
      <c r="J70" s="250"/>
      <c r="K70" s="250"/>
      <c r="L70" s="250"/>
      <c r="M70" s="249">
        <v>24</v>
      </c>
      <c r="N70" s="246">
        <f t="shared" si="4"/>
        <v>4.4402490743812183E-4</v>
      </c>
      <c r="O70" s="245">
        <f t="shared" si="5"/>
        <v>24</v>
      </c>
    </row>
    <row r="71" spans="1:15" ht="15">
      <c r="A71" s="254" t="s">
        <v>306</v>
      </c>
      <c r="B71" s="256" t="s">
        <v>305</v>
      </c>
      <c r="C71" s="248"/>
      <c r="D71" s="253">
        <v>0</v>
      </c>
      <c r="E71" s="257"/>
      <c r="F71" s="257"/>
      <c r="G71" s="257">
        <v>12</v>
      </c>
      <c r="H71" s="257"/>
      <c r="I71" s="257">
        <v>36.4</v>
      </c>
      <c r="J71" s="257">
        <v>24.282032722453643</v>
      </c>
      <c r="K71" s="257"/>
      <c r="L71" s="257">
        <v>6.5483884972156101</v>
      </c>
      <c r="M71" s="249"/>
      <c r="N71" s="246">
        <f t="shared" si="4"/>
        <v>4.1461085498735532E-4</v>
      </c>
      <c r="O71" s="245">
        <f t="shared" si="5"/>
        <v>22.410140406556419</v>
      </c>
    </row>
    <row r="72" spans="1:15" ht="15">
      <c r="A72" s="248" t="s">
        <v>304</v>
      </c>
      <c r="B72" s="248"/>
      <c r="C72" s="248"/>
      <c r="D72" s="253">
        <v>37.423000000000002</v>
      </c>
      <c r="E72" s="257"/>
      <c r="F72" s="257"/>
      <c r="G72" s="257">
        <v>6.44</v>
      </c>
      <c r="H72" s="257">
        <v>4.883</v>
      </c>
      <c r="I72" s="257">
        <v>4.3946999999999994</v>
      </c>
      <c r="J72" s="257">
        <v>4.5701079528894804</v>
      </c>
      <c r="K72" s="257">
        <v>1.002</v>
      </c>
      <c r="L72" s="257">
        <v>17.026938221921348</v>
      </c>
      <c r="M72" s="249">
        <v>73.2</v>
      </c>
      <c r="N72" s="246">
        <f t="shared" si="4"/>
        <v>3.7073765725957538E-4</v>
      </c>
      <c r="O72" s="245">
        <f t="shared" si="5"/>
        <v>20.038749234962165</v>
      </c>
    </row>
    <row r="73" spans="1:15" ht="15">
      <c r="A73" s="254" t="s">
        <v>303</v>
      </c>
      <c r="B73" s="248"/>
      <c r="C73" s="248" t="s">
        <v>302</v>
      </c>
      <c r="D73" s="253">
        <v>6.907</v>
      </c>
      <c r="E73" s="257">
        <v>2.8879999999999999</v>
      </c>
      <c r="F73" s="257"/>
      <c r="G73" s="257">
        <v>123.52</v>
      </c>
      <c r="H73" s="257">
        <v>0</v>
      </c>
      <c r="I73" s="257"/>
      <c r="J73" s="257"/>
      <c r="K73" s="257"/>
      <c r="L73" s="257">
        <v>13.726301177024958</v>
      </c>
      <c r="M73" s="249">
        <v>19.2</v>
      </c>
      <c r="N73" s="246">
        <f t="shared" si="4"/>
        <v>3.0458537150850474E-4</v>
      </c>
      <c r="O73" s="245">
        <f t="shared" si="5"/>
        <v>16.463150588512477</v>
      </c>
    </row>
    <row r="74" spans="1:15" ht="15">
      <c r="A74" s="254" t="s">
        <v>301</v>
      </c>
      <c r="B74" s="248" t="s">
        <v>300</v>
      </c>
      <c r="C74" s="248" t="s">
        <v>299</v>
      </c>
      <c r="D74" s="253">
        <v>1.296</v>
      </c>
      <c r="E74" s="257"/>
      <c r="F74" s="257"/>
      <c r="G74" s="257"/>
      <c r="H74" s="257">
        <v>0</v>
      </c>
      <c r="I74" s="257">
        <v>26</v>
      </c>
      <c r="J74" s="257">
        <v>45.75619494553375</v>
      </c>
      <c r="K74" s="257">
        <v>0.05</v>
      </c>
      <c r="L74" s="257">
        <v>6.5271557291296878</v>
      </c>
      <c r="M74" s="249">
        <v>0.7</v>
      </c>
      <c r="N74" s="246">
        <f t="shared" si="4"/>
        <v>2.9243980181535047E-4</v>
      </c>
      <c r="O74" s="245">
        <f t="shared" si="5"/>
        <v>15.806670134932688</v>
      </c>
    </row>
    <row r="75" spans="1:15" ht="15">
      <c r="A75" s="254" t="s">
        <v>298</v>
      </c>
      <c r="B75" s="256" t="s">
        <v>297</v>
      </c>
      <c r="C75" s="248"/>
      <c r="D75" s="253">
        <v>9.0999999999999998E-2</v>
      </c>
      <c r="E75" s="257">
        <v>16.814</v>
      </c>
      <c r="F75" s="257"/>
      <c r="G75" s="257"/>
      <c r="H75" s="257">
        <v>24.67</v>
      </c>
      <c r="I75" s="257">
        <v>22.203000000000003</v>
      </c>
      <c r="J75" s="257">
        <v>23.089199917629227</v>
      </c>
      <c r="K75" s="257">
        <v>0.01</v>
      </c>
      <c r="L75" s="257">
        <v>7.7984088245831868</v>
      </c>
      <c r="M75" s="249"/>
      <c r="N75" s="246">
        <f t="shared" si="4"/>
        <v>2.4560409251738326E-4</v>
      </c>
      <c r="O75" s="245">
        <f t="shared" si="5"/>
        <v>13.275152185553104</v>
      </c>
    </row>
    <row r="76" spans="1:15" ht="15">
      <c r="A76" s="254" t="s">
        <v>296</v>
      </c>
      <c r="B76" s="256" t="s">
        <v>295</v>
      </c>
      <c r="C76" s="248"/>
      <c r="D76" s="253">
        <v>0</v>
      </c>
      <c r="E76" s="257">
        <v>46.1</v>
      </c>
      <c r="F76" s="257"/>
      <c r="G76" s="257">
        <v>13.85</v>
      </c>
      <c r="H76" s="257">
        <v>25.944500000000001</v>
      </c>
      <c r="I76" s="257">
        <v>14.3</v>
      </c>
      <c r="J76" s="257">
        <v>23.35005</v>
      </c>
      <c r="K76" s="257">
        <v>0.97</v>
      </c>
      <c r="L76" s="257">
        <v>11.184383092354539</v>
      </c>
      <c r="M76" s="249"/>
      <c r="N76" s="246">
        <f t="shared" si="4"/>
        <v>2.3035842493584224E-4</v>
      </c>
      <c r="O76" s="245">
        <f t="shared" si="5"/>
        <v>12.451108273088634</v>
      </c>
    </row>
    <row r="77" spans="1:15" ht="15">
      <c r="A77" s="254" t="s">
        <v>294</v>
      </c>
      <c r="B77" s="248" t="s">
        <v>293</v>
      </c>
      <c r="C77" s="248" t="s">
        <v>292</v>
      </c>
      <c r="D77" s="253">
        <v>15.122</v>
      </c>
      <c r="E77" s="257"/>
      <c r="F77" s="257"/>
      <c r="G77" s="257"/>
      <c r="H77" s="257">
        <v>0</v>
      </c>
      <c r="I77" s="257"/>
      <c r="J77" s="257"/>
      <c r="K77" s="257"/>
      <c r="L77" s="257">
        <v>0.32274397312543979</v>
      </c>
      <c r="M77" s="249">
        <v>20.399999999999999</v>
      </c>
      <c r="N77" s="246">
        <f t="shared" si="4"/>
        <v>1.9169613488606083E-4</v>
      </c>
      <c r="O77" s="245">
        <f t="shared" si="5"/>
        <v>10.36137198656272</v>
      </c>
    </row>
    <row r="78" spans="1:15" ht="15">
      <c r="A78" s="248"/>
      <c r="B78" s="248"/>
      <c r="C78" s="248" t="s">
        <v>291</v>
      </c>
      <c r="D78" s="253">
        <v>0</v>
      </c>
      <c r="E78" s="250"/>
      <c r="F78" s="250"/>
      <c r="G78" s="252"/>
      <c r="H78" s="251"/>
      <c r="I78" s="250"/>
      <c r="J78" s="250"/>
      <c r="K78" s="250"/>
      <c r="L78" s="250"/>
      <c r="M78" s="249">
        <v>5.5</v>
      </c>
      <c r="N78" s="246">
        <f t="shared" si="4"/>
        <v>1.0175570795456958E-4</v>
      </c>
      <c r="O78" s="245">
        <f t="shared" si="5"/>
        <v>5.5</v>
      </c>
    </row>
    <row r="79" spans="1:15" ht="15">
      <c r="A79" s="254" t="s">
        <v>290</v>
      </c>
      <c r="B79" s="256" t="s">
        <v>289</v>
      </c>
      <c r="C79" s="248"/>
      <c r="D79" s="253">
        <v>0.22</v>
      </c>
      <c r="E79" s="257"/>
      <c r="F79" s="257">
        <v>37.188000000000002</v>
      </c>
      <c r="G79" s="257"/>
      <c r="H79" s="257">
        <v>0</v>
      </c>
      <c r="I79" s="257">
        <v>5.6</v>
      </c>
      <c r="J79" s="257">
        <v>3.1197405644682106</v>
      </c>
      <c r="K79" s="257"/>
      <c r="L79" s="257">
        <v>4.5818653464557446</v>
      </c>
      <c r="M79" s="249">
        <v>2</v>
      </c>
      <c r="N79" s="246">
        <f t="shared" si="4"/>
        <v>7.0773897377631535E-5</v>
      </c>
      <c r="O79" s="245">
        <f t="shared" si="5"/>
        <v>3.8254014777309888</v>
      </c>
    </row>
    <row r="80" spans="1:15" ht="15">
      <c r="A80" s="254" t="s">
        <v>288</v>
      </c>
      <c r="B80" s="256" t="s">
        <v>287</v>
      </c>
      <c r="C80" s="248"/>
      <c r="D80" s="253">
        <v>0</v>
      </c>
      <c r="E80" s="250"/>
      <c r="F80" s="250"/>
      <c r="G80" s="252"/>
      <c r="H80" s="251"/>
      <c r="I80" s="250"/>
      <c r="J80" s="250"/>
      <c r="K80" s="250"/>
      <c r="L80" s="250"/>
      <c r="M80" s="249">
        <v>1.7</v>
      </c>
      <c r="N80" s="246">
        <f t="shared" si="4"/>
        <v>3.145176427686696E-5</v>
      </c>
      <c r="O80" s="245">
        <f t="shared" si="5"/>
        <v>1.7</v>
      </c>
    </row>
    <row r="81" spans="1:15" ht="15">
      <c r="A81" s="248"/>
      <c r="B81" s="248"/>
      <c r="C81" s="248"/>
      <c r="D81" s="253">
        <v>0</v>
      </c>
      <c r="E81" s="250"/>
      <c r="F81" s="250"/>
      <c r="G81" s="252"/>
      <c r="H81" s="251"/>
      <c r="I81" s="250"/>
      <c r="J81" s="250"/>
      <c r="K81" s="250"/>
      <c r="L81" s="250"/>
      <c r="M81" s="249"/>
      <c r="N81" s="246">
        <f t="shared" si="4"/>
        <v>0</v>
      </c>
      <c r="O81" s="245"/>
    </row>
    <row r="82" spans="1:15" ht="15">
      <c r="A82" s="255" t="s">
        <v>286</v>
      </c>
      <c r="B82" s="248" t="s">
        <v>285</v>
      </c>
      <c r="C82" s="248" t="s">
        <v>284</v>
      </c>
      <c r="D82" s="253">
        <v>0</v>
      </c>
      <c r="E82" s="250"/>
      <c r="F82" s="250"/>
      <c r="G82" s="252"/>
      <c r="H82" s="251"/>
      <c r="I82" s="250"/>
      <c r="J82" s="250"/>
      <c r="K82" s="250"/>
      <c r="L82" s="250"/>
      <c r="M82" s="249"/>
      <c r="N82" s="246">
        <f t="shared" si="4"/>
        <v>0</v>
      </c>
      <c r="O82" s="245"/>
    </row>
    <row r="83" spans="1:15" ht="15">
      <c r="A83" s="254" t="s">
        <v>283</v>
      </c>
      <c r="B83" s="248"/>
      <c r="C83" s="248"/>
      <c r="D83" s="253">
        <v>0</v>
      </c>
      <c r="E83" s="250"/>
      <c r="F83" s="250"/>
      <c r="G83" s="252"/>
      <c r="H83" s="251"/>
      <c r="I83" s="250"/>
      <c r="J83" s="250"/>
      <c r="K83" s="250"/>
      <c r="L83" s="250"/>
      <c r="M83" s="249"/>
      <c r="N83" s="246">
        <f t="shared" si="4"/>
        <v>0</v>
      </c>
      <c r="O83" s="245"/>
    </row>
    <row r="84" spans="1:15" ht="15">
      <c r="A84" s="254"/>
      <c r="B84" s="248" t="s">
        <v>282</v>
      </c>
      <c r="C84" s="248"/>
      <c r="D84" s="253">
        <v>0.42799999999999999</v>
      </c>
      <c r="E84" s="250"/>
      <c r="F84" s="250"/>
      <c r="G84" s="252"/>
      <c r="H84" s="251"/>
      <c r="I84" s="250"/>
      <c r="J84" s="250"/>
      <c r="K84" s="250"/>
      <c r="L84" s="250"/>
      <c r="M84" s="249"/>
      <c r="N84" s="246">
        <f t="shared" si="4"/>
        <v>0</v>
      </c>
      <c r="O84" s="245"/>
    </row>
    <row r="85" spans="1:15" ht="15">
      <c r="A85" s="248"/>
      <c r="B85" s="248"/>
      <c r="C85" s="248"/>
      <c r="D85" s="253">
        <v>0</v>
      </c>
      <c r="E85" s="250"/>
      <c r="F85" s="250"/>
      <c r="G85" s="252"/>
      <c r="H85" s="251"/>
      <c r="I85" s="250"/>
      <c r="J85" s="250"/>
      <c r="K85" s="250"/>
      <c r="L85" s="250"/>
      <c r="M85" s="249"/>
      <c r="N85" s="246">
        <f t="shared" si="4"/>
        <v>0</v>
      </c>
      <c r="O85" s="245"/>
    </row>
    <row r="86" spans="1:15">
      <c r="A86" s="248"/>
      <c r="B86" s="248"/>
      <c r="C86" s="248"/>
      <c r="D86" s="247">
        <f t="shared" ref="D86:M86" si="6">SUM(D4:D85)</f>
        <v>46218.889000000017</v>
      </c>
      <c r="E86" s="247">
        <f t="shared" si="6"/>
        <v>47959.604699999982</v>
      </c>
      <c r="F86" s="247">
        <f t="shared" si="6"/>
        <v>48455.94</v>
      </c>
      <c r="G86" s="247">
        <f t="shared" si="6"/>
        <v>48273.137980626176</v>
      </c>
      <c r="H86" s="247">
        <f t="shared" si="6"/>
        <v>50316.419474999988</v>
      </c>
      <c r="I86" s="247">
        <f t="shared" si="6"/>
        <v>51914.103751130788</v>
      </c>
      <c r="J86" s="247">
        <f t="shared" si="6"/>
        <v>55086.850191046105</v>
      </c>
      <c r="K86" s="247">
        <f t="shared" si="6"/>
        <v>52211.014000000017</v>
      </c>
      <c r="L86" s="247">
        <f t="shared" si="6"/>
        <v>53944.041601926539</v>
      </c>
      <c r="M86" s="247">
        <f t="shared" si="6"/>
        <v>57099.099999999977</v>
      </c>
      <c r="N86" s="246">
        <f t="shared" si="4"/>
        <v>1</v>
      </c>
      <c r="O86" s="245">
        <f>AVERAGE(I86:M86)</f>
        <v>54051.021908820687</v>
      </c>
    </row>
    <row r="87" spans="1:15">
      <c r="E87" s="244">
        <f t="shared" ref="E87:M87" si="7">E86/D86-1</f>
        <v>3.766243061359531E-2</v>
      </c>
      <c r="F87" s="244">
        <f t="shared" si="7"/>
        <v>1.0349028168699981E-2</v>
      </c>
      <c r="G87" s="280">
        <f t="shared" si="7"/>
        <v>-3.772540979987693E-3</v>
      </c>
      <c r="H87" s="244">
        <f t="shared" si="7"/>
        <v>4.2327505106335872E-2</v>
      </c>
      <c r="I87" s="244">
        <f t="shared" si="7"/>
        <v>3.1752741804782492E-2</v>
      </c>
      <c r="J87" s="244">
        <f t="shared" si="7"/>
        <v>6.1115307992699597E-2</v>
      </c>
      <c r="K87" s="280">
        <f t="shared" si="7"/>
        <v>-5.220549334500757E-2</v>
      </c>
      <c r="L87" s="244">
        <f t="shared" si="7"/>
        <v>3.3192758944051937E-2</v>
      </c>
      <c r="M87" s="244">
        <f t="shared" si="7"/>
        <v>5.8487616136658982E-2</v>
      </c>
      <c r="O87" s="243">
        <f>AVERAGE(E87:M87)</f>
        <v>2.4323261604647657E-2</v>
      </c>
    </row>
    <row r="88" spans="1:15" ht="15">
      <c r="G88" s="242"/>
      <c r="H88" s="241"/>
    </row>
    <row r="89" spans="1:15" ht="15">
      <c r="D89" s="240"/>
      <c r="G89" s="242"/>
      <c r="H89" s="241"/>
    </row>
    <row r="90" spans="1:15" ht="15">
      <c r="D90" s="240"/>
      <c r="G90" s="242"/>
      <c r="H90" s="241"/>
    </row>
    <row r="91" spans="1:15">
      <c r="D91" s="240"/>
    </row>
    <row r="92" spans="1:15">
      <c r="D92" s="240"/>
    </row>
    <row r="108" spans="4:4">
      <c r="D108" s="240"/>
    </row>
    <row r="109" spans="4:4">
      <c r="D109" s="240"/>
    </row>
    <row r="110" spans="4:4">
      <c r="D110" s="240"/>
    </row>
    <row r="111" spans="4:4">
      <c r="D111" s="240"/>
    </row>
    <row r="112" spans="4:4">
      <c r="D112" s="240"/>
    </row>
    <row r="113" spans="4:4">
      <c r="D113" s="240"/>
    </row>
    <row r="114" spans="4:4">
      <c r="D114" s="240"/>
    </row>
    <row r="115" spans="4:4">
      <c r="D115" s="240"/>
    </row>
    <row r="116" spans="4:4">
      <c r="D116" s="240"/>
    </row>
    <row r="117" spans="4:4">
      <c r="D117" s="240"/>
    </row>
    <row r="118" spans="4:4">
      <c r="D118" s="240"/>
    </row>
    <row r="119" spans="4:4">
      <c r="D119" s="240"/>
    </row>
    <row r="120" spans="4:4">
      <c r="D120" s="240"/>
    </row>
    <row r="121" spans="4:4">
      <c r="D121" s="240"/>
    </row>
    <row r="122" spans="4:4">
      <c r="D122" s="240"/>
    </row>
    <row r="123" spans="4:4">
      <c r="D123" s="240"/>
    </row>
    <row r="124" spans="4:4">
      <c r="D124" s="240"/>
    </row>
    <row r="125" spans="4:4">
      <c r="D125" s="240"/>
    </row>
    <row r="126" spans="4:4">
      <c r="D126" s="240"/>
    </row>
  </sheetData>
  <autoFilter ref="A3:O85">
    <sortState ref="A4:O85">
      <sortCondition descending="1" ref="N3:N85"/>
    </sortState>
  </autoFilter>
  <mergeCells count="1">
    <mergeCell ref="A2:C2"/>
  </mergeCells>
  <pageMargins left="0.75" right="0.75" top="1" bottom="1" header="0.5" footer="0.5"/>
  <pageSetup orientation="landscape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3"/>
  <sheetViews>
    <sheetView zoomScale="55" zoomScaleNormal="55" workbookViewId="0">
      <selection activeCell="I58" sqref="I58"/>
    </sheetView>
  </sheetViews>
  <sheetFormatPr defaultColWidth="11.5703125" defaultRowHeight="15"/>
  <cols>
    <col min="3" max="5" width="17.140625" customWidth="1"/>
    <col min="6" max="6" width="11" bestFit="1" customWidth="1"/>
    <col min="7" max="11" width="20" customWidth="1"/>
    <col min="12" max="12" width="12.140625" bestFit="1" customWidth="1"/>
    <col min="13" max="15" width="20" customWidth="1"/>
    <col min="16" max="24" width="12.140625" bestFit="1" customWidth="1"/>
    <col min="25" max="25" width="13.85546875" customWidth="1"/>
    <col min="27" max="28" width="19.42578125" customWidth="1"/>
    <col min="29" max="31" width="20.5703125" customWidth="1"/>
    <col min="32" max="32" width="11.5703125" bestFit="1" customWidth="1"/>
    <col min="33" max="37" width="19.85546875" customWidth="1"/>
    <col min="38" max="38" width="12.85546875" bestFit="1" customWidth="1"/>
    <col min="39" max="42" width="22.140625" customWidth="1"/>
    <col min="43" max="46" width="12.85546875" bestFit="1" customWidth="1"/>
    <col min="47" max="47" width="13.140625" bestFit="1" customWidth="1"/>
    <col min="48" max="48" width="13.42578125" bestFit="1" customWidth="1"/>
  </cols>
  <sheetData>
    <row r="1" spans="1:16" ht="44.25">
      <c r="A1" s="441" t="s">
        <v>618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</row>
    <row r="2" spans="1:16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</row>
    <row r="3" spans="1:16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</row>
    <row r="4" spans="1:16">
      <c r="A4" s="330"/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1"/>
    </row>
    <row r="5" spans="1:16" ht="18">
      <c r="A5" s="332" t="s">
        <v>604</v>
      </c>
      <c r="B5" s="333" t="s">
        <v>605</v>
      </c>
      <c r="C5" s="334"/>
      <c r="D5" s="335"/>
      <c r="E5" s="335"/>
      <c r="F5" s="335"/>
      <c r="G5" s="335"/>
      <c r="H5" s="335"/>
      <c r="I5" s="335"/>
      <c r="J5" s="335"/>
      <c r="K5" s="336"/>
      <c r="L5" s="335"/>
      <c r="M5" s="335"/>
      <c r="N5" s="335"/>
      <c r="O5" s="337"/>
      <c r="P5" s="338"/>
    </row>
    <row r="6" spans="1:16" ht="18">
      <c r="A6" s="332" t="s">
        <v>606</v>
      </c>
      <c r="B6" s="335" t="s">
        <v>607</v>
      </c>
      <c r="C6" s="334"/>
      <c r="D6" s="336"/>
      <c r="E6" s="339" t="s">
        <v>614</v>
      </c>
      <c r="F6" s="339"/>
      <c r="G6" s="340"/>
      <c r="H6" s="336"/>
      <c r="I6" s="341" t="s">
        <v>553</v>
      </c>
      <c r="J6" s="342">
        <v>1554</v>
      </c>
      <c r="K6" s="336"/>
      <c r="L6" s="336"/>
      <c r="M6" s="339" t="s">
        <v>554</v>
      </c>
      <c r="N6" s="340"/>
      <c r="O6" s="337"/>
      <c r="P6" s="334"/>
    </row>
    <row r="7" spans="1:16" ht="18">
      <c r="A7" s="332" t="s">
        <v>608</v>
      </c>
      <c r="B7" s="335" t="s">
        <v>609</v>
      </c>
      <c r="C7" s="334"/>
      <c r="D7" s="335"/>
      <c r="E7" s="343" t="s">
        <v>555</v>
      </c>
      <c r="F7" s="336"/>
      <c r="G7" s="335">
        <v>6</v>
      </c>
      <c r="H7" s="336"/>
      <c r="I7" s="335" t="s">
        <v>556</v>
      </c>
      <c r="J7" s="344">
        <v>1552</v>
      </c>
      <c r="K7" s="336"/>
      <c r="L7" s="336"/>
      <c r="M7" s="345" t="s">
        <v>615</v>
      </c>
      <c r="N7" s="345">
        <v>1</v>
      </c>
      <c r="O7" s="337"/>
      <c r="P7" s="334"/>
    </row>
    <row r="8" spans="1:16" ht="18">
      <c r="A8" s="332" t="s">
        <v>610</v>
      </c>
      <c r="B8" s="335" t="s">
        <v>611</v>
      </c>
      <c r="C8" s="334"/>
      <c r="D8" s="335"/>
      <c r="E8" s="343" t="s">
        <v>557</v>
      </c>
      <c r="F8" s="336"/>
      <c r="G8" s="335">
        <v>14</v>
      </c>
      <c r="H8" s="336"/>
      <c r="I8" s="335" t="s">
        <v>558</v>
      </c>
      <c r="J8" s="344">
        <v>0</v>
      </c>
      <c r="K8" s="336"/>
      <c r="L8" s="336"/>
      <c r="M8" s="345" t="s">
        <v>616</v>
      </c>
      <c r="N8" s="345">
        <v>34</v>
      </c>
      <c r="O8" s="337"/>
      <c r="P8" s="334"/>
    </row>
    <row r="9" spans="1:16" ht="18">
      <c r="A9" s="332" t="s">
        <v>612</v>
      </c>
      <c r="B9" s="335" t="s">
        <v>613</v>
      </c>
      <c r="C9" s="334"/>
      <c r="D9" s="335"/>
      <c r="E9" s="343" t="s">
        <v>559</v>
      </c>
      <c r="F9" s="336"/>
      <c r="G9" s="335">
        <v>20</v>
      </c>
      <c r="H9" s="336"/>
      <c r="I9" s="335" t="s">
        <v>560</v>
      </c>
      <c r="J9" s="344">
        <v>2</v>
      </c>
      <c r="K9" s="336"/>
      <c r="L9" s="336"/>
      <c r="M9" s="345" t="s">
        <v>617</v>
      </c>
      <c r="N9" s="345">
        <v>298</v>
      </c>
      <c r="O9" s="337"/>
      <c r="P9" s="334"/>
    </row>
    <row r="10" spans="1:16" ht="15.75">
      <c r="A10" s="346"/>
      <c r="B10" s="346"/>
      <c r="C10" s="337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8"/>
    </row>
    <row r="11" spans="1:16" ht="15.75">
      <c r="A11" s="347"/>
      <c r="B11" s="347"/>
      <c r="C11" s="348"/>
      <c r="D11" s="348"/>
      <c r="E11" s="348"/>
      <c r="F11" s="348"/>
      <c r="G11" s="348"/>
      <c r="H11" s="348"/>
      <c r="I11" s="348"/>
      <c r="J11" s="348"/>
      <c r="K11" s="348"/>
      <c r="L11" s="348"/>
      <c r="M11" s="348"/>
      <c r="N11" s="348"/>
      <c r="O11" s="348"/>
      <c r="P11" s="348"/>
    </row>
    <row r="12" spans="1:16">
      <c r="A12" s="299"/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</row>
    <row r="13" spans="1:16" ht="23.25">
      <c r="A13" s="299"/>
      <c r="B13" s="299"/>
      <c r="C13" s="349" t="s">
        <v>561</v>
      </c>
      <c r="D13" s="350"/>
      <c r="E13" s="350"/>
      <c r="F13" s="350"/>
      <c r="G13" s="349" t="s">
        <v>562</v>
      </c>
      <c r="H13" s="350"/>
      <c r="I13" s="350"/>
      <c r="J13" s="350"/>
      <c r="K13" s="350"/>
      <c r="L13" s="350"/>
      <c r="M13" s="349" t="s">
        <v>563</v>
      </c>
      <c r="N13" s="350"/>
      <c r="O13" s="351"/>
      <c r="P13" s="299"/>
    </row>
    <row r="14" spans="1:16" ht="18.75">
      <c r="A14" s="352"/>
      <c r="B14" s="352"/>
      <c r="C14" s="353" t="s">
        <v>564</v>
      </c>
      <c r="D14" s="353"/>
      <c r="E14" s="353"/>
      <c r="F14" s="353"/>
      <c r="G14" s="353" t="s">
        <v>564</v>
      </c>
      <c r="H14" s="353"/>
      <c r="I14" s="353"/>
      <c r="J14" s="353"/>
      <c r="K14" s="353"/>
      <c r="L14" s="353"/>
      <c r="M14" s="353" t="s">
        <v>565</v>
      </c>
      <c r="N14" s="353"/>
      <c r="O14" s="353"/>
      <c r="P14" s="352"/>
    </row>
    <row r="15" spans="1:16" ht="54">
      <c r="A15" s="442" t="s">
        <v>566</v>
      </c>
      <c r="B15" s="443"/>
      <c r="C15" s="354" t="s">
        <v>567</v>
      </c>
      <c r="D15" s="354" t="s">
        <v>568</v>
      </c>
      <c r="E15" s="354" t="s">
        <v>569</v>
      </c>
      <c r="F15" s="301"/>
      <c r="G15" s="354" t="s">
        <v>570</v>
      </c>
      <c r="H15" s="354" t="s">
        <v>571</v>
      </c>
      <c r="I15" s="354" t="s">
        <v>572</v>
      </c>
      <c r="J15" s="354" t="s">
        <v>573</v>
      </c>
      <c r="K15" s="355" t="s">
        <v>574</v>
      </c>
      <c r="L15" s="301"/>
      <c r="M15" s="354" t="s">
        <v>567</v>
      </c>
      <c r="N15" s="354" t="s">
        <v>568</v>
      </c>
      <c r="O15" s="354" t="s">
        <v>569</v>
      </c>
      <c r="P15" s="299"/>
    </row>
    <row r="16" spans="1:16" ht="18">
      <c r="A16" s="444" t="s">
        <v>575</v>
      </c>
      <c r="B16" s="356" t="s">
        <v>576</v>
      </c>
      <c r="C16" s="357">
        <v>0</v>
      </c>
      <c r="D16" s="357">
        <v>0</v>
      </c>
      <c r="E16" s="357">
        <v>0</v>
      </c>
      <c r="F16" s="358">
        <f>IF(AND(C16=0,D16=0),0,1)</f>
        <v>0</v>
      </c>
      <c r="G16" s="357">
        <v>0</v>
      </c>
      <c r="H16" s="357">
        <v>0</v>
      </c>
      <c r="I16" s="357">
        <v>0</v>
      </c>
      <c r="J16" s="357">
        <v>0</v>
      </c>
      <c r="K16" s="359"/>
      <c r="L16" s="360"/>
      <c r="M16" s="357">
        <v>0</v>
      </c>
      <c r="N16" s="357">
        <v>0</v>
      </c>
      <c r="O16" s="357">
        <v>0</v>
      </c>
      <c r="P16" s="361"/>
    </row>
    <row r="17" spans="1:24" ht="18">
      <c r="A17" s="444"/>
      <c r="B17" s="362" t="s">
        <v>577</v>
      </c>
      <c r="C17" s="363">
        <v>0</v>
      </c>
      <c r="D17" s="357">
        <v>0</v>
      </c>
      <c r="E17" s="357">
        <v>0</v>
      </c>
      <c r="F17" s="358">
        <f t="shared" ref="F17:F26" si="0">IF(AND(C17=0,D17=0),0,1)</f>
        <v>0</v>
      </c>
      <c r="G17" s="357">
        <v>0</v>
      </c>
      <c r="H17" s="357">
        <v>0</v>
      </c>
      <c r="I17" s="357">
        <v>0</v>
      </c>
      <c r="J17" s="364">
        <v>0</v>
      </c>
      <c r="K17" s="365"/>
      <c r="L17" s="360"/>
      <c r="M17" s="363">
        <v>0</v>
      </c>
      <c r="N17" s="357">
        <v>0</v>
      </c>
      <c r="O17" s="357">
        <v>0</v>
      </c>
      <c r="P17" s="361"/>
    </row>
    <row r="18" spans="1:24" ht="18">
      <c r="A18" s="444"/>
      <c r="B18" s="366" t="s">
        <v>578</v>
      </c>
      <c r="C18" s="357">
        <v>0</v>
      </c>
      <c r="D18" s="357">
        <v>239.76478742857142</v>
      </c>
      <c r="E18" s="357">
        <v>239.76478742857142</v>
      </c>
      <c r="F18" s="358">
        <f t="shared" si="0"/>
        <v>1</v>
      </c>
      <c r="G18" s="357">
        <v>34.466666666666669</v>
      </c>
      <c r="H18" s="357">
        <v>204.45333333333332</v>
      </c>
      <c r="I18" s="357">
        <v>0.8447874285714283</v>
      </c>
      <c r="J18" s="357">
        <v>0</v>
      </c>
      <c r="K18" s="367"/>
      <c r="L18" s="360"/>
      <c r="M18" s="357">
        <v>0</v>
      </c>
      <c r="N18" s="357">
        <v>11.988239371428572</v>
      </c>
      <c r="O18" s="357">
        <v>11.988239371428572</v>
      </c>
      <c r="P18" s="361"/>
    </row>
    <row r="19" spans="1:24" ht="18">
      <c r="A19" s="444" t="s">
        <v>579</v>
      </c>
      <c r="B19" s="366" t="s">
        <v>580</v>
      </c>
      <c r="C19" s="357">
        <v>0</v>
      </c>
      <c r="D19" s="357">
        <v>0</v>
      </c>
      <c r="E19" s="357">
        <v>0</v>
      </c>
      <c r="F19" s="358">
        <f t="shared" si="0"/>
        <v>0</v>
      </c>
      <c r="G19" s="357">
        <v>0</v>
      </c>
      <c r="H19" s="357">
        <v>0</v>
      </c>
      <c r="I19" s="357">
        <v>0</v>
      </c>
      <c r="J19" s="357">
        <v>0</v>
      </c>
      <c r="K19" s="367"/>
      <c r="L19" s="360"/>
      <c r="M19" s="357">
        <v>0</v>
      </c>
      <c r="N19" s="357">
        <v>0</v>
      </c>
      <c r="O19" s="357">
        <v>0</v>
      </c>
      <c r="P19" s="361"/>
    </row>
    <row r="20" spans="1:24" ht="18">
      <c r="A20" s="444"/>
      <c r="B20" s="366" t="s">
        <v>581</v>
      </c>
      <c r="C20" s="357">
        <v>0</v>
      </c>
      <c r="D20" s="357">
        <v>0</v>
      </c>
      <c r="E20" s="357">
        <v>0</v>
      </c>
      <c r="F20" s="358">
        <f t="shared" si="0"/>
        <v>0</v>
      </c>
      <c r="G20" s="357">
        <v>0</v>
      </c>
      <c r="H20" s="357">
        <v>0</v>
      </c>
      <c r="I20" s="357">
        <v>0</v>
      </c>
      <c r="J20" s="357">
        <v>0</v>
      </c>
      <c r="K20" s="367"/>
      <c r="L20" s="360"/>
      <c r="M20" s="357">
        <v>0</v>
      </c>
      <c r="N20" s="357">
        <v>0</v>
      </c>
      <c r="O20" s="357">
        <v>0</v>
      </c>
      <c r="P20" s="361"/>
    </row>
    <row r="21" spans="1:24" ht="18">
      <c r="A21" s="444"/>
      <c r="B21" s="366" t="s">
        <v>582</v>
      </c>
      <c r="C21" s="359">
        <v>5290.6531689277199</v>
      </c>
      <c r="D21" s="359">
        <v>20272.218704206869</v>
      </c>
      <c r="E21" s="359">
        <v>14981.565535279149</v>
      </c>
      <c r="F21" s="358">
        <f t="shared" si="0"/>
        <v>1</v>
      </c>
      <c r="G21" s="357">
        <v>0</v>
      </c>
      <c r="H21" s="357">
        <v>0</v>
      </c>
      <c r="I21" s="357">
        <v>0</v>
      </c>
      <c r="J21" s="357">
        <v>14981.565535279144</v>
      </c>
      <c r="K21" s="367"/>
      <c r="L21" s="360"/>
      <c r="M21" s="357">
        <v>264.53265844638599</v>
      </c>
      <c r="N21" s="357">
        <v>1013.6109352103434</v>
      </c>
      <c r="O21" s="357">
        <v>749.07827676395743</v>
      </c>
      <c r="P21" s="361"/>
    </row>
    <row r="22" spans="1:24" ht="18">
      <c r="A22" s="444" t="s">
        <v>583</v>
      </c>
      <c r="B22" s="366" t="s">
        <v>584</v>
      </c>
      <c r="C22" s="302">
        <v>0</v>
      </c>
      <c r="D22" s="302">
        <v>0</v>
      </c>
      <c r="E22" s="302">
        <v>0</v>
      </c>
      <c r="F22" s="358">
        <f t="shared" si="0"/>
        <v>0</v>
      </c>
      <c r="G22" s="359">
        <v>0</v>
      </c>
      <c r="H22" s="359">
        <v>0</v>
      </c>
      <c r="I22" s="357">
        <v>0</v>
      </c>
      <c r="J22" s="357">
        <v>0</v>
      </c>
      <c r="K22" s="367"/>
      <c r="L22" s="360"/>
      <c r="M22" s="357">
        <v>0</v>
      </c>
      <c r="N22" s="357">
        <v>0</v>
      </c>
      <c r="O22" s="357">
        <v>0</v>
      </c>
      <c r="P22" s="361"/>
    </row>
    <row r="23" spans="1:24" ht="18">
      <c r="A23" s="444"/>
      <c r="B23" s="368" t="s">
        <v>585</v>
      </c>
      <c r="C23" s="363">
        <v>0</v>
      </c>
      <c r="D23" s="357">
        <v>0</v>
      </c>
      <c r="E23" s="357">
        <v>0</v>
      </c>
      <c r="F23" s="358">
        <f>IF(AND(C23=0,D23=0),0,1)</f>
        <v>0</v>
      </c>
      <c r="G23" s="369"/>
      <c r="H23" s="370"/>
      <c r="I23" s="357">
        <v>0</v>
      </c>
      <c r="J23" s="357">
        <v>0</v>
      </c>
      <c r="K23" s="365"/>
      <c r="L23" s="360"/>
      <c r="M23" s="363">
        <v>0</v>
      </c>
      <c r="N23" s="357">
        <v>0</v>
      </c>
      <c r="O23" s="357">
        <v>0</v>
      </c>
      <c r="P23" s="361"/>
    </row>
    <row r="24" spans="1:24" ht="18">
      <c r="A24" s="360"/>
      <c r="B24" s="371" t="s">
        <v>586</v>
      </c>
      <c r="C24" s="357">
        <v>0</v>
      </c>
      <c r="D24" s="357">
        <v>-128720.24000000002</v>
      </c>
      <c r="E24" s="357">
        <v>-128720.24000000002</v>
      </c>
      <c r="F24" s="358">
        <f t="shared" si="0"/>
        <v>1</v>
      </c>
      <c r="G24" s="302">
        <v>-128720.24000000002</v>
      </c>
      <c r="H24" s="302">
        <v>0</v>
      </c>
      <c r="I24" s="357">
        <v>0</v>
      </c>
      <c r="J24" s="357">
        <v>0</v>
      </c>
      <c r="K24" s="367"/>
      <c r="L24" s="360"/>
      <c r="M24" s="357">
        <v>0</v>
      </c>
      <c r="N24" s="357">
        <v>-6436.0120000000006</v>
      </c>
      <c r="O24" s="357">
        <v>-6436.0120000000006</v>
      </c>
      <c r="P24" s="361"/>
      <c r="X24">
        <f>137*80%</f>
        <v>109.60000000000001</v>
      </c>
    </row>
    <row r="25" spans="1:24" ht="18">
      <c r="A25" s="357"/>
      <c r="B25" s="360" t="s">
        <v>587</v>
      </c>
      <c r="C25" s="363">
        <v>0</v>
      </c>
      <c r="D25" s="357">
        <v>634.64400000000001</v>
      </c>
      <c r="E25" s="364">
        <v>634.64400000000001</v>
      </c>
      <c r="F25" s="358">
        <f t="shared" si="0"/>
        <v>1</v>
      </c>
      <c r="G25" s="357">
        <v>0</v>
      </c>
      <c r="H25" s="364">
        <v>0</v>
      </c>
      <c r="I25" s="357">
        <v>0</v>
      </c>
      <c r="J25" s="357">
        <v>634.64400000000001</v>
      </c>
      <c r="K25" s="365"/>
      <c r="L25" s="360"/>
      <c r="M25" s="363">
        <v>0</v>
      </c>
      <c r="N25" s="357">
        <v>31.732199999999999</v>
      </c>
      <c r="O25" s="364">
        <v>31.732199999999999</v>
      </c>
      <c r="P25" s="361"/>
    </row>
    <row r="26" spans="1:24" ht="18">
      <c r="A26" s="360"/>
      <c r="B26" s="371" t="s">
        <v>588</v>
      </c>
      <c r="C26" s="357">
        <v>0</v>
      </c>
      <c r="D26" s="357">
        <v>-132347.64927999995</v>
      </c>
      <c r="E26" s="357">
        <v>-132347.64927999995</v>
      </c>
      <c r="F26" s="358">
        <f t="shared" si="0"/>
        <v>1</v>
      </c>
      <c r="G26" s="357">
        <v>-144424.10927999998</v>
      </c>
      <c r="H26" s="357">
        <v>-111078.00000000001</v>
      </c>
      <c r="I26" s="302">
        <v>0</v>
      </c>
      <c r="J26" s="357">
        <v>123154.46</v>
      </c>
      <c r="K26" s="302">
        <v>123154.46</v>
      </c>
      <c r="L26" s="360"/>
      <c r="M26" s="357">
        <v>0</v>
      </c>
      <c r="N26" s="357">
        <v>-6617.3824639999975</v>
      </c>
      <c r="O26" s="357">
        <v>-6617.3824639999975</v>
      </c>
      <c r="P26" s="361"/>
    </row>
    <row r="27" spans="1:24" ht="18">
      <c r="A27" s="360"/>
      <c r="B27" s="372" t="s">
        <v>589</v>
      </c>
      <c r="C27" s="357">
        <v>15.036654285714288</v>
      </c>
      <c r="D27" s="357">
        <v>6782.7126473228582</v>
      </c>
      <c r="E27" s="357">
        <v>6767.6759930371436</v>
      </c>
      <c r="F27" s="358"/>
      <c r="G27" s="365">
        <v>0</v>
      </c>
      <c r="H27" s="367">
        <v>0</v>
      </c>
      <c r="I27" s="367">
        <v>6767.6759930371436</v>
      </c>
      <c r="J27" s="367">
        <v>0</v>
      </c>
      <c r="K27" s="369">
        <v>0</v>
      </c>
      <c r="L27" s="360"/>
      <c r="M27" s="373"/>
      <c r="N27" s="359"/>
      <c r="O27" s="374"/>
      <c r="P27" s="361"/>
    </row>
    <row r="28" spans="1:24" ht="18">
      <c r="A28" s="375"/>
      <c r="B28" s="375" t="s">
        <v>590</v>
      </c>
      <c r="C28" s="376">
        <v>118.18060799999999</v>
      </c>
      <c r="D28" s="377">
        <v>43.014666726688802</v>
      </c>
      <c r="E28" s="378">
        <v>-75.165941273311191</v>
      </c>
      <c r="F28" s="358">
        <f>IF(AND(C28=0,D28=0),0,1)</f>
        <v>1</v>
      </c>
      <c r="G28" s="379"/>
      <c r="H28" s="380">
        <v>0</v>
      </c>
      <c r="I28" s="380">
        <v>0</v>
      </c>
      <c r="J28" s="380"/>
      <c r="K28" s="378">
        <v>-75.165941273311191</v>
      </c>
      <c r="L28" s="375"/>
      <c r="M28" s="376">
        <v>5.9090303999999998</v>
      </c>
      <c r="N28" s="377">
        <v>2.1507333363344401</v>
      </c>
      <c r="O28" s="378">
        <v>-3.7582970636655597</v>
      </c>
      <c r="P28" s="361"/>
    </row>
    <row r="29" spans="1:24" ht="18">
      <c r="A29" s="381"/>
      <c r="B29" s="381"/>
      <c r="C29" s="381"/>
      <c r="D29" s="381"/>
      <c r="E29" s="381"/>
      <c r="F29" s="375"/>
      <c r="G29" s="381"/>
      <c r="H29" s="381"/>
      <c r="I29" s="381"/>
      <c r="J29" s="381"/>
      <c r="K29" s="381"/>
      <c r="L29" s="375"/>
      <c r="M29" s="381"/>
      <c r="N29" s="381"/>
      <c r="O29" s="381"/>
      <c r="P29" s="352"/>
    </row>
    <row r="30" spans="1:24" ht="21">
      <c r="A30" s="382" t="s">
        <v>591</v>
      </c>
      <c r="B30" s="382"/>
      <c r="C30" s="383">
        <f>SUM(C16:C28)</f>
        <v>5423.8704312134341</v>
      </c>
      <c r="D30" s="383">
        <f>SUM(D16:D28)</f>
        <v>-233095.53447431498</v>
      </c>
      <c r="E30" s="383">
        <f>SUM(E16:E28)</f>
        <v>-238519.40490552841</v>
      </c>
      <c r="F30" s="375"/>
      <c r="G30" s="383">
        <f>SUM(G16:G28)</f>
        <v>-273109.88261333335</v>
      </c>
      <c r="H30" s="383">
        <f>SUM(H16:H28)</f>
        <v>-110873.54666666668</v>
      </c>
      <c r="I30" s="383">
        <f>SUM(I16:I28)</f>
        <v>6768.5207804657148</v>
      </c>
      <c r="J30" s="383">
        <f>SUM(J16:J28)</f>
        <v>138770.66953527916</v>
      </c>
      <c r="K30" s="383">
        <f>SUM(K16:K28)</f>
        <v>123079.29405872669</v>
      </c>
      <c r="L30" s="375"/>
      <c r="M30" s="384">
        <f>SUM(M16:M28)</f>
        <v>270.441688846386</v>
      </c>
      <c r="N30" s="384">
        <f>SUM(N16:N28)</f>
        <v>-11993.91235608189</v>
      </c>
      <c r="O30" s="384">
        <f>SUM(O16:O28)</f>
        <v>-12264.354044928277</v>
      </c>
      <c r="P30" s="361"/>
    </row>
    <row r="31" spans="1:24" ht="21">
      <c r="A31" s="385" t="s">
        <v>592</v>
      </c>
      <c r="B31" s="386"/>
      <c r="C31" s="387">
        <f>IFERROR(C30/$K$107,0)</f>
        <v>0</v>
      </c>
      <c r="D31" s="387">
        <f>IFERROR(D30/$K$107,0)</f>
        <v>0</v>
      </c>
      <c r="E31" s="387">
        <f>IFERROR(E30/$K$107,0)</f>
        <v>0</v>
      </c>
      <c r="F31" s="375"/>
      <c r="G31" s="387">
        <f>IFERROR(G30/$K$107,0)</f>
        <v>0</v>
      </c>
      <c r="H31" s="387">
        <f>IFERROR(H30/$K$107,0)</f>
        <v>0</v>
      </c>
      <c r="I31" s="387">
        <f>IFERROR(I30/$K$107,0)</f>
        <v>0</v>
      </c>
      <c r="J31" s="387">
        <f>IFERROR(J30/$K$107,0)</f>
        <v>0</v>
      </c>
      <c r="K31" s="387">
        <f>IFERROR(K30/$K$107,0)</f>
        <v>0</v>
      </c>
      <c r="L31" s="375"/>
      <c r="M31" s="388"/>
      <c r="N31" s="388"/>
      <c r="O31" s="388"/>
      <c r="P31" s="361"/>
    </row>
    <row r="32" spans="1:24" ht="21">
      <c r="A32" s="382" t="s">
        <v>593</v>
      </c>
      <c r="B32" s="382"/>
      <c r="C32" s="389">
        <f>IFERROR(C31/time_tot,0)</f>
        <v>0</v>
      </c>
      <c r="D32" s="389">
        <f>IFERROR(D31/time_tot,0)</f>
        <v>0</v>
      </c>
      <c r="E32" s="389">
        <f>IFERROR(E31/time_tot,0)</f>
        <v>0</v>
      </c>
      <c r="F32" s="375"/>
      <c r="G32" s="389">
        <f>IFERROR(G31/time_tot,0)</f>
        <v>0</v>
      </c>
      <c r="H32" s="389">
        <f>IFERROR(H31/time_tot,0)</f>
        <v>0</v>
      </c>
      <c r="I32" s="389">
        <f>IFERROR(I31/time_tot,0)</f>
        <v>0</v>
      </c>
      <c r="J32" s="389">
        <f>IFERROR(J31/time_tot,0)</f>
        <v>0</v>
      </c>
      <c r="K32" s="389">
        <f>IFERROR(K31/time_tot,0)</f>
        <v>0</v>
      </c>
      <c r="L32" s="375"/>
      <c r="M32" s="389"/>
      <c r="N32" s="389"/>
      <c r="O32" s="389"/>
      <c r="P32" s="361"/>
    </row>
    <row r="33" spans="1:24" ht="18">
      <c r="A33" s="390" t="s">
        <v>594</v>
      </c>
      <c r="B33" s="347"/>
      <c r="C33" s="391"/>
      <c r="D33" s="391"/>
      <c r="E33" s="391"/>
      <c r="F33" s="391"/>
      <c r="G33" s="391"/>
      <c r="H33" s="391"/>
      <c r="I33" s="391"/>
      <c r="J33" s="391"/>
      <c r="K33" s="391"/>
      <c r="L33" s="391"/>
      <c r="M33" s="391"/>
      <c r="N33" s="391"/>
      <c r="O33" s="391"/>
      <c r="P33" s="299"/>
    </row>
    <row r="34" spans="1:24">
      <c r="A34" s="392" t="s">
        <v>595</v>
      </c>
      <c r="B34" s="299"/>
      <c r="C34" s="299"/>
      <c r="D34" s="299"/>
      <c r="E34" s="299"/>
      <c r="F34" s="299"/>
      <c r="G34" s="299"/>
      <c r="H34" s="299"/>
      <c r="I34" s="299"/>
      <c r="J34" s="299"/>
      <c r="K34" s="299"/>
      <c r="L34" s="299"/>
      <c r="M34" s="393" t="s">
        <v>596</v>
      </c>
      <c r="N34" s="394" t="s">
        <v>597</v>
      </c>
      <c r="O34" s="394" t="s">
        <v>598</v>
      </c>
      <c r="P34" s="299"/>
    </row>
    <row r="35" spans="1:24">
      <c r="A35" s="392" t="s">
        <v>599</v>
      </c>
      <c r="B35" s="299"/>
      <c r="C35" s="299"/>
      <c r="D35" s="299"/>
      <c r="E35" s="299"/>
      <c r="F35" s="299"/>
      <c r="G35" s="299"/>
      <c r="H35" s="299"/>
      <c r="I35" s="299"/>
      <c r="J35" s="299"/>
      <c r="K35" s="299"/>
      <c r="L35" s="299"/>
      <c r="M35" s="395" t="s">
        <v>600</v>
      </c>
      <c r="N35" s="396">
        <f>M30</f>
        <v>270.441688846386</v>
      </c>
      <c r="O35" s="397">
        <f>[11]BALANCE!AT34</f>
        <v>0</v>
      </c>
      <c r="P35" s="299"/>
    </row>
    <row r="36" spans="1:24">
      <c r="A36" s="299" t="s">
        <v>601</v>
      </c>
      <c r="B36" s="299"/>
      <c r="C36" s="299"/>
      <c r="D36" s="299"/>
      <c r="E36" s="299"/>
      <c r="F36" s="299"/>
      <c r="G36" s="299"/>
      <c r="H36" s="299"/>
      <c r="I36" s="299"/>
      <c r="J36" s="299"/>
      <c r="K36" s="299"/>
      <c r="L36" s="299"/>
      <c r="M36" s="395" t="s">
        <v>602</v>
      </c>
      <c r="N36" s="396">
        <f>N30</f>
        <v>-11993.91235608189</v>
      </c>
      <c r="O36" s="397">
        <f>[11]BALANCE!AT63</f>
        <v>0</v>
      </c>
      <c r="P36" s="299"/>
    </row>
    <row r="37" spans="1:24">
      <c r="A37" s="299"/>
      <c r="B37" s="299"/>
      <c r="C37" s="299"/>
      <c r="D37" s="299"/>
      <c r="E37" s="299"/>
      <c r="F37" s="299"/>
      <c r="G37" s="299"/>
      <c r="H37" s="299"/>
      <c r="I37" s="299"/>
      <c r="J37" s="299"/>
      <c r="K37" s="299"/>
      <c r="L37" s="299"/>
      <c r="M37" s="395" t="s">
        <v>603</v>
      </c>
      <c r="N37" s="396">
        <f>O30</f>
        <v>-12264.354044928277</v>
      </c>
      <c r="O37" s="397">
        <f>[11]BALANCE!AT6</f>
        <v>0</v>
      </c>
      <c r="P37" s="299"/>
    </row>
    <row r="38" spans="1:24">
      <c r="A38" s="299"/>
      <c r="B38" s="299"/>
      <c r="C38" s="299"/>
      <c r="D38" s="299"/>
      <c r="E38" s="299"/>
      <c r="F38" s="299"/>
      <c r="G38" s="299"/>
      <c r="H38" s="299"/>
      <c r="I38" s="299"/>
      <c r="J38" s="299"/>
      <c r="K38" s="299"/>
      <c r="L38" s="299"/>
      <c r="M38" s="299"/>
      <c r="N38" s="299"/>
      <c r="O38" s="299"/>
      <c r="P38" s="299"/>
    </row>
    <row r="39" spans="1:24" ht="15.75" thickBot="1"/>
    <row r="40" spans="1:24">
      <c r="C40" s="303" t="s">
        <v>552</v>
      </c>
      <c r="D40" s="304"/>
      <c r="E40" s="304"/>
      <c r="F40" s="304"/>
      <c r="G40" s="304"/>
      <c r="H40" s="304"/>
      <c r="I40" s="304"/>
      <c r="J40" s="304"/>
      <c r="K40" s="304"/>
      <c r="L40" s="304"/>
      <c r="M40" s="304"/>
      <c r="N40" s="304"/>
      <c r="O40" s="304"/>
      <c r="P40" s="304"/>
      <c r="Q40" s="304"/>
      <c r="R40" s="304"/>
      <c r="S40" s="304"/>
      <c r="T40" s="304"/>
      <c r="U40" s="304"/>
      <c r="V40" s="304"/>
      <c r="W40" s="304"/>
      <c r="X40" s="305"/>
    </row>
    <row r="41" spans="1:24">
      <c r="C41" s="306"/>
      <c r="D41" s="307"/>
      <c r="E41" s="307"/>
      <c r="F41" s="307"/>
      <c r="G41" s="307"/>
      <c r="H41" s="307"/>
      <c r="I41" s="307"/>
      <c r="J41" s="307"/>
      <c r="K41" s="307"/>
      <c r="L41" s="307"/>
      <c r="M41" s="307"/>
      <c r="N41" s="307"/>
      <c r="O41" s="307"/>
      <c r="P41" s="307"/>
      <c r="Q41" s="307"/>
      <c r="R41" s="307"/>
      <c r="S41" s="307"/>
      <c r="T41" s="307"/>
      <c r="U41" s="307"/>
      <c r="V41" s="307"/>
      <c r="W41" s="307"/>
      <c r="X41" s="308"/>
    </row>
    <row r="42" spans="1:24">
      <c r="C42" s="306"/>
      <c r="D42" s="307"/>
      <c r="E42" s="307"/>
      <c r="F42" s="307"/>
      <c r="G42" s="307"/>
      <c r="H42" s="307"/>
      <c r="I42" s="307"/>
      <c r="J42" s="307"/>
      <c r="K42" s="307"/>
      <c r="L42" s="307"/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8"/>
    </row>
    <row r="43" spans="1:24">
      <c r="C43" s="306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307"/>
      <c r="O43" s="307"/>
      <c r="P43" s="307"/>
      <c r="Q43" s="307"/>
      <c r="R43" s="307"/>
      <c r="S43" s="307"/>
      <c r="T43" s="307"/>
      <c r="U43" s="307"/>
      <c r="V43" s="307"/>
      <c r="W43" s="307"/>
      <c r="X43" s="308"/>
    </row>
    <row r="44" spans="1:24" ht="18" customHeight="1">
      <c r="C44" s="398" t="s">
        <v>529</v>
      </c>
      <c r="D44" s="399"/>
      <c r="E44" s="300" t="s">
        <v>530</v>
      </c>
      <c r="F44" s="300" t="s">
        <v>531</v>
      </c>
      <c r="G44" s="300" t="s">
        <v>532</v>
      </c>
      <c r="H44" s="300" t="s">
        <v>533</v>
      </c>
      <c r="I44" s="300" t="s">
        <v>534</v>
      </c>
      <c r="J44" s="300" t="s">
        <v>535</v>
      </c>
      <c r="K44" s="300" t="s">
        <v>536</v>
      </c>
      <c r="L44" s="300" t="s">
        <v>537</v>
      </c>
      <c r="M44" s="300" t="s">
        <v>538</v>
      </c>
      <c r="N44" s="300" t="s">
        <v>539</v>
      </c>
      <c r="O44" s="300" t="s">
        <v>540</v>
      </c>
      <c r="P44" s="300" t="s">
        <v>541</v>
      </c>
      <c r="Q44" s="300" t="s">
        <v>542</v>
      </c>
      <c r="R44" s="300" t="s">
        <v>543</v>
      </c>
      <c r="S44" s="300" t="s">
        <v>544</v>
      </c>
      <c r="T44" s="300" t="s">
        <v>545</v>
      </c>
      <c r="U44" s="300" t="s">
        <v>546</v>
      </c>
      <c r="V44" s="300" t="s">
        <v>547</v>
      </c>
      <c r="W44" s="300" t="s">
        <v>548</v>
      </c>
      <c r="X44" s="309" t="s">
        <v>549</v>
      </c>
    </row>
    <row r="45" spans="1:24">
      <c r="C45" s="306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8"/>
    </row>
    <row r="46" spans="1:24" ht="18">
      <c r="C46" s="310" t="s">
        <v>550</v>
      </c>
      <c r="D46" s="311"/>
      <c r="E46" s="302">
        <v>-2004.3647471052809</v>
      </c>
      <c r="F46" s="302">
        <v>-4008.7294942105618</v>
      </c>
      <c r="G46" s="302">
        <v>-6013.0942413158427</v>
      </c>
      <c r="H46" s="302">
        <v>-8017.4589884211236</v>
      </c>
      <c r="I46" s="302">
        <v>-10021.823735526406</v>
      </c>
      <c r="J46" s="302">
        <v>-12026.188482631685</v>
      </c>
      <c r="K46" s="302">
        <v>-14030.55322973697</v>
      </c>
      <c r="L46" s="302">
        <v>-14030.55322973697</v>
      </c>
      <c r="M46" s="302">
        <v>-14030.55322973697</v>
      </c>
      <c r="N46" s="302">
        <v>-14030.55322973697</v>
      </c>
      <c r="O46" s="302">
        <v>-14030.55322973697</v>
      </c>
      <c r="P46" s="302">
        <v>-14030.55322973697</v>
      </c>
      <c r="Q46" s="302">
        <v>-14030.55322973697</v>
      </c>
      <c r="R46" s="302">
        <v>-14030.55322973697</v>
      </c>
      <c r="S46" s="302">
        <v>-14030.55322973697</v>
      </c>
      <c r="T46" s="302">
        <v>-14030.55322973697</v>
      </c>
      <c r="U46" s="302">
        <v>-14030.55322973697</v>
      </c>
      <c r="V46" s="302">
        <v>-14030.55322973697</v>
      </c>
      <c r="W46" s="302">
        <v>-14030.55322973697</v>
      </c>
      <c r="X46" s="312">
        <v>-14030.55322973697</v>
      </c>
    </row>
    <row r="47" spans="1:24" ht="18">
      <c r="C47" s="310"/>
      <c r="D47" s="311"/>
      <c r="E47" s="313"/>
      <c r="F47" s="313"/>
      <c r="G47" s="313"/>
      <c r="H47" s="313"/>
      <c r="I47" s="313"/>
      <c r="J47" s="313"/>
      <c r="K47" s="313"/>
      <c r="L47" s="313"/>
      <c r="M47" s="313"/>
      <c r="N47" s="313"/>
      <c r="O47" s="313"/>
      <c r="P47" s="313"/>
      <c r="Q47" s="313"/>
      <c r="R47" s="313"/>
      <c r="S47" s="313"/>
      <c r="T47" s="313"/>
      <c r="U47" s="313"/>
      <c r="V47" s="313"/>
      <c r="W47" s="313"/>
      <c r="X47" s="314"/>
    </row>
    <row r="48" spans="1:24" ht="18.75" thickBot="1">
      <c r="C48" s="315" t="s">
        <v>551</v>
      </c>
      <c r="D48" s="316"/>
      <c r="E48" s="317">
        <v>-2004.3647471052809</v>
      </c>
      <c r="F48" s="317">
        <v>-6013.0942413158427</v>
      </c>
      <c r="G48" s="317">
        <v>-12026.188482631685</v>
      </c>
      <c r="H48" s="317">
        <v>-20043.647471052809</v>
      </c>
      <c r="I48" s="317">
        <v>-30065.471206579216</v>
      </c>
      <c r="J48" s="317">
        <v>-42091.659689210901</v>
      </c>
      <c r="K48" s="317">
        <v>-56122.212918947873</v>
      </c>
      <c r="L48" s="317">
        <v>-70152.766148684837</v>
      </c>
      <c r="M48" s="317">
        <v>-84183.319378421802</v>
      </c>
      <c r="N48" s="317">
        <v>-98213.872608158767</v>
      </c>
      <c r="O48" s="317">
        <v>-112244.42583789573</v>
      </c>
      <c r="P48" s="317">
        <v>-126274.9790676327</v>
      </c>
      <c r="Q48" s="317">
        <v>-140305.53229736967</v>
      </c>
      <c r="R48" s="317">
        <v>-154336.08552710665</v>
      </c>
      <c r="S48" s="317">
        <v>-168366.63875684363</v>
      </c>
      <c r="T48" s="317">
        <v>-182397.19198658061</v>
      </c>
      <c r="U48" s="317">
        <v>-196427.74521631759</v>
      </c>
      <c r="V48" s="317">
        <v>-210458.29844605457</v>
      </c>
      <c r="W48" s="317">
        <v>-224488.85167579155</v>
      </c>
      <c r="X48" s="318">
        <v>-238519.40490552853</v>
      </c>
    </row>
    <row r="50" spans="3:25">
      <c r="C50" t="s">
        <v>479</v>
      </c>
      <c r="E50" s="297">
        <f>-E30</f>
        <v>238519.40490552841</v>
      </c>
      <c r="F50" t="s">
        <v>528</v>
      </c>
    </row>
    <row r="51" spans="3:25">
      <c r="C51" t="s">
        <v>480</v>
      </c>
      <c r="E51" s="298">
        <f>E50/20</f>
        <v>11925.970245276421</v>
      </c>
    </row>
    <row r="53" spans="3:25">
      <c r="D53" t="s">
        <v>486</v>
      </c>
      <c r="E53" s="67">
        <v>0</v>
      </c>
      <c r="F53" s="67">
        <v>0.01</v>
      </c>
      <c r="G53" s="67">
        <v>0.05</v>
      </c>
      <c r="H53" s="67">
        <v>0.1</v>
      </c>
      <c r="I53" s="67">
        <v>0.2</v>
      </c>
      <c r="J53" s="67">
        <v>0.5</v>
      </c>
      <c r="K53" s="67">
        <v>1</v>
      </c>
      <c r="L53" s="67">
        <v>1</v>
      </c>
      <c r="M53" s="67">
        <v>1</v>
      </c>
      <c r="N53" s="67">
        <v>1</v>
      </c>
      <c r="O53" s="67">
        <v>1.5</v>
      </c>
      <c r="P53" s="67">
        <v>1.5</v>
      </c>
      <c r="Q53" s="67">
        <v>1.5</v>
      </c>
      <c r="R53" s="67">
        <v>1.5</v>
      </c>
      <c r="S53" s="67">
        <v>1.5</v>
      </c>
      <c r="T53" s="67">
        <v>1.5</v>
      </c>
      <c r="U53" s="67">
        <v>1.5</v>
      </c>
      <c r="V53" s="67">
        <v>1.5</v>
      </c>
      <c r="W53" s="67">
        <v>1.5</v>
      </c>
      <c r="X53" s="67">
        <v>1.5</v>
      </c>
    </row>
    <row r="54" spans="3:25">
      <c r="E54" s="140" t="s">
        <v>70</v>
      </c>
      <c r="F54" s="140" t="s">
        <v>71</v>
      </c>
      <c r="G54" s="140" t="s">
        <v>72</v>
      </c>
      <c r="H54" s="140" t="s">
        <v>73</v>
      </c>
      <c r="I54" s="140" t="s">
        <v>74</v>
      </c>
      <c r="J54" s="140" t="s">
        <v>75</v>
      </c>
      <c r="K54" s="140" t="s">
        <v>76</v>
      </c>
      <c r="L54" s="140" t="s">
        <v>77</v>
      </c>
      <c r="M54" s="140" t="s">
        <v>78</v>
      </c>
      <c r="N54" s="140" t="s">
        <v>79</v>
      </c>
      <c r="O54" s="140" t="s">
        <v>80</v>
      </c>
      <c r="P54" s="140" t="s">
        <v>81</v>
      </c>
      <c r="Q54" s="140" t="s">
        <v>82</v>
      </c>
      <c r="R54" s="140" t="s">
        <v>83</v>
      </c>
      <c r="S54" s="140" t="s">
        <v>84</v>
      </c>
      <c r="T54" s="140" t="s">
        <v>481</v>
      </c>
      <c r="U54" s="140" t="s">
        <v>482</v>
      </c>
      <c r="V54" s="140" t="s">
        <v>483</v>
      </c>
      <c r="W54" s="140" t="s">
        <v>484</v>
      </c>
      <c r="X54" s="140" t="s">
        <v>485</v>
      </c>
    </row>
    <row r="55" spans="3:25">
      <c r="E55" s="319">
        <f t="shared" ref="E55:X55" si="1">+E46</f>
        <v>-2004.3647471052809</v>
      </c>
      <c r="F55" s="319">
        <f t="shared" si="1"/>
        <v>-4008.7294942105618</v>
      </c>
      <c r="G55" s="319">
        <f t="shared" si="1"/>
        <v>-6013.0942413158427</v>
      </c>
      <c r="H55" s="319">
        <f t="shared" si="1"/>
        <v>-8017.4589884211236</v>
      </c>
      <c r="I55" s="319">
        <f t="shared" si="1"/>
        <v>-10021.823735526406</v>
      </c>
      <c r="J55" s="319">
        <f t="shared" si="1"/>
        <v>-12026.188482631685</v>
      </c>
      <c r="K55" s="319">
        <f t="shared" si="1"/>
        <v>-14030.55322973697</v>
      </c>
      <c r="L55" s="319">
        <f t="shared" si="1"/>
        <v>-14030.55322973697</v>
      </c>
      <c r="M55" s="319">
        <f t="shared" si="1"/>
        <v>-14030.55322973697</v>
      </c>
      <c r="N55" s="319">
        <f t="shared" si="1"/>
        <v>-14030.55322973697</v>
      </c>
      <c r="O55" s="319">
        <f t="shared" si="1"/>
        <v>-14030.55322973697</v>
      </c>
      <c r="P55" s="319">
        <f t="shared" si="1"/>
        <v>-14030.55322973697</v>
      </c>
      <c r="Q55" s="319">
        <f t="shared" si="1"/>
        <v>-14030.55322973697</v>
      </c>
      <c r="R55" s="319">
        <f t="shared" si="1"/>
        <v>-14030.55322973697</v>
      </c>
      <c r="S55" s="319">
        <f t="shared" si="1"/>
        <v>-14030.55322973697</v>
      </c>
      <c r="T55" s="319">
        <f t="shared" si="1"/>
        <v>-14030.55322973697</v>
      </c>
      <c r="U55" s="319">
        <f t="shared" si="1"/>
        <v>-14030.55322973697</v>
      </c>
      <c r="V55" s="319">
        <f t="shared" si="1"/>
        <v>-14030.55322973697</v>
      </c>
      <c r="W55" s="319">
        <f t="shared" si="1"/>
        <v>-14030.55322973697</v>
      </c>
      <c r="X55" s="319">
        <f t="shared" si="1"/>
        <v>-14030.55322973697</v>
      </c>
      <c r="Y55" s="33">
        <f>SUM(E55:X55)</f>
        <v>-238519.40490552853</v>
      </c>
    </row>
    <row r="57" spans="3:25">
      <c r="E57">
        <v>2022</v>
      </c>
      <c r="F57">
        <v>2023</v>
      </c>
      <c r="G57">
        <v>2024</v>
      </c>
      <c r="H57">
        <v>2025</v>
      </c>
      <c r="I57">
        <v>2026</v>
      </c>
      <c r="J57">
        <v>2027</v>
      </c>
      <c r="K57">
        <v>2028</v>
      </c>
      <c r="L57">
        <v>2029</v>
      </c>
      <c r="M57">
        <v>2030</v>
      </c>
      <c r="N57">
        <v>2031</v>
      </c>
      <c r="O57">
        <v>2032</v>
      </c>
      <c r="P57">
        <v>2033</v>
      </c>
      <c r="Q57">
        <v>2034</v>
      </c>
      <c r="R57">
        <v>2035</v>
      </c>
      <c r="S57">
        <v>2036</v>
      </c>
      <c r="T57">
        <v>2037</v>
      </c>
      <c r="U57">
        <v>2038</v>
      </c>
      <c r="V57">
        <v>2039</v>
      </c>
      <c r="W57">
        <v>2040</v>
      </c>
      <c r="X57">
        <v>2041</v>
      </c>
    </row>
    <row r="58" spans="3:25">
      <c r="D58" t="s">
        <v>489</v>
      </c>
      <c r="E58">
        <f>+I82</f>
        <v>42</v>
      </c>
      <c r="F58">
        <f t="shared" ref="F58:X58" si="2">+J82</f>
        <v>43</v>
      </c>
      <c r="G58">
        <f t="shared" si="2"/>
        <v>44</v>
      </c>
      <c r="H58">
        <f t="shared" si="2"/>
        <v>45</v>
      </c>
      <c r="I58">
        <f t="shared" si="2"/>
        <v>46</v>
      </c>
      <c r="J58">
        <f t="shared" si="2"/>
        <v>47</v>
      </c>
      <c r="K58">
        <f t="shared" si="2"/>
        <v>48</v>
      </c>
      <c r="L58">
        <f t="shared" si="2"/>
        <v>49</v>
      </c>
      <c r="M58">
        <f t="shared" si="2"/>
        <v>50</v>
      </c>
      <c r="N58">
        <f t="shared" si="2"/>
        <v>51</v>
      </c>
      <c r="O58">
        <f t="shared" si="2"/>
        <v>52</v>
      </c>
      <c r="P58">
        <f t="shared" si="2"/>
        <v>53</v>
      </c>
      <c r="Q58">
        <f t="shared" si="2"/>
        <v>55</v>
      </c>
      <c r="R58">
        <f t="shared" si="2"/>
        <v>56</v>
      </c>
      <c r="S58">
        <f t="shared" si="2"/>
        <v>57</v>
      </c>
      <c r="T58">
        <f t="shared" si="2"/>
        <v>58</v>
      </c>
      <c r="U58">
        <f t="shared" si="2"/>
        <v>60</v>
      </c>
      <c r="V58">
        <f t="shared" si="2"/>
        <v>61</v>
      </c>
      <c r="W58">
        <f t="shared" si="2"/>
        <v>63</v>
      </c>
      <c r="X58">
        <f t="shared" si="2"/>
        <v>64</v>
      </c>
    </row>
    <row r="59" spans="3:25">
      <c r="D59" t="s">
        <v>490</v>
      </c>
      <c r="E59">
        <f>+I83</f>
        <v>84</v>
      </c>
      <c r="F59">
        <v>86</v>
      </c>
      <c r="G59">
        <v>87</v>
      </c>
      <c r="H59">
        <v>89</v>
      </c>
      <c r="I59">
        <v>91</v>
      </c>
      <c r="J59">
        <v>94</v>
      </c>
      <c r="K59">
        <v>96</v>
      </c>
      <c r="L59">
        <v>98</v>
      </c>
      <c r="M59">
        <v>100</v>
      </c>
      <c r="N59">
        <v>102</v>
      </c>
      <c r="O59">
        <v>105</v>
      </c>
      <c r="P59">
        <v>107</v>
      </c>
      <c r="Q59">
        <v>109</v>
      </c>
      <c r="R59">
        <v>112</v>
      </c>
      <c r="S59">
        <v>114</v>
      </c>
      <c r="T59">
        <v>117</v>
      </c>
      <c r="U59">
        <v>120</v>
      </c>
      <c r="V59">
        <v>123</v>
      </c>
      <c r="W59">
        <v>125</v>
      </c>
      <c r="X59">
        <v>128</v>
      </c>
    </row>
    <row r="61" spans="3:25">
      <c r="D61" t="s">
        <v>489</v>
      </c>
      <c r="E61" s="35">
        <f>-E$55*E58</f>
        <v>84183.319378421802</v>
      </c>
      <c r="F61" s="35">
        <f t="shared" ref="F61:X61" si="3">-F$55*F58</f>
        <v>172375.36825105417</v>
      </c>
      <c r="G61" s="35">
        <f t="shared" si="3"/>
        <v>264576.14661789709</v>
      </c>
      <c r="H61" s="35">
        <f t="shared" si="3"/>
        <v>360785.65447895054</v>
      </c>
      <c r="I61" s="35">
        <f t="shared" si="3"/>
        <v>461003.89183421468</v>
      </c>
      <c r="J61" s="35">
        <f t="shared" si="3"/>
        <v>565230.85868368926</v>
      </c>
      <c r="K61" s="35">
        <f t="shared" si="3"/>
        <v>673466.55502737453</v>
      </c>
      <c r="L61" s="35">
        <f t="shared" si="3"/>
        <v>687497.10825711151</v>
      </c>
      <c r="M61" s="35">
        <f t="shared" si="3"/>
        <v>701527.66148684849</v>
      </c>
      <c r="N61" s="35">
        <f t="shared" si="3"/>
        <v>715558.21471658547</v>
      </c>
      <c r="O61" s="35">
        <f t="shared" si="3"/>
        <v>729588.76794632245</v>
      </c>
      <c r="P61" s="35">
        <f t="shared" si="3"/>
        <v>743619.32117605943</v>
      </c>
      <c r="Q61" s="35">
        <f t="shared" si="3"/>
        <v>771680.42763553339</v>
      </c>
      <c r="R61" s="35">
        <f t="shared" si="3"/>
        <v>785710.98086527037</v>
      </c>
      <c r="S61" s="35">
        <f t="shared" si="3"/>
        <v>799741.53409500734</v>
      </c>
      <c r="T61" s="35">
        <f t="shared" si="3"/>
        <v>813772.08732474421</v>
      </c>
      <c r="U61" s="35">
        <f t="shared" si="3"/>
        <v>841833.19378421817</v>
      </c>
      <c r="V61" s="35">
        <f t="shared" si="3"/>
        <v>855863.74701395514</v>
      </c>
      <c r="W61" s="35">
        <f t="shared" si="3"/>
        <v>883924.8534734291</v>
      </c>
      <c r="X61" s="35">
        <f t="shared" si="3"/>
        <v>897955.40670316608</v>
      </c>
      <c r="Y61" s="33">
        <f>SUM(E61:X61)</f>
        <v>12809895.098749854</v>
      </c>
    </row>
    <row r="62" spans="3:25">
      <c r="D62" t="s">
        <v>490</v>
      </c>
      <c r="E62" s="35">
        <f>-E$55*E59</f>
        <v>168366.6387568436</v>
      </c>
      <c r="F62" s="35">
        <f t="shared" ref="F62:X62" si="4">-F$55*F59</f>
        <v>344750.73650210834</v>
      </c>
      <c r="G62" s="35">
        <f t="shared" si="4"/>
        <v>523139.19899447833</v>
      </c>
      <c r="H62" s="35">
        <f t="shared" si="4"/>
        <v>713553.84996947995</v>
      </c>
      <c r="I62" s="35">
        <f t="shared" si="4"/>
        <v>911985.95993290294</v>
      </c>
      <c r="J62" s="35">
        <f t="shared" si="4"/>
        <v>1130461.7173673785</v>
      </c>
      <c r="K62" s="35">
        <f t="shared" si="4"/>
        <v>1346933.1100547491</v>
      </c>
      <c r="L62" s="35">
        <f t="shared" si="4"/>
        <v>1374994.216514223</v>
      </c>
      <c r="M62" s="35">
        <f t="shared" si="4"/>
        <v>1403055.322973697</v>
      </c>
      <c r="N62" s="35">
        <f t="shared" si="4"/>
        <v>1431116.4294331709</v>
      </c>
      <c r="O62" s="35">
        <f t="shared" si="4"/>
        <v>1473208.0891223818</v>
      </c>
      <c r="P62" s="35">
        <f t="shared" si="4"/>
        <v>1501269.1955818557</v>
      </c>
      <c r="Q62" s="35">
        <f t="shared" si="4"/>
        <v>1529330.3020413297</v>
      </c>
      <c r="R62" s="35">
        <f t="shared" si="4"/>
        <v>1571421.9617305407</v>
      </c>
      <c r="S62" s="35">
        <f t="shared" si="4"/>
        <v>1599483.0681900147</v>
      </c>
      <c r="T62" s="35">
        <f t="shared" si="4"/>
        <v>1641574.7278792255</v>
      </c>
      <c r="U62" s="35">
        <f t="shared" si="4"/>
        <v>1683666.3875684363</v>
      </c>
      <c r="V62" s="35">
        <f t="shared" si="4"/>
        <v>1725758.0472576474</v>
      </c>
      <c r="W62" s="35">
        <f t="shared" si="4"/>
        <v>1753819.1537171213</v>
      </c>
      <c r="X62" s="35">
        <f t="shared" si="4"/>
        <v>1795910.8134063322</v>
      </c>
      <c r="Y62" s="33">
        <f>SUM(E62:X62)</f>
        <v>25623798.926993921</v>
      </c>
    </row>
    <row r="71" spans="5:25" ht="15.75" thickBot="1"/>
    <row r="72" spans="5:25">
      <c r="E72" s="320" t="s">
        <v>487</v>
      </c>
      <c r="F72" s="321"/>
      <c r="G72" s="321" t="s">
        <v>488</v>
      </c>
      <c r="H72" s="321"/>
      <c r="I72" s="321"/>
      <c r="J72" s="321"/>
      <c r="K72" s="321"/>
      <c r="L72" s="321"/>
      <c r="M72" s="321"/>
      <c r="N72" s="321"/>
      <c r="O72" s="321"/>
      <c r="P72" s="321"/>
      <c r="Q72" s="321"/>
      <c r="R72" s="321"/>
      <c r="S72" s="321"/>
      <c r="T72" s="321"/>
      <c r="U72" s="321"/>
      <c r="V72" s="322"/>
      <c r="W72" s="322"/>
      <c r="X72" s="322"/>
      <c r="Y72" s="323"/>
    </row>
    <row r="73" spans="5:25">
      <c r="E73" s="324"/>
      <c r="F73" s="325"/>
      <c r="G73" s="325"/>
      <c r="H73" s="325"/>
      <c r="I73" s="325"/>
      <c r="J73" s="325"/>
      <c r="K73" s="325"/>
      <c r="L73" s="325"/>
      <c r="M73" s="325"/>
      <c r="N73" s="325"/>
      <c r="O73" s="325"/>
      <c r="P73" s="325"/>
      <c r="Q73" s="325"/>
      <c r="R73" s="325"/>
      <c r="S73" s="325"/>
      <c r="T73" s="325"/>
      <c r="U73" s="325"/>
      <c r="V73" s="325"/>
      <c r="W73" s="325"/>
      <c r="X73" s="325"/>
      <c r="Y73" s="326"/>
    </row>
    <row r="74" spans="5:25">
      <c r="E74" s="324"/>
      <c r="F74" s="325"/>
      <c r="G74" s="325"/>
      <c r="H74" s="325"/>
      <c r="I74" s="325"/>
      <c r="J74" s="325"/>
      <c r="K74" s="325"/>
      <c r="L74" s="325"/>
      <c r="M74" s="325"/>
      <c r="N74" s="325"/>
      <c r="O74" s="325"/>
      <c r="P74" s="325"/>
      <c r="Q74" s="325"/>
      <c r="R74" s="325"/>
      <c r="S74" s="325"/>
      <c r="T74" s="325"/>
      <c r="U74" s="325"/>
      <c r="V74" s="325"/>
      <c r="W74" s="325"/>
      <c r="X74" s="325"/>
      <c r="Y74" s="326"/>
    </row>
    <row r="75" spans="5:25">
      <c r="E75" s="324"/>
      <c r="F75" s="325"/>
      <c r="G75" s="325"/>
      <c r="H75" s="325"/>
      <c r="I75" s="325"/>
      <c r="J75" s="325"/>
      <c r="K75" s="325"/>
      <c r="L75" s="325"/>
      <c r="M75" s="325"/>
      <c r="N75" s="325"/>
      <c r="O75" s="325"/>
      <c r="P75" s="325"/>
      <c r="Q75" s="325"/>
      <c r="R75" s="325"/>
      <c r="S75" s="325"/>
      <c r="T75" s="325"/>
      <c r="U75" s="325"/>
      <c r="V75" s="325"/>
      <c r="W75" s="325"/>
      <c r="X75" s="325"/>
      <c r="Y75" s="326"/>
    </row>
    <row r="76" spans="5:25">
      <c r="E76" s="324"/>
      <c r="F76" s="325"/>
      <c r="G76" s="325"/>
      <c r="H76" s="325"/>
      <c r="I76" s="325"/>
      <c r="J76" s="325"/>
      <c r="K76" s="325"/>
      <c r="L76" s="325"/>
      <c r="M76" s="325"/>
      <c r="N76" s="325"/>
      <c r="O76" s="325"/>
      <c r="P76" s="325"/>
      <c r="Q76" s="325"/>
      <c r="R76" s="325"/>
      <c r="S76" s="325"/>
      <c r="T76" s="325"/>
      <c r="U76" s="325"/>
      <c r="V76" s="325"/>
      <c r="W76" s="325"/>
      <c r="X76" s="325"/>
      <c r="Y76" s="326"/>
    </row>
    <row r="77" spans="5:25">
      <c r="E77" s="324"/>
      <c r="F77" s="325"/>
      <c r="G77" s="325"/>
      <c r="H77" s="325"/>
      <c r="I77" s="325"/>
      <c r="J77" s="325"/>
      <c r="K77" s="325"/>
      <c r="L77" s="325"/>
      <c r="M77" s="325"/>
      <c r="N77" s="325"/>
      <c r="O77" s="325"/>
      <c r="P77" s="325"/>
      <c r="Q77" s="325"/>
      <c r="R77" s="325"/>
      <c r="S77" s="325"/>
      <c r="T77" s="325"/>
      <c r="U77" s="325"/>
      <c r="V77" s="325"/>
      <c r="W77" s="325"/>
      <c r="X77" s="325"/>
      <c r="Y77" s="326"/>
    </row>
    <row r="78" spans="5:25">
      <c r="E78" s="324"/>
      <c r="F78" s="325"/>
      <c r="G78" s="325"/>
      <c r="H78" s="325"/>
      <c r="I78" s="325"/>
      <c r="J78" s="325"/>
      <c r="K78" s="325"/>
      <c r="L78" s="325"/>
      <c r="M78" s="325"/>
      <c r="N78" s="325"/>
      <c r="O78" s="325"/>
      <c r="P78" s="325"/>
      <c r="Q78" s="325"/>
      <c r="R78" s="325"/>
      <c r="S78" s="325"/>
      <c r="T78" s="325"/>
      <c r="U78" s="325"/>
      <c r="V78" s="325"/>
      <c r="W78" s="325"/>
      <c r="X78" s="325"/>
      <c r="Y78" s="326"/>
    </row>
    <row r="79" spans="5:25" ht="15.75" thickBot="1">
      <c r="E79" s="327"/>
      <c r="F79" s="328"/>
      <c r="G79" s="328"/>
      <c r="H79" s="328"/>
      <c r="I79" s="328"/>
      <c r="J79" s="328"/>
      <c r="K79" s="328"/>
      <c r="L79" s="328"/>
      <c r="M79" s="328"/>
      <c r="N79" s="328"/>
      <c r="O79" s="328"/>
      <c r="P79" s="328"/>
      <c r="Q79" s="328"/>
      <c r="R79" s="328"/>
      <c r="S79" s="328"/>
      <c r="T79" s="328"/>
      <c r="U79" s="328"/>
      <c r="V79" s="328"/>
      <c r="W79" s="328"/>
      <c r="X79" s="328"/>
      <c r="Y79" s="329"/>
    </row>
    <row r="81" spans="5:28">
      <c r="F81" s="1">
        <v>2019</v>
      </c>
      <c r="G81" s="1">
        <v>2020</v>
      </c>
      <c r="H81" s="1">
        <v>2021</v>
      </c>
      <c r="I81" s="1">
        <v>2022</v>
      </c>
      <c r="J81" s="1">
        <v>2023</v>
      </c>
      <c r="K81" s="1">
        <v>2024</v>
      </c>
      <c r="L81" s="1">
        <v>2025</v>
      </c>
      <c r="M81" s="1">
        <v>2026</v>
      </c>
      <c r="N81" s="1">
        <v>2027</v>
      </c>
      <c r="O81" s="1">
        <v>2028</v>
      </c>
      <c r="P81" s="1">
        <v>2029</v>
      </c>
      <c r="Q81" s="1">
        <v>2030</v>
      </c>
      <c r="R81" s="1">
        <v>2031</v>
      </c>
      <c r="S81" s="1">
        <v>2032</v>
      </c>
      <c r="T81" s="1">
        <v>2033</v>
      </c>
      <c r="U81" s="1">
        <v>2034</v>
      </c>
      <c r="V81" s="1">
        <v>2035</v>
      </c>
      <c r="W81" s="1">
        <v>2036</v>
      </c>
      <c r="X81" s="1">
        <v>2037</v>
      </c>
      <c r="Y81" s="1">
        <v>2038</v>
      </c>
      <c r="Z81" s="1">
        <v>2039</v>
      </c>
      <c r="AA81" s="1">
        <v>2040</v>
      </c>
      <c r="AB81" s="1">
        <v>2041</v>
      </c>
    </row>
    <row r="82" spans="5:28">
      <c r="E82" t="s">
        <v>489</v>
      </c>
      <c r="F82">
        <v>39</v>
      </c>
      <c r="G82">
        <v>40</v>
      </c>
      <c r="H82">
        <v>41</v>
      </c>
      <c r="I82">
        <v>42</v>
      </c>
      <c r="J82">
        <v>43</v>
      </c>
      <c r="K82">
        <v>44</v>
      </c>
      <c r="L82">
        <v>45</v>
      </c>
      <c r="M82">
        <v>46</v>
      </c>
      <c r="N82">
        <v>47</v>
      </c>
      <c r="O82">
        <v>48</v>
      </c>
      <c r="P82">
        <v>49</v>
      </c>
      <c r="Q82">
        <v>50</v>
      </c>
      <c r="R82">
        <v>51</v>
      </c>
      <c r="S82">
        <v>52</v>
      </c>
      <c r="T82">
        <v>53</v>
      </c>
      <c r="U82">
        <v>55</v>
      </c>
      <c r="V82">
        <v>56</v>
      </c>
      <c r="W82">
        <v>57</v>
      </c>
      <c r="X82">
        <v>58</v>
      </c>
      <c r="Y82">
        <v>60</v>
      </c>
      <c r="Z82">
        <v>61</v>
      </c>
      <c r="AA82">
        <v>63</v>
      </c>
      <c r="AB82">
        <v>64</v>
      </c>
    </row>
    <row r="83" spans="5:28">
      <c r="E83" t="s">
        <v>490</v>
      </c>
      <c r="F83">
        <v>78</v>
      </c>
      <c r="G83">
        <v>80</v>
      </c>
      <c r="H83">
        <v>82</v>
      </c>
      <c r="I83">
        <v>84</v>
      </c>
      <c r="J83">
        <v>86</v>
      </c>
      <c r="K83">
        <v>87</v>
      </c>
      <c r="L83">
        <v>89</v>
      </c>
      <c r="M83">
        <v>91</v>
      </c>
      <c r="N83">
        <v>94</v>
      </c>
      <c r="O83">
        <v>96</v>
      </c>
      <c r="P83">
        <v>98</v>
      </c>
      <c r="Q83">
        <v>100</v>
      </c>
      <c r="R83">
        <v>102</v>
      </c>
      <c r="S83">
        <v>105</v>
      </c>
      <c r="T83">
        <v>107</v>
      </c>
      <c r="U83">
        <v>109</v>
      </c>
      <c r="V83">
        <v>112</v>
      </c>
      <c r="W83">
        <v>114</v>
      </c>
      <c r="X83">
        <v>117</v>
      </c>
      <c r="Y83">
        <v>120</v>
      </c>
      <c r="Z83">
        <v>122</v>
      </c>
      <c r="AA83">
        <v>125</v>
      </c>
      <c r="AB83">
        <v>128</v>
      </c>
    </row>
  </sheetData>
  <mergeCells count="5">
    <mergeCell ref="A1:P1"/>
    <mergeCell ref="A15:B15"/>
    <mergeCell ref="A16:A18"/>
    <mergeCell ref="A19:A21"/>
    <mergeCell ref="A22:A23"/>
  </mergeCells>
  <phoneticPr fontId="38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90"/>
  <sheetViews>
    <sheetView topLeftCell="A16" zoomScale="70" zoomScaleNormal="70" workbookViewId="0">
      <selection activeCell="O84" sqref="O84"/>
    </sheetView>
  </sheetViews>
  <sheetFormatPr defaultColWidth="8.7109375" defaultRowHeight="15"/>
  <cols>
    <col min="3" max="3" width="21.7109375" customWidth="1"/>
    <col min="4" max="4" width="9.42578125" bestFit="1" customWidth="1"/>
    <col min="6" max="6" width="9.140625" customWidth="1"/>
    <col min="7" max="7" width="9.42578125" customWidth="1"/>
    <col min="8" max="10" width="12.42578125" customWidth="1"/>
    <col min="11" max="11" width="14.42578125" bestFit="1" customWidth="1"/>
    <col min="12" max="12" width="12" customWidth="1"/>
    <col min="14" max="14" width="9.42578125" bestFit="1" customWidth="1"/>
    <col min="18" max="20" width="9.140625" customWidth="1"/>
  </cols>
  <sheetData>
    <row r="2" spans="1:3">
      <c r="B2" s="1" t="s">
        <v>0</v>
      </c>
    </row>
    <row r="4" spans="1:3">
      <c r="B4" s="3" t="s">
        <v>50</v>
      </c>
    </row>
    <row r="6" spans="1:3">
      <c r="B6" s="1" t="s">
        <v>2</v>
      </c>
    </row>
    <row r="7" spans="1:3">
      <c r="A7" s="5" t="s">
        <v>1</v>
      </c>
      <c r="B7" s="4" t="s">
        <v>3</v>
      </c>
      <c r="C7" t="s">
        <v>51</v>
      </c>
    </row>
    <row r="8" spans="1:3">
      <c r="B8" s="4" t="s">
        <v>52</v>
      </c>
      <c r="C8" t="s">
        <v>53</v>
      </c>
    </row>
    <row r="9" spans="1:3">
      <c r="B9" s="4" t="s">
        <v>54</v>
      </c>
      <c r="C9" t="s">
        <v>55</v>
      </c>
    </row>
    <row r="10" spans="1:3">
      <c r="B10" s="4" t="s">
        <v>56</v>
      </c>
      <c r="C10" t="s">
        <v>57</v>
      </c>
    </row>
    <row r="12" spans="1:3">
      <c r="A12" t="s">
        <v>90</v>
      </c>
      <c r="B12" s="4" t="s">
        <v>3</v>
      </c>
      <c r="C12" t="s">
        <v>91</v>
      </c>
    </row>
    <row r="18" spans="2:32" ht="15.75" thickBot="1">
      <c r="O18" s="4">
        <v>2022</v>
      </c>
      <c r="P18" s="4">
        <v>2023</v>
      </c>
      <c r="Q18" s="4">
        <v>2024</v>
      </c>
      <c r="R18" s="4">
        <v>2025</v>
      </c>
      <c r="S18" s="4">
        <v>2026</v>
      </c>
    </row>
    <row r="19" spans="2:32" ht="15.75" thickBot="1">
      <c r="B19" s="449" t="s">
        <v>40</v>
      </c>
      <c r="C19" s="450"/>
      <c r="D19" s="450"/>
      <c r="E19" s="450"/>
      <c r="F19" s="450"/>
      <c r="G19" s="451"/>
      <c r="O19" s="8" t="s">
        <v>70</v>
      </c>
      <c r="P19" s="8" t="s">
        <v>71</v>
      </c>
      <c r="Q19" s="8" t="s">
        <v>72</v>
      </c>
      <c r="R19" s="8" t="s">
        <v>73</v>
      </c>
      <c r="S19" s="8" t="s">
        <v>74</v>
      </c>
      <c r="T19" s="8" t="s">
        <v>75</v>
      </c>
      <c r="U19" s="8" t="s">
        <v>76</v>
      </c>
      <c r="V19" s="8" t="s">
        <v>77</v>
      </c>
      <c r="W19" s="8" t="s">
        <v>78</v>
      </c>
      <c r="X19" s="8" t="s">
        <v>79</v>
      </c>
      <c r="Y19" s="8" t="s">
        <v>80</v>
      </c>
      <c r="Z19" s="8" t="s">
        <v>81</v>
      </c>
      <c r="AA19" s="8" t="s">
        <v>82</v>
      </c>
      <c r="AB19" s="8" t="s">
        <v>83</v>
      </c>
      <c r="AC19" s="8" t="s">
        <v>84</v>
      </c>
      <c r="AD19" s="8" t="s">
        <v>481</v>
      </c>
      <c r="AE19" s="8" t="s">
        <v>482</v>
      </c>
      <c r="AF19" s="8" t="s">
        <v>483</v>
      </c>
    </row>
    <row r="20" spans="2:32">
      <c r="B20" s="65" t="s">
        <v>41</v>
      </c>
      <c r="C20" s="65" t="s">
        <v>46</v>
      </c>
      <c r="D20" s="65" t="s">
        <v>1</v>
      </c>
      <c r="E20" s="66" t="s">
        <v>47</v>
      </c>
      <c r="F20" s="65" t="s">
        <v>48</v>
      </c>
      <c r="G20" s="65" t="s">
        <v>49</v>
      </c>
      <c r="L20" t="s">
        <v>248</v>
      </c>
      <c r="N20" s="8" t="s">
        <v>86</v>
      </c>
      <c r="O20" s="281">
        <v>0.25</v>
      </c>
      <c r="P20" s="282">
        <v>0.26250000000000001</v>
      </c>
      <c r="Q20" s="282">
        <v>0.27500000000000002</v>
      </c>
      <c r="R20" s="282">
        <v>0.3</v>
      </c>
      <c r="S20" s="282">
        <f>R20</f>
        <v>0.3</v>
      </c>
      <c r="T20" s="68">
        <f t="shared" ref="T20:AC20" si="0">S20</f>
        <v>0.3</v>
      </c>
      <c r="U20" s="68">
        <f t="shared" si="0"/>
        <v>0.3</v>
      </c>
      <c r="V20" s="68">
        <f t="shared" si="0"/>
        <v>0.3</v>
      </c>
      <c r="W20" s="68">
        <f t="shared" si="0"/>
        <v>0.3</v>
      </c>
      <c r="X20" s="68">
        <f t="shared" si="0"/>
        <v>0.3</v>
      </c>
      <c r="Y20" s="68">
        <f t="shared" si="0"/>
        <v>0.3</v>
      </c>
      <c r="Z20" s="68">
        <f t="shared" si="0"/>
        <v>0.3</v>
      </c>
      <c r="AA20" s="68">
        <f t="shared" si="0"/>
        <v>0.3</v>
      </c>
      <c r="AB20" s="68">
        <f t="shared" si="0"/>
        <v>0.3</v>
      </c>
      <c r="AC20" s="68">
        <f t="shared" si="0"/>
        <v>0.3</v>
      </c>
      <c r="AD20" s="68">
        <f t="shared" ref="AD20:AD21" si="1">AC20</f>
        <v>0.3</v>
      </c>
      <c r="AE20" s="68">
        <f t="shared" ref="AE20:AE21" si="2">AD20</f>
        <v>0.3</v>
      </c>
      <c r="AF20" s="68">
        <f t="shared" ref="AF20:AF21" si="3">AE20</f>
        <v>0.3</v>
      </c>
    </row>
    <row r="21" spans="2:32">
      <c r="B21" s="36" t="s">
        <v>45</v>
      </c>
      <c r="C21" s="39" t="s">
        <v>43</v>
      </c>
      <c r="D21" s="37">
        <f>SUM('Output 2.1 Costs'!E3:P5)*1000</f>
        <v>580000</v>
      </c>
      <c r="E21" s="38">
        <v>0</v>
      </c>
      <c r="F21" s="36">
        <v>0</v>
      </c>
      <c r="G21" s="36">
        <v>0</v>
      </c>
      <c r="N21" s="8" t="s">
        <v>87</v>
      </c>
      <c r="O21" s="68">
        <f>O20</f>
        <v>0.25</v>
      </c>
      <c r="P21" s="68">
        <f t="shared" ref="P21:Q21" si="4">P20</f>
        <v>0.26250000000000001</v>
      </c>
      <c r="Q21" s="68">
        <f t="shared" si="4"/>
        <v>0.27500000000000002</v>
      </c>
      <c r="R21" s="68">
        <v>0.25</v>
      </c>
      <c r="S21" s="68">
        <v>0.2</v>
      </c>
      <c r="T21" s="68">
        <v>0.15</v>
      </c>
      <c r="U21" s="68">
        <f>T21</f>
        <v>0.15</v>
      </c>
      <c r="V21" s="68">
        <f t="shared" ref="V21:AC21" si="5">U21</f>
        <v>0.15</v>
      </c>
      <c r="W21" s="68">
        <f t="shared" si="5"/>
        <v>0.15</v>
      </c>
      <c r="X21" s="68">
        <f t="shared" si="5"/>
        <v>0.15</v>
      </c>
      <c r="Y21" s="68">
        <f t="shared" si="5"/>
        <v>0.15</v>
      </c>
      <c r="Z21" s="68">
        <f t="shared" si="5"/>
        <v>0.15</v>
      </c>
      <c r="AA21" s="68">
        <f t="shared" si="5"/>
        <v>0.15</v>
      </c>
      <c r="AB21" s="68">
        <f t="shared" si="5"/>
        <v>0.15</v>
      </c>
      <c r="AC21" s="68">
        <f t="shared" si="5"/>
        <v>0.15</v>
      </c>
      <c r="AD21" s="68">
        <f t="shared" si="1"/>
        <v>0.15</v>
      </c>
      <c r="AE21" s="68">
        <f t="shared" si="2"/>
        <v>0.15</v>
      </c>
      <c r="AF21" s="68">
        <f t="shared" si="3"/>
        <v>0.15</v>
      </c>
    </row>
    <row r="22" spans="2:32">
      <c r="B22" s="36">
        <v>1</v>
      </c>
      <c r="C22" s="36" t="s">
        <v>42</v>
      </c>
      <c r="D22" s="37">
        <f>SUM('Output 2.1 Costs'!J7:N14)*1000</f>
        <v>2695000</v>
      </c>
      <c r="E22" s="38">
        <f>D22/SUM($D$22:$D$27)</f>
        <v>0.42642405063291139</v>
      </c>
      <c r="F22" s="37">
        <f>E22*SUM($D$21,$D$28)</f>
        <v>460537.97468354431</v>
      </c>
      <c r="G22" s="37">
        <f>SUM(D22,F22)</f>
        <v>3155537.9746835441</v>
      </c>
    </row>
    <row r="23" spans="2:32">
      <c r="B23" s="36">
        <v>2</v>
      </c>
      <c r="C23" s="36" t="s">
        <v>23</v>
      </c>
      <c r="D23" s="37">
        <f>SUM('Output 2.1 Costs'!I15:N18)*1000</f>
        <v>672700</v>
      </c>
      <c r="E23" s="38">
        <f t="shared" ref="E23:E27" si="6">D23/SUM($D$22:$D$27)</f>
        <v>0.10643987341772151</v>
      </c>
      <c r="F23" s="37">
        <f t="shared" ref="F23:F27" si="7">E23*SUM($D$21,$D$28)</f>
        <v>114955.06329113923</v>
      </c>
      <c r="G23" s="37">
        <f t="shared" ref="G23:G27" si="8">SUM(D23,F23)</f>
        <v>787655.0632911392</v>
      </c>
      <c r="L23" s="447" t="s">
        <v>92</v>
      </c>
      <c r="M23" s="448"/>
      <c r="N23" s="78" t="s">
        <v>88</v>
      </c>
      <c r="O23" s="68">
        <f>O21-O20</f>
        <v>0</v>
      </c>
      <c r="P23" s="68">
        <f t="shared" ref="P23:AC23" si="9">P21-P20</f>
        <v>0</v>
      </c>
      <c r="Q23" s="68">
        <f t="shared" si="9"/>
        <v>0</v>
      </c>
      <c r="R23" s="68">
        <f t="shared" si="9"/>
        <v>-4.9999999999999989E-2</v>
      </c>
      <c r="S23" s="68">
        <f t="shared" si="9"/>
        <v>-9.9999999999999978E-2</v>
      </c>
      <c r="T23" s="68">
        <f t="shared" si="9"/>
        <v>-0.15</v>
      </c>
      <c r="U23" s="68">
        <f t="shared" si="9"/>
        <v>-0.15</v>
      </c>
      <c r="V23" s="68">
        <f t="shared" si="9"/>
        <v>-0.15</v>
      </c>
      <c r="W23" s="68">
        <f t="shared" si="9"/>
        <v>-0.15</v>
      </c>
      <c r="X23" s="68">
        <f t="shared" si="9"/>
        <v>-0.15</v>
      </c>
      <c r="Y23" s="68">
        <f t="shared" si="9"/>
        <v>-0.15</v>
      </c>
      <c r="Z23" s="68">
        <f t="shared" si="9"/>
        <v>-0.15</v>
      </c>
      <c r="AA23" s="68">
        <f t="shared" si="9"/>
        <v>-0.15</v>
      </c>
      <c r="AB23" s="68">
        <f t="shared" si="9"/>
        <v>-0.15</v>
      </c>
      <c r="AC23" s="68">
        <f t="shared" si="9"/>
        <v>-0.15</v>
      </c>
      <c r="AD23" s="68">
        <f t="shared" ref="AD23:AF23" si="10">AD21-AD20</f>
        <v>-0.15</v>
      </c>
      <c r="AE23" s="68">
        <f t="shared" si="10"/>
        <v>-0.15</v>
      </c>
      <c r="AF23" s="68">
        <f t="shared" si="10"/>
        <v>-0.15</v>
      </c>
    </row>
    <row r="24" spans="2:32" ht="15.75" thickBot="1">
      <c r="B24" s="36">
        <v>3</v>
      </c>
      <c r="C24" s="36" t="s">
        <v>27</v>
      </c>
      <c r="D24" s="37">
        <f>SUM('Output 2.1 Costs'!K19:N22)*1000</f>
        <v>672700</v>
      </c>
      <c r="E24" s="38">
        <f t="shared" si="6"/>
        <v>0.10643987341772151</v>
      </c>
      <c r="F24" s="37">
        <f t="shared" si="7"/>
        <v>114955.06329113923</v>
      </c>
      <c r="G24" s="37">
        <f t="shared" si="8"/>
        <v>787655.0632911392</v>
      </c>
    </row>
    <row r="25" spans="2:32">
      <c r="B25" s="36">
        <v>4</v>
      </c>
      <c r="C25" s="36" t="s">
        <v>29</v>
      </c>
      <c r="D25" s="37">
        <f>SUM('Output 2.1 Costs'!K23:N25)*1000</f>
        <v>328700</v>
      </c>
      <c r="E25" s="38">
        <f t="shared" si="6"/>
        <v>5.2009493670886073E-2</v>
      </c>
      <c r="F25" s="37">
        <f t="shared" si="7"/>
        <v>56170.253164556962</v>
      </c>
      <c r="G25" s="37">
        <f t="shared" si="8"/>
        <v>384870.25316455698</v>
      </c>
      <c r="M25" s="446" t="s">
        <v>98</v>
      </c>
      <c r="N25" s="85" t="s">
        <v>42</v>
      </c>
      <c r="O25" s="86">
        <f>-$K34/1000000*O$23</f>
        <v>0</v>
      </c>
      <c r="P25" s="86">
        <f t="shared" ref="P25:AC25" si="11">-$K34/1000000*P$23</f>
        <v>0</v>
      </c>
      <c r="Q25" s="86">
        <f t="shared" si="11"/>
        <v>0</v>
      </c>
      <c r="R25" s="86">
        <f t="shared" si="11"/>
        <v>0.22585396440340744</v>
      </c>
      <c r="S25" s="86">
        <f t="shared" si="11"/>
        <v>0.45170792880681487</v>
      </c>
      <c r="T25" s="86">
        <f t="shared" si="11"/>
        <v>0.67756189321022242</v>
      </c>
      <c r="U25" s="86">
        <f t="shared" si="11"/>
        <v>0.67756189321022242</v>
      </c>
      <c r="V25" s="86">
        <f t="shared" si="11"/>
        <v>0.67756189321022242</v>
      </c>
      <c r="W25" s="86">
        <f t="shared" si="11"/>
        <v>0.67756189321022242</v>
      </c>
      <c r="X25" s="86">
        <f t="shared" si="11"/>
        <v>0.67756189321022242</v>
      </c>
      <c r="Y25" s="86">
        <f t="shared" si="11"/>
        <v>0.67756189321022242</v>
      </c>
      <c r="Z25" s="86">
        <f t="shared" si="11"/>
        <v>0.67756189321022242</v>
      </c>
      <c r="AA25" s="86">
        <f t="shared" si="11"/>
        <v>0.67756189321022242</v>
      </c>
      <c r="AB25" s="86">
        <f t="shared" si="11"/>
        <v>0.67756189321022242</v>
      </c>
      <c r="AC25" s="86">
        <f t="shared" si="11"/>
        <v>0.67756189321022242</v>
      </c>
      <c r="AD25" s="86">
        <f t="shared" ref="AD25:AF25" si="12">-$K34/1000000*AD$23</f>
        <v>0.67756189321022242</v>
      </c>
      <c r="AE25" s="86">
        <f t="shared" si="12"/>
        <v>0.67756189321022242</v>
      </c>
      <c r="AF25" s="87">
        <f t="shared" si="12"/>
        <v>0.67756189321022242</v>
      </c>
    </row>
    <row r="26" spans="2:32">
      <c r="B26" s="36">
        <v>5</v>
      </c>
      <c r="C26" s="36" t="s">
        <v>35</v>
      </c>
      <c r="D26" s="37">
        <f>SUM('Output 2.1 Costs'!K32:P39)*1000</f>
        <v>1253300.0000000002</v>
      </c>
      <c r="E26" s="38">
        <f t="shared" si="6"/>
        <v>0.1983069620253165</v>
      </c>
      <c r="F26" s="37">
        <f t="shared" si="7"/>
        <v>214171.51898734181</v>
      </c>
      <c r="G26" s="37">
        <f t="shared" si="8"/>
        <v>1467471.518987342</v>
      </c>
      <c r="M26" s="445"/>
      <c r="N26" s="57" t="s">
        <v>23</v>
      </c>
      <c r="O26" s="72">
        <f t="shared" ref="O26:AC26" si="13">-$K35/1000000*O$23</f>
        <v>0</v>
      </c>
      <c r="P26" s="72">
        <f t="shared" si="13"/>
        <v>0</v>
      </c>
      <c r="Q26" s="72">
        <f t="shared" si="13"/>
        <v>0</v>
      </c>
      <c r="R26" s="72">
        <f t="shared" si="13"/>
        <v>0.39353614282951421</v>
      </c>
      <c r="S26" s="72">
        <f t="shared" si="13"/>
        <v>0.78707228565902843</v>
      </c>
      <c r="T26" s="72">
        <f t="shared" si="13"/>
        <v>1.1806084284885427</v>
      </c>
      <c r="U26" s="72">
        <f t="shared" si="13"/>
        <v>1.1806084284885427</v>
      </c>
      <c r="V26" s="72">
        <f t="shared" si="13"/>
        <v>1.1806084284885427</v>
      </c>
      <c r="W26" s="72">
        <f t="shared" si="13"/>
        <v>1.1806084284885427</v>
      </c>
      <c r="X26" s="72">
        <f t="shared" si="13"/>
        <v>1.1806084284885427</v>
      </c>
      <c r="Y26" s="72">
        <f t="shared" si="13"/>
        <v>1.1806084284885427</v>
      </c>
      <c r="Z26" s="72">
        <f t="shared" si="13"/>
        <v>1.1806084284885427</v>
      </c>
      <c r="AA26" s="72">
        <f t="shared" si="13"/>
        <v>1.1806084284885427</v>
      </c>
      <c r="AB26" s="72">
        <f t="shared" si="13"/>
        <v>1.1806084284885427</v>
      </c>
      <c r="AC26" s="72">
        <f t="shared" si="13"/>
        <v>1.1806084284885427</v>
      </c>
      <c r="AD26" s="72">
        <f t="shared" ref="AD26:AF26" si="14">-$K35/1000000*AD$23</f>
        <v>1.1806084284885427</v>
      </c>
      <c r="AE26" s="72">
        <f t="shared" si="14"/>
        <v>1.1806084284885427</v>
      </c>
      <c r="AF26" s="88">
        <f t="shared" si="14"/>
        <v>1.1806084284885427</v>
      </c>
    </row>
    <row r="27" spans="2:32">
      <c r="B27" s="36">
        <v>6</v>
      </c>
      <c r="C27" s="36" t="s">
        <v>31</v>
      </c>
      <c r="D27" s="37">
        <f>SUM('Output 2.1 Costs'!K27:N31)*1000</f>
        <v>697600</v>
      </c>
      <c r="E27" s="38">
        <f t="shared" si="6"/>
        <v>0.11037974683544304</v>
      </c>
      <c r="F27" s="37">
        <f t="shared" si="7"/>
        <v>119210.12658227848</v>
      </c>
      <c r="G27" s="37">
        <f t="shared" si="8"/>
        <v>816810.12658227852</v>
      </c>
      <c r="M27" s="445"/>
      <c r="N27" s="57" t="s">
        <v>27</v>
      </c>
      <c r="O27" s="72">
        <f t="shared" ref="O27:AC27" si="15">-$K36/1000000*O$23</f>
        <v>0</v>
      </c>
      <c r="P27" s="72">
        <f t="shared" si="15"/>
        <v>0</v>
      </c>
      <c r="Q27" s="72">
        <f t="shared" si="15"/>
        <v>0</v>
      </c>
      <c r="R27" s="72">
        <f t="shared" si="15"/>
        <v>0.59063519020320765</v>
      </c>
      <c r="S27" s="72">
        <f t="shared" si="15"/>
        <v>1.1812703804064153</v>
      </c>
      <c r="T27" s="72">
        <f t="shared" si="15"/>
        <v>1.7719055706096234</v>
      </c>
      <c r="U27" s="72">
        <f t="shared" si="15"/>
        <v>1.7719055706096234</v>
      </c>
      <c r="V27" s="72">
        <f t="shared" si="15"/>
        <v>1.7719055706096234</v>
      </c>
      <c r="W27" s="72">
        <f t="shared" si="15"/>
        <v>1.7719055706096234</v>
      </c>
      <c r="X27" s="72">
        <f t="shared" si="15"/>
        <v>1.7719055706096234</v>
      </c>
      <c r="Y27" s="72">
        <f t="shared" si="15"/>
        <v>1.7719055706096234</v>
      </c>
      <c r="Z27" s="72">
        <f t="shared" si="15"/>
        <v>1.7719055706096234</v>
      </c>
      <c r="AA27" s="72">
        <f t="shared" si="15"/>
        <v>1.7719055706096234</v>
      </c>
      <c r="AB27" s="72">
        <f t="shared" si="15"/>
        <v>1.7719055706096234</v>
      </c>
      <c r="AC27" s="72">
        <f t="shared" si="15"/>
        <v>1.7719055706096234</v>
      </c>
      <c r="AD27" s="72">
        <f t="shared" ref="AD27:AF27" si="16">-$K36/1000000*AD$23</f>
        <v>1.7719055706096234</v>
      </c>
      <c r="AE27" s="72">
        <f t="shared" si="16"/>
        <v>1.7719055706096234</v>
      </c>
      <c r="AF27" s="88">
        <f t="shared" si="16"/>
        <v>1.7719055706096234</v>
      </c>
    </row>
    <row r="28" spans="2:32">
      <c r="B28" s="36" t="s">
        <v>45</v>
      </c>
      <c r="C28" s="36" t="s">
        <v>44</v>
      </c>
      <c r="D28" s="37">
        <f>SUM('Output 2.1 Costs'!P41)*1000</f>
        <v>500000</v>
      </c>
      <c r="E28" s="38">
        <v>0</v>
      </c>
      <c r="F28" s="36">
        <v>0</v>
      </c>
      <c r="G28" s="36">
        <v>0</v>
      </c>
      <c r="M28" s="445"/>
      <c r="N28" s="57" t="s">
        <v>29</v>
      </c>
      <c r="O28" s="72">
        <f t="shared" ref="O28:AC28" si="17">-$K37/1000000*O$23</f>
        <v>0</v>
      </c>
      <c r="P28" s="72">
        <f t="shared" si="17"/>
        <v>0</v>
      </c>
      <c r="Q28" s="72">
        <f t="shared" si="17"/>
        <v>0</v>
      </c>
      <c r="R28" s="72">
        <f t="shared" si="17"/>
        <v>0.14279885956883914</v>
      </c>
      <c r="S28" s="72">
        <f t="shared" si="17"/>
        <v>0.28559771913767829</v>
      </c>
      <c r="T28" s="72">
        <f t="shared" si="17"/>
        <v>0.42839657870651754</v>
      </c>
      <c r="U28" s="72">
        <f t="shared" si="17"/>
        <v>0.42839657870651754</v>
      </c>
      <c r="V28" s="72">
        <f t="shared" si="17"/>
        <v>0.42839657870651754</v>
      </c>
      <c r="W28" s="72">
        <f t="shared" si="17"/>
        <v>0.42839657870651754</v>
      </c>
      <c r="X28" s="72">
        <f t="shared" si="17"/>
        <v>0.42839657870651754</v>
      </c>
      <c r="Y28" s="72">
        <f t="shared" si="17"/>
        <v>0.42839657870651754</v>
      </c>
      <c r="Z28" s="72">
        <f t="shared" si="17"/>
        <v>0.42839657870651754</v>
      </c>
      <c r="AA28" s="72">
        <f t="shared" si="17"/>
        <v>0.42839657870651754</v>
      </c>
      <c r="AB28" s="72">
        <f t="shared" si="17"/>
        <v>0.42839657870651754</v>
      </c>
      <c r="AC28" s="72">
        <f t="shared" si="17"/>
        <v>0.42839657870651754</v>
      </c>
      <c r="AD28" s="72">
        <f t="shared" ref="AD28:AF28" si="18">-$K37/1000000*AD$23</f>
        <v>0.42839657870651754</v>
      </c>
      <c r="AE28" s="72">
        <f t="shared" si="18"/>
        <v>0.42839657870651754</v>
      </c>
      <c r="AF28" s="88">
        <f t="shared" si="18"/>
        <v>0.42839657870651754</v>
      </c>
    </row>
    <row r="29" spans="2:32">
      <c r="B29" s="36" t="s">
        <v>45</v>
      </c>
      <c r="C29" s="36" t="s">
        <v>49</v>
      </c>
      <c r="D29" s="37">
        <f>SUM(D21:D28)</f>
        <v>7400000</v>
      </c>
      <c r="E29" s="36"/>
      <c r="F29" s="37"/>
      <c r="G29" s="37">
        <f>SUM(G21:G28)</f>
        <v>7400000</v>
      </c>
      <c r="M29" s="445"/>
      <c r="N29" s="57" t="s">
        <v>35</v>
      </c>
      <c r="O29" s="72">
        <f t="shared" ref="O29:AC29" si="19">-$K38/1000000*O$23</f>
        <v>0</v>
      </c>
      <c r="P29" s="72">
        <f t="shared" si="19"/>
        <v>0</v>
      </c>
      <c r="Q29" s="72">
        <f t="shared" si="19"/>
        <v>0</v>
      </c>
      <c r="R29" s="72">
        <f t="shared" si="19"/>
        <v>0.18086058977267241</v>
      </c>
      <c r="S29" s="72">
        <f t="shared" si="19"/>
        <v>0.36172117954534483</v>
      </c>
      <c r="T29" s="72">
        <f t="shared" si="19"/>
        <v>0.54258176931801738</v>
      </c>
      <c r="U29" s="72">
        <f t="shared" si="19"/>
        <v>0.54258176931801738</v>
      </c>
      <c r="V29" s="72">
        <f t="shared" si="19"/>
        <v>0.54258176931801738</v>
      </c>
      <c r="W29" s="72">
        <f t="shared" si="19"/>
        <v>0.54258176931801738</v>
      </c>
      <c r="X29" s="72">
        <f t="shared" si="19"/>
        <v>0.54258176931801738</v>
      </c>
      <c r="Y29" s="72">
        <f t="shared" si="19"/>
        <v>0.54258176931801738</v>
      </c>
      <c r="Z29" s="72">
        <f t="shared" si="19"/>
        <v>0.54258176931801738</v>
      </c>
      <c r="AA29" s="72">
        <f t="shared" si="19"/>
        <v>0.54258176931801738</v>
      </c>
      <c r="AB29" s="72">
        <f t="shared" si="19"/>
        <v>0.54258176931801738</v>
      </c>
      <c r="AC29" s="72">
        <f t="shared" si="19"/>
        <v>0.54258176931801738</v>
      </c>
      <c r="AD29" s="72">
        <f t="shared" ref="AD29:AF29" si="20">-$K38/1000000*AD$23</f>
        <v>0.54258176931801738</v>
      </c>
      <c r="AE29" s="72">
        <f t="shared" si="20"/>
        <v>0.54258176931801738</v>
      </c>
      <c r="AF29" s="88">
        <f t="shared" si="20"/>
        <v>0.54258176931801738</v>
      </c>
    </row>
    <row r="30" spans="2:32">
      <c r="B30" s="41"/>
      <c r="C30" s="41"/>
      <c r="D30" s="42"/>
      <c r="E30" s="41"/>
      <c r="F30" s="41"/>
      <c r="G30" s="42"/>
      <c r="M30" s="445"/>
      <c r="N30" s="57" t="s">
        <v>31</v>
      </c>
      <c r="O30" s="72">
        <f t="shared" ref="O30:AC30" si="21">-$K39/1000000*O$23</f>
        <v>0</v>
      </c>
      <c r="P30" s="72">
        <f t="shared" si="21"/>
        <v>0</v>
      </c>
      <c r="Q30" s="72">
        <f t="shared" si="21"/>
        <v>0</v>
      </c>
      <c r="R30" s="72">
        <f t="shared" si="21"/>
        <v>0.10399999999999998</v>
      </c>
      <c r="S30" s="72">
        <f t="shared" si="21"/>
        <v>0.20799999999999996</v>
      </c>
      <c r="T30" s="72">
        <f t="shared" si="21"/>
        <v>0.312</v>
      </c>
      <c r="U30" s="72">
        <f t="shared" si="21"/>
        <v>0.312</v>
      </c>
      <c r="V30" s="72">
        <f t="shared" si="21"/>
        <v>0.312</v>
      </c>
      <c r="W30" s="72">
        <f t="shared" si="21"/>
        <v>0.312</v>
      </c>
      <c r="X30" s="72">
        <f t="shared" si="21"/>
        <v>0.312</v>
      </c>
      <c r="Y30" s="72">
        <f t="shared" si="21"/>
        <v>0.312</v>
      </c>
      <c r="Z30" s="72">
        <f t="shared" si="21"/>
        <v>0.312</v>
      </c>
      <c r="AA30" s="72">
        <f t="shared" si="21"/>
        <v>0.312</v>
      </c>
      <c r="AB30" s="72">
        <f t="shared" si="21"/>
        <v>0.312</v>
      </c>
      <c r="AC30" s="72">
        <f t="shared" si="21"/>
        <v>0.312</v>
      </c>
      <c r="AD30" s="72">
        <f t="shared" ref="AD30:AF30" si="22">-$K39/1000000*AD$23</f>
        <v>0.312</v>
      </c>
      <c r="AE30" s="72">
        <f t="shared" si="22"/>
        <v>0.312</v>
      </c>
      <c r="AF30" s="88">
        <f t="shared" si="22"/>
        <v>0.312</v>
      </c>
    </row>
    <row r="31" spans="2:32" ht="15.75" thickBot="1">
      <c r="B31" s="458" t="s">
        <v>93</v>
      </c>
      <c r="C31" s="459"/>
      <c r="D31" s="459"/>
      <c r="E31" s="459"/>
      <c r="F31" s="459"/>
      <c r="G31" s="459"/>
      <c r="H31" s="459"/>
      <c r="I31" s="459"/>
      <c r="M31" s="89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90"/>
    </row>
    <row r="32" spans="2:32" ht="15.75" thickBot="1">
      <c r="B32" s="455"/>
      <c r="C32" s="457"/>
      <c r="D32" s="452" t="s">
        <v>94</v>
      </c>
      <c r="E32" s="425"/>
      <c r="F32" s="425"/>
      <c r="G32" s="453"/>
      <c r="H32" s="455" t="s">
        <v>69</v>
      </c>
      <c r="I32" s="456"/>
      <c r="J32" s="457"/>
      <c r="K32" s="41"/>
      <c r="L32" s="41"/>
      <c r="M32" s="89"/>
      <c r="N32" s="98" t="s">
        <v>100</v>
      </c>
      <c r="O32" s="99">
        <v>0.02</v>
      </c>
      <c r="P32" s="99">
        <v>0.19</v>
      </c>
      <c r="Q32" s="99">
        <v>0.7</v>
      </c>
      <c r="R32" s="100">
        <f>0.09+0.05%</f>
        <v>9.0499999999999997E-2</v>
      </c>
      <c r="S32" s="99">
        <v>0.05</v>
      </c>
      <c r="T32" s="99">
        <v>0.05</v>
      </c>
      <c r="U32" s="99">
        <v>0.05</v>
      </c>
      <c r="V32" s="99">
        <v>0.05</v>
      </c>
      <c r="W32" s="99">
        <v>0.05</v>
      </c>
      <c r="X32" s="99">
        <v>0.05</v>
      </c>
      <c r="Y32" s="99">
        <v>0.05</v>
      </c>
      <c r="Z32" s="99">
        <v>0.05</v>
      </c>
      <c r="AA32" s="99">
        <v>0.05</v>
      </c>
      <c r="AB32" s="99">
        <v>0.05</v>
      </c>
      <c r="AC32" s="99">
        <v>0.05</v>
      </c>
      <c r="AD32" s="99">
        <v>0.05</v>
      </c>
      <c r="AE32" s="99">
        <v>0.05</v>
      </c>
      <c r="AF32" s="101">
        <v>0.05</v>
      </c>
    </row>
    <row r="33" spans="2:32">
      <c r="B33" s="65" t="s">
        <v>41</v>
      </c>
      <c r="C33" s="65" t="s">
        <v>58</v>
      </c>
      <c r="D33" s="63">
        <v>2019</v>
      </c>
      <c r="E33" s="63">
        <v>2020</v>
      </c>
      <c r="F33" s="63" t="s">
        <v>62</v>
      </c>
      <c r="G33" s="63" t="s">
        <v>63</v>
      </c>
      <c r="H33" s="63">
        <v>2019</v>
      </c>
      <c r="I33" s="63">
        <v>2020</v>
      </c>
      <c r="J33" s="63" t="s">
        <v>62</v>
      </c>
      <c r="K33" s="71" t="s">
        <v>89</v>
      </c>
      <c r="L33" s="71"/>
      <c r="M33" s="445" t="s">
        <v>1</v>
      </c>
      <c r="N33" s="57" t="s">
        <v>42</v>
      </c>
      <c r="O33" s="72">
        <f>$G22*O$32/1000000</f>
        <v>6.3110759493670884E-2</v>
      </c>
      <c r="P33" s="72">
        <f t="shared" ref="P33:AC33" si="23">$G22*P$32/1000000</f>
        <v>0.59955221518987334</v>
      </c>
      <c r="Q33" s="72">
        <f t="shared" si="23"/>
        <v>2.2088765822784806</v>
      </c>
      <c r="R33" s="72">
        <f t="shared" si="23"/>
        <v>0.28557618670886076</v>
      </c>
      <c r="S33" s="72">
        <f t="shared" si="23"/>
        <v>0.15777689873417722</v>
      </c>
      <c r="T33" s="72">
        <f t="shared" si="23"/>
        <v>0.15777689873417722</v>
      </c>
      <c r="U33" s="72">
        <f t="shared" si="23"/>
        <v>0.15777689873417722</v>
      </c>
      <c r="V33" s="72">
        <f t="shared" si="23"/>
        <v>0.15777689873417722</v>
      </c>
      <c r="W33" s="72">
        <f t="shared" si="23"/>
        <v>0.15777689873417722</v>
      </c>
      <c r="X33" s="72">
        <f t="shared" si="23"/>
        <v>0.15777689873417722</v>
      </c>
      <c r="Y33" s="72">
        <f t="shared" si="23"/>
        <v>0.15777689873417722</v>
      </c>
      <c r="Z33" s="72">
        <f t="shared" si="23"/>
        <v>0.15777689873417722</v>
      </c>
      <c r="AA33" s="72">
        <f t="shared" si="23"/>
        <v>0.15777689873417722</v>
      </c>
      <c r="AB33" s="72">
        <f t="shared" si="23"/>
        <v>0.15777689873417722</v>
      </c>
      <c r="AC33" s="72">
        <f t="shared" si="23"/>
        <v>0.15777689873417722</v>
      </c>
      <c r="AD33" s="72">
        <f t="shared" ref="AD33:AF33" si="24">$G22*AD$32/1000000</f>
        <v>0.15777689873417722</v>
      </c>
      <c r="AE33" s="72">
        <f t="shared" si="24"/>
        <v>0.15777689873417722</v>
      </c>
      <c r="AF33" s="88">
        <f t="shared" si="24"/>
        <v>0.15777689873417722</v>
      </c>
    </row>
    <row r="34" spans="2:32">
      <c r="B34" s="57">
        <v>1</v>
      </c>
      <c r="C34" s="58" t="s">
        <v>42</v>
      </c>
      <c r="D34" s="59">
        <v>1243.3319504503941</v>
      </c>
      <c r="E34" s="59">
        <v>1070.2611167249534</v>
      </c>
      <c r="F34" s="53">
        <f>AVERAGE(D34:E34)</f>
        <v>1156.7965335876738</v>
      </c>
      <c r="G34" s="54">
        <f>F34/$F$46</f>
        <v>2.1442011743979125E-2</v>
      </c>
      <c r="H34" s="62">
        <f>D34*1000</f>
        <v>1243331.9504503941</v>
      </c>
      <c r="I34" s="62">
        <f t="shared" ref="I34:J34" si="25">E34*1000</f>
        <v>1070261.1167249533</v>
      </c>
      <c r="J34" s="62">
        <f t="shared" si="25"/>
        <v>1156796.5335876739</v>
      </c>
      <c r="K34" s="77">
        <f>(J34+0.8*J40+0.5*J41)*Price</f>
        <v>4517079.2880681492</v>
      </c>
      <c r="M34" s="445"/>
      <c r="N34" s="57" t="s">
        <v>23</v>
      </c>
      <c r="O34" s="72">
        <f t="shared" ref="O34:AC34" si="26">$G23*O$32/1000000</f>
        <v>1.5753101265822786E-2</v>
      </c>
      <c r="P34" s="72">
        <f t="shared" si="26"/>
        <v>0.14965446202531646</v>
      </c>
      <c r="Q34" s="72">
        <f t="shared" si="26"/>
        <v>0.55135854430379738</v>
      </c>
      <c r="R34" s="72">
        <f t="shared" si="26"/>
        <v>7.128278322784809E-2</v>
      </c>
      <c r="S34" s="72">
        <f t="shared" si="26"/>
        <v>3.9382753164556965E-2</v>
      </c>
      <c r="T34" s="72">
        <f t="shared" si="26"/>
        <v>3.9382753164556965E-2</v>
      </c>
      <c r="U34" s="72">
        <f t="shared" si="26"/>
        <v>3.9382753164556965E-2</v>
      </c>
      <c r="V34" s="72">
        <f t="shared" si="26"/>
        <v>3.9382753164556965E-2</v>
      </c>
      <c r="W34" s="72">
        <f t="shared" si="26"/>
        <v>3.9382753164556965E-2</v>
      </c>
      <c r="X34" s="72">
        <f t="shared" si="26"/>
        <v>3.9382753164556965E-2</v>
      </c>
      <c r="Y34" s="72">
        <f t="shared" si="26"/>
        <v>3.9382753164556965E-2</v>
      </c>
      <c r="Z34" s="72">
        <f t="shared" si="26"/>
        <v>3.9382753164556965E-2</v>
      </c>
      <c r="AA34" s="72">
        <f t="shared" si="26"/>
        <v>3.9382753164556965E-2</v>
      </c>
      <c r="AB34" s="72">
        <f t="shared" si="26"/>
        <v>3.9382753164556965E-2</v>
      </c>
      <c r="AC34" s="72">
        <f t="shared" si="26"/>
        <v>3.9382753164556965E-2</v>
      </c>
      <c r="AD34" s="72">
        <f t="shared" ref="AD34:AF34" si="27">$G23*AD$32/1000000</f>
        <v>3.9382753164556965E-2</v>
      </c>
      <c r="AE34" s="72">
        <f t="shared" si="27"/>
        <v>3.9382753164556965E-2</v>
      </c>
      <c r="AF34" s="88">
        <f t="shared" si="27"/>
        <v>3.9382753164556965E-2</v>
      </c>
    </row>
    <row r="35" spans="2:32">
      <c r="B35" s="57">
        <v>2</v>
      </c>
      <c r="C35" s="58" t="s">
        <v>23</v>
      </c>
      <c r="D35" s="59">
        <v>8459.5007994958014</v>
      </c>
      <c r="E35" s="59">
        <v>7281.9449136847716</v>
      </c>
      <c r="F35" s="53">
        <f t="shared" ref="F35:F42" si="28">AVERAGE(D35:E35)</f>
        <v>7870.722856590286</v>
      </c>
      <c r="G35" s="54">
        <f t="shared" ref="G35:G42" si="29">F35/$F$46</f>
        <v>0.14588920957535284</v>
      </c>
      <c r="H35" s="62">
        <f t="shared" ref="H35:H39" si="30">D35*1000</f>
        <v>8459500.7994958013</v>
      </c>
      <c r="I35" s="62">
        <f t="shared" ref="I35:I40" si="31">E35*1000</f>
        <v>7281944.9136847714</v>
      </c>
      <c r="J35" s="62">
        <f t="shared" ref="J35:J40" si="32">F35*1000</f>
        <v>7870722.8565902859</v>
      </c>
      <c r="K35" s="70">
        <f>J35*Price</f>
        <v>7870722.8565902859</v>
      </c>
      <c r="M35" s="445"/>
      <c r="N35" s="57" t="s">
        <v>27</v>
      </c>
      <c r="O35" s="72">
        <f t="shared" ref="O35:AC35" si="33">$G24*O$32/1000000</f>
        <v>1.5753101265822786E-2</v>
      </c>
      <c r="P35" s="72">
        <f t="shared" si="33"/>
        <v>0.14965446202531646</v>
      </c>
      <c r="Q35" s="72">
        <f t="shared" si="33"/>
        <v>0.55135854430379738</v>
      </c>
      <c r="R35" s="72">
        <f t="shared" si="33"/>
        <v>7.128278322784809E-2</v>
      </c>
      <c r="S35" s="72">
        <f t="shared" si="33"/>
        <v>3.9382753164556965E-2</v>
      </c>
      <c r="T35" s="72">
        <f t="shared" si="33"/>
        <v>3.9382753164556965E-2</v>
      </c>
      <c r="U35" s="72">
        <f t="shared" si="33"/>
        <v>3.9382753164556965E-2</v>
      </c>
      <c r="V35" s="72">
        <f t="shared" si="33"/>
        <v>3.9382753164556965E-2</v>
      </c>
      <c r="W35" s="72">
        <f t="shared" si="33"/>
        <v>3.9382753164556965E-2</v>
      </c>
      <c r="X35" s="72">
        <f t="shared" si="33"/>
        <v>3.9382753164556965E-2</v>
      </c>
      <c r="Y35" s="72">
        <f t="shared" si="33"/>
        <v>3.9382753164556965E-2</v>
      </c>
      <c r="Z35" s="72">
        <f t="shared" si="33"/>
        <v>3.9382753164556965E-2</v>
      </c>
      <c r="AA35" s="72">
        <f t="shared" si="33"/>
        <v>3.9382753164556965E-2</v>
      </c>
      <c r="AB35" s="72">
        <f t="shared" si="33"/>
        <v>3.9382753164556965E-2</v>
      </c>
      <c r="AC35" s="72">
        <f t="shared" si="33"/>
        <v>3.9382753164556965E-2</v>
      </c>
      <c r="AD35" s="72">
        <f t="shared" ref="AD35:AF35" si="34">$G24*AD$32/1000000</f>
        <v>3.9382753164556965E-2</v>
      </c>
      <c r="AE35" s="72">
        <f t="shared" si="34"/>
        <v>3.9382753164556965E-2</v>
      </c>
      <c r="AF35" s="88">
        <f t="shared" si="34"/>
        <v>3.9382753164556965E-2</v>
      </c>
    </row>
    <row r="36" spans="2:32">
      <c r="B36" s="57">
        <v>3</v>
      </c>
      <c r="C36" s="58" t="s">
        <v>27</v>
      </c>
      <c r="D36" s="59">
        <v>12696.365898719852</v>
      </c>
      <c r="E36" s="59">
        <v>10929.041709408459</v>
      </c>
      <c r="F36" s="53">
        <f t="shared" si="28"/>
        <v>11812.703804064156</v>
      </c>
      <c r="G36" s="54">
        <f t="shared" si="29"/>
        <v>0.21895651166013264</v>
      </c>
      <c r="H36" s="62">
        <f t="shared" si="30"/>
        <v>12696365.898719853</v>
      </c>
      <c r="I36" s="62">
        <f t="shared" si="31"/>
        <v>10929041.709408458</v>
      </c>
      <c r="J36" s="62">
        <f t="shared" si="32"/>
        <v>11812703.804064156</v>
      </c>
      <c r="K36" s="70">
        <f>J36*Price</f>
        <v>11812703.804064156</v>
      </c>
      <c r="M36" s="445"/>
      <c r="N36" s="57" t="s">
        <v>29</v>
      </c>
      <c r="O36" s="72">
        <f t="shared" ref="O36:AC36" si="35">$G25*O$32/1000000</f>
        <v>7.6974050632911397E-3</v>
      </c>
      <c r="P36" s="72">
        <f t="shared" si="35"/>
        <v>7.3125348101265836E-2</v>
      </c>
      <c r="Q36" s="72">
        <f t="shared" si="35"/>
        <v>0.26940917721518987</v>
      </c>
      <c r="R36" s="72">
        <f t="shared" si="35"/>
        <v>3.483075791139241E-2</v>
      </c>
      <c r="S36" s="72">
        <f t="shared" si="35"/>
        <v>1.9243512658227852E-2</v>
      </c>
      <c r="T36" s="72">
        <f t="shared" si="35"/>
        <v>1.9243512658227852E-2</v>
      </c>
      <c r="U36" s="72">
        <f t="shared" si="35"/>
        <v>1.9243512658227852E-2</v>
      </c>
      <c r="V36" s="72">
        <f t="shared" si="35"/>
        <v>1.9243512658227852E-2</v>
      </c>
      <c r="W36" s="72">
        <f t="shared" si="35"/>
        <v>1.9243512658227852E-2</v>
      </c>
      <c r="X36" s="72">
        <f t="shared" si="35"/>
        <v>1.9243512658227852E-2</v>
      </c>
      <c r="Y36" s="72">
        <f t="shared" si="35"/>
        <v>1.9243512658227852E-2</v>
      </c>
      <c r="Z36" s="72">
        <f t="shared" si="35"/>
        <v>1.9243512658227852E-2</v>
      </c>
      <c r="AA36" s="72">
        <f t="shared" si="35"/>
        <v>1.9243512658227852E-2</v>
      </c>
      <c r="AB36" s="72">
        <f t="shared" si="35"/>
        <v>1.9243512658227852E-2</v>
      </c>
      <c r="AC36" s="72">
        <f t="shared" si="35"/>
        <v>1.9243512658227852E-2</v>
      </c>
      <c r="AD36" s="72">
        <f t="shared" ref="AD36:AF36" si="36">$G25*AD$32/1000000</f>
        <v>1.9243512658227852E-2</v>
      </c>
      <c r="AE36" s="72">
        <f t="shared" si="36"/>
        <v>1.9243512658227852E-2</v>
      </c>
      <c r="AF36" s="88">
        <f t="shared" si="36"/>
        <v>1.9243512658227852E-2</v>
      </c>
    </row>
    <row r="37" spans="2:32">
      <c r="B37" s="57">
        <v>4</v>
      </c>
      <c r="C37" s="58" t="s">
        <v>29</v>
      </c>
      <c r="D37" s="59">
        <v>3069.6216566136604</v>
      </c>
      <c r="E37" s="59">
        <v>2642.3327261399072</v>
      </c>
      <c r="F37" s="53">
        <f t="shared" si="28"/>
        <v>2855.9771913767836</v>
      </c>
      <c r="G37" s="54">
        <f t="shared" si="29"/>
        <v>5.2937482694657714E-2</v>
      </c>
      <c r="H37" s="62">
        <f t="shared" si="30"/>
        <v>3069621.6566136605</v>
      </c>
      <c r="I37" s="62">
        <f t="shared" si="31"/>
        <v>2642332.7261399073</v>
      </c>
      <c r="J37" s="62">
        <f t="shared" si="32"/>
        <v>2855977.1913767834</v>
      </c>
      <c r="K37" s="70">
        <f>J37*Price</f>
        <v>2855977.1913767834</v>
      </c>
      <c r="M37" s="445"/>
      <c r="N37" s="57" t="s">
        <v>35</v>
      </c>
      <c r="O37" s="72">
        <f t="shared" ref="O37:AC37" si="37">$G26*O$32/1000000</f>
        <v>2.9349430379746841E-2</v>
      </c>
      <c r="P37" s="72">
        <f t="shared" si="37"/>
        <v>0.27881958860759504</v>
      </c>
      <c r="Q37" s="72">
        <f t="shared" si="37"/>
        <v>1.0272300632911393</v>
      </c>
      <c r="R37" s="72">
        <f t="shared" si="37"/>
        <v>0.13280617246835447</v>
      </c>
      <c r="S37" s="72">
        <f t="shared" si="37"/>
        <v>7.3373575949367109E-2</v>
      </c>
      <c r="T37" s="72">
        <f t="shared" si="37"/>
        <v>7.3373575949367109E-2</v>
      </c>
      <c r="U37" s="72">
        <f t="shared" si="37"/>
        <v>7.3373575949367109E-2</v>
      </c>
      <c r="V37" s="72">
        <f t="shared" si="37"/>
        <v>7.3373575949367109E-2</v>
      </c>
      <c r="W37" s="72">
        <f t="shared" si="37"/>
        <v>7.3373575949367109E-2</v>
      </c>
      <c r="X37" s="72">
        <f t="shared" si="37"/>
        <v>7.3373575949367109E-2</v>
      </c>
      <c r="Y37" s="72">
        <f t="shared" si="37"/>
        <v>7.3373575949367109E-2</v>
      </c>
      <c r="Z37" s="72">
        <f t="shared" si="37"/>
        <v>7.3373575949367109E-2</v>
      </c>
      <c r="AA37" s="72">
        <f t="shared" si="37"/>
        <v>7.3373575949367109E-2</v>
      </c>
      <c r="AB37" s="72">
        <f t="shared" si="37"/>
        <v>7.3373575949367109E-2</v>
      </c>
      <c r="AC37" s="72">
        <f t="shared" si="37"/>
        <v>7.3373575949367109E-2</v>
      </c>
      <c r="AD37" s="72">
        <f t="shared" ref="AD37:AF37" si="38">$G26*AD$32/1000000</f>
        <v>7.3373575949367109E-2</v>
      </c>
      <c r="AE37" s="72">
        <f t="shared" si="38"/>
        <v>7.3373575949367109E-2</v>
      </c>
      <c r="AF37" s="88">
        <f t="shared" si="38"/>
        <v>7.3373575949367109E-2</v>
      </c>
    </row>
    <row r="38" spans="2:32">
      <c r="B38" s="57">
        <v>5</v>
      </c>
      <c r="C38" s="58" t="s">
        <v>35</v>
      </c>
      <c r="D38" s="59">
        <v>3887.8012392422597</v>
      </c>
      <c r="E38" s="59">
        <v>3346.6223516646387</v>
      </c>
      <c r="F38" s="53">
        <f t="shared" si="28"/>
        <v>3617.2117954534492</v>
      </c>
      <c r="G38" s="54">
        <f t="shared" si="29"/>
        <v>6.7047484623789608E-2</v>
      </c>
      <c r="H38" s="62">
        <f t="shared" si="30"/>
        <v>3887801.2392422599</v>
      </c>
      <c r="I38" s="62">
        <f t="shared" si="31"/>
        <v>3346622.3516646386</v>
      </c>
      <c r="J38" s="62">
        <f t="shared" si="32"/>
        <v>3617211.7954534492</v>
      </c>
      <c r="K38" s="70">
        <f>J38*Price</f>
        <v>3617211.7954534492</v>
      </c>
      <c r="M38" s="445"/>
      <c r="N38" s="57" t="s">
        <v>31</v>
      </c>
      <c r="O38" s="72">
        <f t="shared" ref="O38:AC38" si="39">$G27*O$32/1000000</f>
        <v>1.6336202531645572E-2</v>
      </c>
      <c r="P38" s="72">
        <f t="shared" si="39"/>
        <v>0.15519392405063293</v>
      </c>
      <c r="Q38" s="72">
        <f t="shared" si="39"/>
        <v>0.57176708860759495</v>
      </c>
      <c r="R38" s="72">
        <f t="shared" si="39"/>
        <v>7.3921316455696204E-2</v>
      </c>
      <c r="S38" s="72">
        <f t="shared" si="39"/>
        <v>4.0840506329113929E-2</v>
      </c>
      <c r="T38" s="72">
        <f t="shared" si="39"/>
        <v>4.0840506329113929E-2</v>
      </c>
      <c r="U38" s="72">
        <f t="shared" si="39"/>
        <v>4.0840506329113929E-2</v>
      </c>
      <c r="V38" s="72">
        <f t="shared" si="39"/>
        <v>4.0840506329113929E-2</v>
      </c>
      <c r="W38" s="72">
        <f t="shared" si="39"/>
        <v>4.0840506329113929E-2</v>
      </c>
      <c r="X38" s="72">
        <f t="shared" si="39"/>
        <v>4.0840506329113929E-2</v>
      </c>
      <c r="Y38" s="72">
        <f t="shared" si="39"/>
        <v>4.0840506329113929E-2</v>
      </c>
      <c r="Z38" s="72">
        <f t="shared" si="39"/>
        <v>4.0840506329113929E-2</v>
      </c>
      <c r="AA38" s="72">
        <f t="shared" si="39"/>
        <v>4.0840506329113929E-2</v>
      </c>
      <c r="AB38" s="72">
        <f t="shared" si="39"/>
        <v>4.0840506329113929E-2</v>
      </c>
      <c r="AC38" s="72">
        <f t="shared" si="39"/>
        <v>4.0840506329113929E-2</v>
      </c>
      <c r="AD38" s="72">
        <f t="shared" ref="AD38:AF38" si="40">$G27*AD$32/1000000</f>
        <v>4.0840506329113929E-2</v>
      </c>
      <c r="AE38" s="72">
        <f t="shared" si="40"/>
        <v>4.0840506329113929E-2</v>
      </c>
      <c r="AF38" s="88">
        <f t="shared" si="40"/>
        <v>4.0840506329113929E-2</v>
      </c>
    </row>
    <row r="39" spans="2:32">
      <c r="B39" s="57">
        <v>6</v>
      </c>
      <c r="C39" s="58" t="s">
        <v>31</v>
      </c>
      <c r="D39" s="64">
        <f>0.2*F45</f>
        <v>2080</v>
      </c>
      <c r="E39" s="64">
        <f>D39</f>
        <v>2080</v>
      </c>
      <c r="F39" s="53">
        <f>D39</f>
        <v>2080</v>
      </c>
      <c r="G39" s="54">
        <f t="shared" si="29"/>
        <v>3.8554216867469883E-2</v>
      </c>
      <c r="H39" s="62">
        <f t="shared" si="30"/>
        <v>2080000</v>
      </c>
      <c r="I39" s="62">
        <f t="shared" si="31"/>
        <v>2080000</v>
      </c>
      <c r="J39" s="62">
        <f t="shared" si="32"/>
        <v>2080000</v>
      </c>
      <c r="K39" s="70">
        <f>J39*Price</f>
        <v>2080000</v>
      </c>
      <c r="M39" s="89"/>
      <c r="N39" s="83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91"/>
    </row>
    <row r="40" spans="2:32">
      <c r="B40" s="4" t="s">
        <v>45</v>
      </c>
      <c r="C40" s="36" t="s">
        <v>60</v>
      </c>
      <c r="D40" s="47">
        <v>1265.5908211203439</v>
      </c>
      <c r="E40" s="47">
        <v>1089.421570030788</v>
      </c>
      <c r="F40" s="48">
        <f t="shared" si="28"/>
        <v>1177.5061955755659</v>
      </c>
      <c r="G40" s="49">
        <f>F40/$F$46</f>
        <v>2.182587943606239E-2</v>
      </c>
      <c r="H40" s="79">
        <f>D40*1000</f>
        <v>1265590.8211203439</v>
      </c>
      <c r="I40" s="79">
        <f t="shared" si="31"/>
        <v>1089421.570030788</v>
      </c>
      <c r="J40" s="79">
        <f t="shared" si="32"/>
        <v>1177506.195575566</v>
      </c>
      <c r="K40" s="80"/>
      <c r="M40" s="89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90"/>
    </row>
    <row r="41" spans="2:32">
      <c r="B41" s="4" t="s">
        <v>45</v>
      </c>
      <c r="C41" s="36" t="s">
        <v>85</v>
      </c>
      <c r="D41" s="47">
        <v>5198.3593727033558</v>
      </c>
      <c r="E41" s="47">
        <v>4474.7518193767328</v>
      </c>
      <c r="F41" s="48">
        <f t="shared" si="28"/>
        <v>4836.5555960400443</v>
      </c>
      <c r="G41" s="49">
        <f t="shared" si="29"/>
        <v>8.964885256793409E-2</v>
      </c>
      <c r="H41" s="79">
        <f t="shared" ref="H41:H42" si="41">D41*1000</f>
        <v>5198359.3727033557</v>
      </c>
      <c r="I41" s="79">
        <f t="shared" ref="I41:I42" si="42">E41*1000</f>
        <v>4474751.8193767332</v>
      </c>
      <c r="J41" s="79">
        <f t="shared" ref="J41:J42" si="43">F41*1000</f>
        <v>4836555.596040044</v>
      </c>
      <c r="K41" s="80"/>
      <c r="L41" s="80"/>
      <c r="M41" s="445" t="s">
        <v>97</v>
      </c>
      <c r="N41" s="57" t="s">
        <v>42</v>
      </c>
      <c r="O41" s="72">
        <f>O25-O33</f>
        <v>-6.3110759493670884E-2</v>
      </c>
      <c r="P41" s="72">
        <f t="shared" ref="P41:AC41" si="44">P25-P33</f>
        <v>-0.59955221518987334</v>
      </c>
      <c r="Q41" s="72">
        <f t="shared" si="44"/>
        <v>-2.2088765822784806</v>
      </c>
      <c r="R41" s="72">
        <f t="shared" si="44"/>
        <v>-5.9722222305453321E-2</v>
      </c>
      <c r="S41" s="72">
        <f t="shared" si="44"/>
        <v>0.29393103007263766</v>
      </c>
      <c r="T41" s="72">
        <f t="shared" si="44"/>
        <v>0.5197849944760452</v>
      </c>
      <c r="U41" s="72">
        <f t="shared" si="44"/>
        <v>0.5197849944760452</v>
      </c>
      <c r="V41" s="72">
        <f t="shared" si="44"/>
        <v>0.5197849944760452</v>
      </c>
      <c r="W41" s="72">
        <f t="shared" si="44"/>
        <v>0.5197849944760452</v>
      </c>
      <c r="X41" s="72">
        <f t="shared" si="44"/>
        <v>0.5197849944760452</v>
      </c>
      <c r="Y41" s="72">
        <f t="shared" si="44"/>
        <v>0.5197849944760452</v>
      </c>
      <c r="Z41" s="72">
        <f t="shared" si="44"/>
        <v>0.5197849944760452</v>
      </c>
      <c r="AA41" s="72">
        <f t="shared" si="44"/>
        <v>0.5197849944760452</v>
      </c>
      <c r="AB41" s="72">
        <f t="shared" si="44"/>
        <v>0.5197849944760452</v>
      </c>
      <c r="AC41" s="72">
        <f t="shared" si="44"/>
        <v>0.5197849944760452</v>
      </c>
      <c r="AD41" s="72">
        <f t="shared" ref="AD41:AF41" si="45">AD25-AD33</f>
        <v>0.5197849944760452</v>
      </c>
      <c r="AE41" s="72">
        <f t="shared" si="45"/>
        <v>0.5197849944760452</v>
      </c>
      <c r="AF41" s="88">
        <f t="shared" si="45"/>
        <v>0.5197849944760452</v>
      </c>
    </row>
    <row r="42" spans="2:32">
      <c r="B42" s="4" t="s">
        <v>45</v>
      </c>
      <c r="C42" s="36" t="s">
        <v>59</v>
      </c>
      <c r="D42" s="47">
        <v>11171.656661353647</v>
      </c>
      <c r="E42" s="47">
        <v>9616.5708037317581</v>
      </c>
      <c r="F42" s="48">
        <f t="shared" si="28"/>
        <v>10394.113732542703</v>
      </c>
      <c r="G42" s="49">
        <f t="shared" si="29"/>
        <v>0.19266197836038373</v>
      </c>
      <c r="H42" s="79">
        <f t="shared" si="41"/>
        <v>11171656.661353648</v>
      </c>
      <c r="I42" s="79">
        <f t="shared" si="42"/>
        <v>9616570.8037317581</v>
      </c>
      <c r="J42" s="79">
        <f t="shared" si="43"/>
        <v>10394113.732542703</v>
      </c>
      <c r="K42" s="80"/>
      <c r="L42" s="80"/>
      <c r="M42" s="445"/>
      <c r="N42" s="57" t="s">
        <v>23</v>
      </c>
      <c r="O42" s="72">
        <f t="shared" ref="O42:AC42" si="46">O26-O34</f>
        <v>-1.5753101265822786E-2</v>
      </c>
      <c r="P42" s="72">
        <f t="shared" si="46"/>
        <v>-0.14965446202531646</v>
      </c>
      <c r="Q42" s="72">
        <f t="shared" si="46"/>
        <v>-0.55135854430379738</v>
      </c>
      <c r="R42" s="72">
        <f t="shared" si="46"/>
        <v>0.32225335960166612</v>
      </c>
      <c r="S42" s="72">
        <f t="shared" si="46"/>
        <v>0.74768953249447145</v>
      </c>
      <c r="T42" s="72">
        <f t="shared" si="46"/>
        <v>1.1412256753239858</v>
      </c>
      <c r="U42" s="72">
        <f t="shared" si="46"/>
        <v>1.1412256753239858</v>
      </c>
      <c r="V42" s="72">
        <f t="shared" si="46"/>
        <v>1.1412256753239858</v>
      </c>
      <c r="W42" s="72">
        <f t="shared" si="46"/>
        <v>1.1412256753239858</v>
      </c>
      <c r="X42" s="72">
        <f t="shared" si="46"/>
        <v>1.1412256753239858</v>
      </c>
      <c r="Y42" s="72">
        <f t="shared" si="46"/>
        <v>1.1412256753239858</v>
      </c>
      <c r="Z42" s="72">
        <f t="shared" si="46"/>
        <v>1.1412256753239858</v>
      </c>
      <c r="AA42" s="72">
        <f t="shared" si="46"/>
        <v>1.1412256753239858</v>
      </c>
      <c r="AB42" s="72">
        <f t="shared" si="46"/>
        <v>1.1412256753239858</v>
      </c>
      <c r="AC42" s="72">
        <f t="shared" si="46"/>
        <v>1.1412256753239858</v>
      </c>
      <c r="AD42" s="72">
        <f t="shared" ref="AD42:AF42" si="47">AD26-AD34</f>
        <v>1.1412256753239858</v>
      </c>
      <c r="AE42" s="72">
        <f t="shared" si="47"/>
        <v>1.1412256753239858</v>
      </c>
      <c r="AF42" s="88">
        <f t="shared" si="47"/>
        <v>1.1412256753239858</v>
      </c>
    </row>
    <row r="43" spans="2:32">
      <c r="B43" s="4" t="s">
        <v>45</v>
      </c>
      <c r="C43" s="134" t="s">
        <v>64</v>
      </c>
      <c r="D43" s="454"/>
      <c r="E43" s="454"/>
      <c r="F43" s="48">
        <f>F46-SUM(F34:F42)</f>
        <v>8148.4122947693395</v>
      </c>
      <c r="G43" s="49">
        <f>F43/$F$46</f>
        <v>0.15103637247023799</v>
      </c>
      <c r="H43" s="16"/>
      <c r="I43" s="16"/>
      <c r="M43" s="445"/>
      <c r="N43" s="57" t="s">
        <v>27</v>
      </c>
      <c r="O43" s="72">
        <f t="shared" ref="O43:AC43" si="48">O27-O35</f>
        <v>-1.5753101265822786E-2</v>
      </c>
      <c r="P43" s="72">
        <f t="shared" si="48"/>
        <v>-0.14965446202531646</v>
      </c>
      <c r="Q43" s="72">
        <f t="shared" si="48"/>
        <v>-0.55135854430379738</v>
      </c>
      <c r="R43" s="72">
        <f t="shared" si="48"/>
        <v>0.51935240697535956</v>
      </c>
      <c r="S43" s="72">
        <f t="shared" si="48"/>
        <v>1.1418876272418583</v>
      </c>
      <c r="T43" s="72">
        <f t="shared" si="48"/>
        <v>1.7325228174450664</v>
      </c>
      <c r="U43" s="72">
        <f t="shared" si="48"/>
        <v>1.7325228174450664</v>
      </c>
      <c r="V43" s="72">
        <f t="shared" si="48"/>
        <v>1.7325228174450664</v>
      </c>
      <c r="W43" s="72">
        <f t="shared" si="48"/>
        <v>1.7325228174450664</v>
      </c>
      <c r="X43" s="72">
        <f t="shared" si="48"/>
        <v>1.7325228174450664</v>
      </c>
      <c r="Y43" s="72">
        <f t="shared" si="48"/>
        <v>1.7325228174450664</v>
      </c>
      <c r="Z43" s="72">
        <f t="shared" si="48"/>
        <v>1.7325228174450664</v>
      </c>
      <c r="AA43" s="72">
        <f t="shared" si="48"/>
        <v>1.7325228174450664</v>
      </c>
      <c r="AB43" s="72">
        <f t="shared" si="48"/>
        <v>1.7325228174450664</v>
      </c>
      <c r="AC43" s="72">
        <f t="shared" si="48"/>
        <v>1.7325228174450664</v>
      </c>
      <c r="AD43" s="72">
        <f t="shared" ref="AD43:AF43" si="49">AD27-AD35</f>
        <v>1.7325228174450664</v>
      </c>
      <c r="AE43" s="72">
        <f t="shared" si="49"/>
        <v>1.7325228174450664</v>
      </c>
      <c r="AF43" s="88">
        <f t="shared" si="49"/>
        <v>1.7325228174450664</v>
      </c>
    </row>
    <row r="44" spans="2:32">
      <c r="B44" s="4" t="s">
        <v>45</v>
      </c>
      <c r="C44" s="134" t="s">
        <v>66</v>
      </c>
      <c r="D44" s="454"/>
      <c r="E44" s="454"/>
      <c r="F44" s="48">
        <f>0.67*F47</f>
        <v>43550</v>
      </c>
      <c r="G44" s="49">
        <f t="shared" ref="G44:G46" si="50">F44/$F$46</f>
        <v>0.80722891566265065</v>
      </c>
      <c r="H44" s="16"/>
      <c r="I44" s="16"/>
      <c r="M44" s="445"/>
      <c r="N44" s="57" t="s">
        <v>29</v>
      </c>
      <c r="O44" s="72">
        <f t="shared" ref="O44:AC44" si="51">O28-O36</f>
        <v>-7.6974050632911397E-3</v>
      </c>
      <c r="P44" s="72">
        <f t="shared" si="51"/>
        <v>-7.3125348101265836E-2</v>
      </c>
      <c r="Q44" s="72">
        <f t="shared" si="51"/>
        <v>-0.26940917721518987</v>
      </c>
      <c r="R44" s="72">
        <f t="shared" si="51"/>
        <v>0.10796810165744673</v>
      </c>
      <c r="S44" s="72">
        <f t="shared" si="51"/>
        <v>0.26635420647945041</v>
      </c>
      <c r="T44" s="72">
        <f t="shared" si="51"/>
        <v>0.40915306604828972</v>
      </c>
      <c r="U44" s="72">
        <f t="shared" si="51"/>
        <v>0.40915306604828972</v>
      </c>
      <c r="V44" s="72">
        <f t="shared" si="51"/>
        <v>0.40915306604828972</v>
      </c>
      <c r="W44" s="72">
        <f t="shared" si="51"/>
        <v>0.40915306604828972</v>
      </c>
      <c r="X44" s="72">
        <f t="shared" si="51"/>
        <v>0.40915306604828972</v>
      </c>
      <c r="Y44" s="72">
        <f t="shared" si="51"/>
        <v>0.40915306604828972</v>
      </c>
      <c r="Z44" s="72">
        <f t="shared" si="51"/>
        <v>0.40915306604828972</v>
      </c>
      <c r="AA44" s="72">
        <f t="shared" si="51"/>
        <v>0.40915306604828972</v>
      </c>
      <c r="AB44" s="72">
        <f t="shared" si="51"/>
        <v>0.40915306604828972</v>
      </c>
      <c r="AC44" s="72">
        <f t="shared" si="51"/>
        <v>0.40915306604828972</v>
      </c>
      <c r="AD44" s="72">
        <f t="shared" ref="AD44:AF44" si="52">AD28-AD36</f>
        <v>0.40915306604828972</v>
      </c>
      <c r="AE44" s="72">
        <f t="shared" si="52"/>
        <v>0.40915306604828972</v>
      </c>
      <c r="AF44" s="88">
        <f t="shared" si="52"/>
        <v>0.40915306604828972</v>
      </c>
    </row>
    <row r="45" spans="2:32">
      <c r="B45" s="4" t="s">
        <v>45</v>
      </c>
      <c r="C45" s="134" t="s">
        <v>67</v>
      </c>
      <c r="D45" s="454"/>
      <c r="E45" s="454"/>
      <c r="F45" s="48">
        <f>0.16*F47</f>
        <v>10400</v>
      </c>
      <c r="G45" s="49">
        <f t="shared" si="50"/>
        <v>0.19277108433734941</v>
      </c>
      <c r="H45" s="16"/>
      <c r="I45" s="16"/>
      <c r="M45" s="445"/>
      <c r="N45" s="57" t="s">
        <v>35</v>
      </c>
      <c r="O45" s="72">
        <f t="shared" ref="O45:AC45" si="53">O29-O37</f>
        <v>-2.9349430379746841E-2</v>
      </c>
      <c r="P45" s="72">
        <f t="shared" si="53"/>
        <v>-0.27881958860759504</v>
      </c>
      <c r="Q45" s="72">
        <f t="shared" si="53"/>
        <v>-1.0272300632911393</v>
      </c>
      <c r="R45" s="72">
        <f t="shared" si="53"/>
        <v>4.8054417304317948E-2</v>
      </c>
      <c r="S45" s="72">
        <f t="shared" si="53"/>
        <v>0.28834760359597772</v>
      </c>
      <c r="T45" s="72">
        <f t="shared" si="53"/>
        <v>0.46920819336865027</v>
      </c>
      <c r="U45" s="72">
        <f t="shared" si="53"/>
        <v>0.46920819336865027</v>
      </c>
      <c r="V45" s="72">
        <f t="shared" si="53"/>
        <v>0.46920819336865027</v>
      </c>
      <c r="W45" s="72">
        <f t="shared" si="53"/>
        <v>0.46920819336865027</v>
      </c>
      <c r="X45" s="72">
        <f t="shared" si="53"/>
        <v>0.46920819336865027</v>
      </c>
      <c r="Y45" s="72">
        <f t="shared" si="53"/>
        <v>0.46920819336865027</v>
      </c>
      <c r="Z45" s="72">
        <f t="shared" si="53"/>
        <v>0.46920819336865027</v>
      </c>
      <c r="AA45" s="72">
        <f t="shared" si="53"/>
        <v>0.46920819336865027</v>
      </c>
      <c r="AB45" s="72">
        <f t="shared" si="53"/>
        <v>0.46920819336865027</v>
      </c>
      <c r="AC45" s="72">
        <f t="shared" si="53"/>
        <v>0.46920819336865027</v>
      </c>
      <c r="AD45" s="72">
        <f t="shared" ref="AD45:AF45" si="54">AD29-AD37</f>
        <v>0.46920819336865027</v>
      </c>
      <c r="AE45" s="72">
        <f t="shared" si="54"/>
        <v>0.46920819336865027</v>
      </c>
      <c r="AF45" s="88">
        <f t="shared" si="54"/>
        <v>0.46920819336865027</v>
      </c>
    </row>
    <row r="46" spans="2:32">
      <c r="B46" s="4" t="s">
        <v>45</v>
      </c>
      <c r="C46" s="52" t="s">
        <v>65</v>
      </c>
      <c r="D46" s="454"/>
      <c r="E46" s="454"/>
      <c r="F46" s="50">
        <f>SUM(F44:F45)</f>
        <v>53950</v>
      </c>
      <c r="G46" s="51">
        <f t="shared" si="50"/>
        <v>1</v>
      </c>
      <c r="H46" s="52"/>
      <c r="I46" s="52"/>
      <c r="M46" s="445"/>
      <c r="N46" s="57" t="s">
        <v>31</v>
      </c>
      <c r="O46" s="72">
        <f t="shared" ref="O46:AC46" si="55">O30-O38</f>
        <v>-1.6336202531645572E-2</v>
      </c>
      <c r="P46" s="72">
        <f t="shared" si="55"/>
        <v>-0.15519392405063293</v>
      </c>
      <c r="Q46" s="72">
        <f t="shared" si="55"/>
        <v>-0.57176708860759495</v>
      </c>
      <c r="R46" s="72">
        <f t="shared" si="55"/>
        <v>3.0078683544303778E-2</v>
      </c>
      <c r="S46" s="72">
        <f t="shared" si="55"/>
        <v>0.16715949367088603</v>
      </c>
      <c r="T46" s="72">
        <f t="shared" si="55"/>
        <v>0.2711594936708861</v>
      </c>
      <c r="U46" s="72">
        <f t="shared" si="55"/>
        <v>0.2711594936708861</v>
      </c>
      <c r="V46" s="72">
        <f t="shared" si="55"/>
        <v>0.2711594936708861</v>
      </c>
      <c r="W46" s="72">
        <f t="shared" si="55"/>
        <v>0.2711594936708861</v>
      </c>
      <c r="X46" s="72">
        <f t="shared" si="55"/>
        <v>0.2711594936708861</v>
      </c>
      <c r="Y46" s="72">
        <f t="shared" si="55"/>
        <v>0.2711594936708861</v>
      </c>
      <c r="Z46" s="72">
        <f t="shared" si="55"/>
        <v>0.2711594936708861</v>
      </c>
      <c r="AA46" s="72">
        <f t="shared" si="55"/>
        <v>0.2711594936708861</v>
      </c>
      <c r="AB46" s="72">
        <f t="shared" si="55"/>
        <v>0.2711594936708861</v>
      </c>
      <c r="AC46" s="72">
        <f t="shared" si="55"/>
        <v>0.2711594936708861</v>
      </c>
      <c r="AD46" s="72">
        <f t="shared" ref="AD46:AF46" si="56">AD30-AD38</f>
        <v>0.2711594936708861</v>
      </c>
      <c r="AE46" s="72">
        <f t="shared" si="56"/>
        <v>0.2711594936708861</v>
      </c>
      <c r="AF46" s="88">
        <f t="shared" si="56"/>
        <v>0.2711594936708861</v>
      </c>
    </row>
    <row r="47" spans="2:32">
      <c r="B47" s="40" t="s">
        <v>45</v>
      </c>
      <c r="C47" s="134" t="s">
        <v>68</v>
      </c>
      <c r="D47" s="454"/>
      <c r="E47" s="454"/>
      <c r="F47" s="48">
        <v>65000</v>
      </c>
      <c r="G47" s="46"/>
      <c r="H47" s="16"/>
      <c r="I47" s="16"/>
      <c r="M47" s="89"/>
      <c r="N47" s="57" t="s">
        <v>49</v>
      </c>
      <c r="O47" s="72">
        <f>SUM(O41:O46)</f>
        <v>-0.14800000000000002</v>
      </c>
      <c r="P47" s="72">
        <f t="shared" ref="P47:AC47" si="57">SUM(P41:P46)</f>
        <v>-1.4060000000000001</v>
      </c>
      <c r="Q47" s="72">
        <f t="shared" si="57"/>
        <v>-5.18</v>
      </c>
      <c r="R47" s="72">
        <f t="shared" si="57"/>
        <v>0.96798474677764079</v>
      </c>
      <c r="S47" s="72">
        <f t="shared" si="57"/>
        <v>2.9053694935552814</v>
      </c>
      <c r="T47" s="72">
        <f t="shared" si="57"/>
        <v>4.5430542403329239</v>
      </c>
      <c r="U47" s="72">
        <f t="shared" si="57"/>
        <v>4.5430542403329239</v>
      </c>
      <c r="V47" s="72">
        <f t="shared" si="57"/>
        <v>4.5430542403329239</v>
      </c>
      <c r="W47" s="72">
        <f t="shared" si="57"/>
        <v>4.5430542403329239</v>
      </c>
      <c r="X47" s="72">
        <f t="shared" si="57"/>
        <v>4.5430542403329239</v>
      </c>
      <c r="Y47" s="72">
        <f t="shared" si="57"/>
        <v>4.5430542403329239</v>
      </c>
      <c r="Z47" s="72">
        <f t="shared" si="57"/>
        <v>4.5430542403329239</v>
      </c>
      <c r="AA47" s="72">
        <f t="shared" si="57"/>
        <v>4.5430542403329239</v>
      </c>
      <c r="AB47" s="72">
        <f t="shared" si="57"/>
        <v>4.5430542403329239</v>
      </c>
      <c r="AC47" s="72">
        <f t="shared" si="57"/>
        <v>4.5430542403329239</v>
      </c>
      <c r="AD47" s="72">
        <f t="shared" ref="AD47:AF47" si="58">SUM(AD41:AD46)</f>
        <v>4.5430542403329239</v>
      </c>
      <c r="AE47" s="72">
        <f t="shared" si="58"/>
        <v>4.5430542403329239</v>
      </c>
      <c r="AF47" s="88">
        <f t="shared" si="58"/>
        <v>4.5430542403329239</v>
      </c>
    </row>
    <row r="48" spans="2:32">
      <c r="B48" s="40"/>
      <c r="C48" s="45"/>
      <c r="D48" s="42"/>
      <c r="E48" s="42"/>
      <c r="F48" s="81"/>
      <c r="G48" s="82"/>
      <c r="H48" s="83"/>
      <c r="I48" s="83"/>
      <c r="M48" s="89"/>
      <c r="N48" s="40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91"/>
    </row>
    <row r="49" spans="2:32">
      <c r="B49" s="40"/>
      <c r="C49" s="45"/>
      <c r="D49" s="4"/>
      <c r="E49" s="4"/>
      <c r="G49" s="44"/>
      <c r="M49" s="89"/>
      <c r="N49" s="83"/>
      <c r="O49" s="41" t="s">
        <v>233</v>
      </c>
      <c r="P49" s="73" t="s">
        <v>234</v>
      </c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90"/>
    </row>
    <row r="50" spans="2:32">
      <c r="B50" t="s">
        <v>61</v>
      </c>
      <c r="M50" s="445" t="s">
        <v>99</v>
      </c>
      <c r="N50" s="57" t="s">
        <v>42</v>
      </c>
      <c r="O50" s="75">
        <f>IRR(O41:AF41)</f>
        <v>0.11396570357482627</v>
      </c>
      <c r="P50" s="76">
        <f>NPV(0.06,O41:AC41)</f>
        <v>0.58334140827597358</v>
      </c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90"/>
    </row>
    <row r="51" spans="2:32">
      <c r="M51" s="445"/>
      <c r="N51" s="57" t="s">
        <v>23</v>
      </c>
      <c r="O51" s="75">
        <f t="shared" ref="O51:O55" si="59">IRR(O42:AF42)</f>
        <v>0.7865341557228207</v>
      </c>
      <c r="P51" s="76">
        <f t="shared" ref="P51:P55" si="60">NPV(0.06,O42:AC42)</f>
        <v>6.4795975416920282</v>
      </c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90"/>
    </row>
    <row r="52" spans="2:32">
      <c r="M52" s="445"/>
      <c r="N52" s="57" t="s">
        <v>27</v>
      </c>
      <c r="O52" s="75">
        <f t="shared" si="59"/>
        <v>1.0450942597497441</v>
      </c>
      <c r="P52" s="76">
        <f t="shared" si="60"/>
        <v>10.182352598215454</v>
      </c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90"/>
    </row>
    <row r="53" spans="2:32">
      <c r="M53" s="445"/>
      <c r="N53" s="57" t="s">
        <v>29</v>
      </c>
      <c r="O53" s="75">
        <f t="shared" si="59"/>
        <v>0.63153329439160677</v>
      </c>
      <c r="P53" s="76">
        <f t="shared" si="60"/>
        <v>2.2363069576167875</v>
      </c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90"/>
    </row>
    <row r="54" spans="2:32">
      <c r="M54" s="445"/>
      <c r="N54" s="57" t="s">
        <v>35</v>
      </c>
      <c r="O54" s="75">
        <f t="shared" si="59"/>
        <v>0.24030753536606997</v>
      </c>
      <c r="P54" s="76">
        <f t="shared" si="60"/>
        <v>1.6958061499140018</v>
      </c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90"/>
    </row>
    <row r="55" spans="2:32">
      <c r="M55" s="445"/>
      <c r="N55" s="57" t="s">
        <v>31</v>
      </c>
      <c r="O55" s="75">
        <f t="shared" si="59"/>
        <v>0.24884849220325944</v>
      </c>
      <c r="P55" s="76">
        <f t="shared" si="60"/>
        <v>1.0064822943841654</v>
      </c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90"/>
    </row>
    <row r="56" spans="2:32" ht="15.75" thickBot="1">
      <c r="M56" s="92"/>
      <c r="N56" s="93" t="s">
        <v>49</v>
      </c>
      <c r="O56" s="94">
        <f>IRR(O47:AF47)</f>
        <v>0.41816130931332807</v>
      </c>
      <c r="P56" s="95">
        <f>NPV(0.06,O47:AF47)</f>
        <v>27.251002910990547</v>
      </c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7"/>
    </row>
    <row r="58" spans="2:32" ht="15.75" thickBot="1">
      <c r="J58" s="4" t="s">
        <v>102</v>
      </c>
      <c r="K58" s="39" t="s">
        <v>101</v>
      </c>
      <c r="R58" s="34">
        <v>0.33</v>
      </c>
      <c r="S58" s="34">
        <v>0.67</v>
      </c>
      <c r="T58" s="34">
        <v>1</v>
      </c>
    </row>
    <row r="59" spans="2:32" ht="15" customHeight="1">
      <c r="J59" s="57" t="s">
        <v>42</v>
      </c>
      <c r="K59" s="103">
        <v>0.1151004994750781</v>
      </c>
      <c r="M59" s="446" t="s">
        <v>98</v>
      </c>
      <c r="N59" s="85" t="s">
        <v>42</v>
      </c>
      <c r="O59" s="86">
        <f>$K34/1000000*0</f>
        <v>0</v>
      </c>
      <c r="P59" s="86">
        <f>$K34/1000000*0</f>
        <v>0</v>
      </c>
      <c r="Q59" s="86">
        <f>$K34/1000000*0</f>
        <v>0</v>
      </c>
      <c r="R59" s="86">
        <f>$K34/1000000*0.33*$K59</f>
        <v>0.1715729671343075</v>
      </c>
      <c r="S59" s="86">
        <f>$K34/1000000*0.67*$K59</f>
        <v>0.34834511509086674</v>
      </c>
      <c r="T59" s="86">
        <f>$K34/1000000*1*$K59</f>
        <v>0.51991808222517422</v>
      </c>
      <c r="U59" s="86">
        <f>T59</f>
        <v>0.51991808222517422</v>
      </c>
      <c r="V59" s="86">
        <f t="shared" ref="V59:AC59" si="61">U59</f>
        <v>0.51991808222517422</v>
      </c>
      <c r="W59" s="86">
        <f t="shared" si="61"/>
        <v>0.51991808222517422</v>
      </c>
      <c r="X59" s="86">
        <f t="shared" si="61"/>
        <v>0.51991808222517422</v>
      </c>
      <c r="Y59" s="86">
        <f t="shared" si="61"/>
        <v>0.51991808222517422</v>
      </c>
      <c r="Z59" s="86">
        <f t="shared" si="61"/>
        <v>0.51991808222517422</v>
      </c>
      <c r="AA59" s="86">
        <f t="shared" si="61"/>
        <v>0.51991808222517422</v>
      </c>
      <c r="AB59" s="86">
        <f t="shared" si="61"/>
        <v>0.51991808222517422</v>
      </c>
      <c r="AC59" s="87">
        <f t="shared" si="61"/>
        <v>0.51991808222517422</v>
      </c>
      <c r="AD59" s="87">
        <f t="shared" ref="AD59:AD64" si="62">AC59</f>
        <v>0.51991808222517422</v>
      </c>
      <c r="AE59" s="87">
        <f t="shared" ref="AE59:AE64" si="63">AD59</f>
        <v>0.51991808222517422</v>
      </c>
      <c r="AF59" s="87">
        <f t="shared" ref="AF59:AF64" si="64">AE59</f>
        <v>0.51991808222517422</v>
      </c>
    </row>
    <row r="60" spans="2:32">
      <c r="J60" s="57" t="s">
        <v>23</v>
      </c>
      <c r="K60" s="103">
        <v>1.649544928142798E-2</v>
      </c>
      <c r="M60" s="445"/>
      <c r="N60" s="57" t="s">
        <v>23</v>
      </c>
      <c r="O60" s="72">
        <f t="shared" ref="O60:Q60" si="65">$K35/1000000*0</f>
        <v>0</v>
      </c>
      <c r="P60" s="72">
        <f t="shared" si="65"/>
        <v>0</v>
      </c>
      <c r="Q60" s="72">
        <f t="shared" si="65"/>
        <v>0</v>
      </c>
      <c r="R60" s="72">
        <f t="shared" ref="R60:R64" si="66">$K35/1000000*0.33*$K60</f>
        <v>4.2844266197390138E-2</v>
      </c>
      <c r="S60" s="72">
        <f t="shared" ref="S60:S64" si="67">$K35/1000000*0.67*$K60</f>
        <v>8.6986843491670879E-2</v>
      </c>
      <c r="T60" s="72">
        <f t="shared" ref="T60:T64" si="68">$K35/1000000*1*$K60</f>
        <v>0.129831109689061</v>
      </c>
      <c r="U60" s="72">
        <f t="shared" ref="U60:AC60" si="69">T60</f>
        <v>0.129831109689061</v>
      </c>
      <c r="V60" s="72">
        <f t="shared" si="69"/>
        <v>0.129831109689061</v>
      </c>
      <c r="W60" s="72">
        <f t="shared" si="69"/>
        <v>0.129831109689061</v>
      </c>
      <c r="X60" s="72">
        <f t="shared" si="69"/>
        <v>0.129831109689061</v>
      </c>
      <c r="Y60" s="72">
        <f t="shared" si="69"/>
        <v>0.129831109689061</v>
      </c>
      <c r="Z60" s="72">
        <f t="shared" si="69"/>
        <v>0.129831109689061</v>
      </c>
      <c r="AA60" s="72">
        <f t="shared" si="69"/>
        <v>0.129831109689061</v>
      </c>
      <c r="AB60" s="72">
        <f t="shared" si="69"/>
        <v>0.129831109689061</v>
      </c>
      <c r="AC60" s="88">
        <f t="shared" si="69"/>
        <v>0.129831109689061</v>
      </c>
      <c r="AD60" s="88">
        <f t="shared" si="62"/>
        <v>0.129831109689061</v>
      </c>
      <c r="AE60" s="88">
        <f t="shared" si="63"/>
        <v>0.129831109689061</v>
      </c>
      <c r="AF60" s="88">
        <f t="shared" si="64"/>
        <v>0.129831109689061</v>
      </c>
    </row>
    <row r="61" spans="2:32">
      <c r="J61" s="57" t="s">
        <v>27</v>
      </c>
      <c r="K61" s="103">
        <v>1.0990803785699992E-2</v>
      </c>
      <c r="M61" s="445"/>
      <c r="N61" s="57" t="s">
        <v>27</v>
      </c>
      <c r="O61" s="72">
        <f t="shared" ref="O61:Q61" si="70">$K36/1000000*0</f>
        <v>0</v>
      </c>
      <c r="P61" s="72">
        <f t="shared" si="70"/>
        <v>0</v>
      </c>
      <c r="Q61" s="72">
        <f t="shared" si="70"/>
        <v>0</v>
      </c>
      <c r="R61" s="72">
        <f t="shared" si="66"/>
        <v>4.2844266197390138E-2</v>
      </c>
      <c r="S61" s="72">
        <f t="shared" si="67"/>
        <v>8.6986843491670893E-2</v>
      </c>
      <c r="T61" s="72">
        <f t="shared" si="68"/>
        <v>0.12983110968906103</v>
      </c>
      <c r="U61" s="72">
        <f t="shared" ref="U61:AC61" si="71">T61</f>
        <v>0.12983110968906103</v>
      </c>
      <c r="V61" s="72">
        <f t="shared" si="71"/>
        <v>0.12983110968906103</v>
      </c>
      <c r="W61" s="72">
        <f t="shared" si="71"/>
        <v>0.12983110968906103</v>
      </c>
      <c r="X61" s="72">
        <f t="shared" si="71"/>
        <v>0.12983110968906103</v>
      </c>
      <c r="Y61" s="72">
        <f t="shared" si="71"/>
        <v>0.12983110968906103</v>
      </c>
      <c r="Z61" s="72">
        <f t="shared" si="71"/>
        <v>0.12983110968906103</v>
      </c>
      <c r="AA61" s="72">
        <f t="shared" si="71"/>
        <v>0.12983110968906103</v>
      </c>
      <c r="AB61" s="72">
        <f t="shared" si="71"/>
        <v>0.12983110968906103</v>
      </c>
      <c r="AC61" s="88">
        <f t="shared" si="71"/>
        <v>0.12983110968906103</v>
      </c>
      <c r="AD61" s="88">
        <f t="shared" si="62"/>
        <v>0.12983110968906103</v>
      </c>
      <c r="AE61" s="88">
        <f t="shared" si="63"/>
        <v>0.12983110968906103</v>
      </c>
      <c r="AF61" s="88">
        <f t="shared" si="64"/>
        <v>0.12983110968906103</v>
      </c>
    </row>
    <row r="62" spans="2:32">
      <c r="J62" s="57" t="s">
        <v>29</v>
      </c>
      <c r="K62" s="103">
        <v>2.2212749081432118E-2</v>
      </c>
      <c r="M62" s="445"/>
      <c r="N62" s="57" t="s">
        <v>29</v>
      </c>
      <c r="O62" s="72">
        <f t="shared" ref="O62:Q62" si="72">$K37/1000000*0</f>
        <v>0</v>
      </c>
      <c r="P62" s="72">
        <f t="shared" si="72"/>
        <v>0</v>
      </c>
      <c r="Q62" s="72">
        <f t="shared" si="72"/>
        <v>0</v>
      </c>
      <c r="R62" s="72">
        <f t="shared" si="66"/>
        <v>2.093490456233409E-2</v>
      </c>
      <c r="S62" s="72">
        <f t="shared" si="67"/>
        <v>4.250420017201164E-2</v>
      </c>
      <c r="T62" s="72">
        <f t="shared" si="68"/>
        <v>6.3439104734345733E-2</v>
      </c>
      <c r="U62" s="72">
        <f t="shared" ref="U62:AC62" si="73">T62</f>
        <v>6.3439104734345733E-2</v>
      </c>
      <c r="V62" s="72">
        <f t="shared" si="73"/>
        <v>6.3439104734345733E-2</v>
      </c>
      <c r="W62" s="72">
        <f t="shared" si="73"/>
        <v>6.3439104734345733E-2</v>
      </c>
      <c r="X62" s="72">
        <f t="shared" si="73"/>
        <v>6.3439104734345733E-2</v>
      </c>
      <c r="Y62" s="72">
        <f t="shared" si="73"/>
        <v>6.3439104734345733E-2</v>
      </c>
      <c r="Z62" s="72">
        <f t="shared" si="73"/>
        <v>6.3439104734345733E-2</v>
      </c>
      <c r="AA62" s="72">
        <f t="shared" si="73"/>
        <v>6.3439104734345733E-2</v>
      </c>
      <c r="AB62" s="72">
        <f t="shared" si="73"/>
        <v>6.3439104734345733E-2</v>
      </c>
      <c r="AC62" s="88">
        <f t="shared" si="73"/>
        <v>6.3439104734345733E-2</v>
      </c>
      <c r="AD62" s="88">
        <f t="shared" si="62"/>
        <v>6.3439104734345733E-2</v>
      </c>
      <c r="AE62" s="88">
        <f t="shared" si="63"/>
        <v>6.3439104734345733E-2</v>
      </c>
      <c r="AF62" s="88">
        <f t="shared" si="64"/>
        <v>6.3439104734345733E-2</v>
      </c>
    </row>
    <row r="63" spans="2:32">
      <c r="J63" s="57" t="s">
        <v>35</v>
      </c>
      <c r="K63" s="103">
        <v>6.6871096228209831E-2</v>
      </c>
      <c r="M63" s="445"/>
      <c r="N63" s="57" t="s">
        <v>35</v>
      </c>
      <c r="O63" s="72">
        <f t="shared" ref="O63:Q63" si="74">$K38/1000000*0</f>
        <v>0</v>
      </c>
      <c r="P63" s="72">
        <f t="shared" si="74"/>
        <v>0</v>
      </c>
      <c r="Q63" s="72">
        <f t="shared" si="74"/>
        <v>0</v>
      </c>
      <c r="R63" s="72">
        <f t="shared" si="66"/>
        <v>7.9822682957022481E-2</v>
      </c>
      <c r="S63" s="72">
        <f t="shared" si="67"/>
        <v>0.16206423509456078</v>
      </c>
      <c r="T63" s="72">
        <f t="shared" si="68"/>
        <v>0.24188691805158324</v>
      </c>
      <c r="U63" s="72">
        <f t="shared" ref="U63:AC63" si="75">T63</f>
        <v>0.24188691805158324</v>
      </c>
      <c r="V63" s="72">
        <f t="shared" si="75"/>
        <v>0.24188691805158324</v>
      </c>
      <c r="W63" s="72">
        <f t="shared" si="75"/>
        <v>0.24188691805158324</v>
      </c>
      <c r="X63" s="72">
        <f t="shared" si="75"/>
        <v>0.24188691805158324</v>
      </c>
      <c r="Y63" s="72">
        <f t="shared" si="75"/>
        <v>0.24188691805158324</v>
      </c>
      <c r="Z63" s="72">
        <f t="shared" si="75"/>
        <v>0.24188691805158324</v>
      </c>
      <c r="AA63" s="72">
        <f t="shared" si="75"/>
        <v>0.24188691805158324</v>
      </c>
      <c r="AB63" s="72">
        <f t="shared" si="75"/>
        <v>0.24188691805158324</v>
      </c>
      <c r="AC63" s="88">
        <f t="shared" si="75"/>
        <v>0.24188691805158324</v>
      </c>
      <c r="AD63" s="88">
        <f t="shared" si="62"/>
        <v>0.24188691805158324</v>
      </c>
      <c r="AE63" s="88">
        <f t="shared" si="63"/>
        <v>0.24188691805158324</v>
      </c>
      <c r="AF63" s="88">
        <f t="shared" si="64"/>
        <v>0.24188691805158324</v>
      </c>
    </row>
    <row r="64" spans="2:32">
      <c r="J64" s="57" t="s">
        <v>31</v>
      </c>
      <c r="K64" s="103">
        <v>6.4729235599856577E-2</v>
      </c>
      <c r="M64" s="445"/>
      <c r="N64" s="57" t="s">
        <v>31</v>
      </c>
      <c r="O64" s="72">
        <f t="shared" ref="O64:Q64" si="76">$K39/1000000*0</f>
        <v>0</v>
      </c>
      <c r="P64" s="72">
        <f t="shared" si="76"/>
        <v>0</v>
      </c>
      <c r="Q64" s="72">
        <f t="shared" si="76"/>
        <v>0</v>
      </c>
      <c r="R64" s="72">
        <f t="shared" si="66"/>
        <v>4.4430147315741554E-2</v>
      </c>
      <c r="S64" s="72">
        <f t="shared" si="67"/>
        <v>9.0206662731960138E-2</v>
      </c>
      <c r="T64" s="72">
        <f t="shared" si="68"/>
        <v>0.13463681004770167</v>
      </c>
      <c r="U64" s="72">
        <f t="shared" ref="U64:AC64" si="77">T64</f>
        <v>0.13463681004770167</v>
      </c>
      <c r="V64" s="72">
        <f t="shared" si="77"/>
        <v>0.13463681004770167</v>
      </c>
      <c r="W64" s="72">
        <f t="shared" si="77"/>
        <v>0.13463681004770167</v>
      </c>
      <c r="X64" s="72">
        <f t="shared" si="77"/>
        <v>0.13463681004770167</v>
      </c>
      <c r="Y64" s="72">
        <f t="shared" si="77"/>
        <v>0.13463681004770167</v>
      </c>
      <c r="Z64" s="72">
        <f t="shared" si="77"/>
        <v>0.13463681004770167</v>
      </c>
      <c r="AA64" s="72">
        <f t="shared" si="77"/>
        <v>0.13463681004770167</v>
      </c>
      <c r="AB64" s="72">
        <f t="shared" si="77"/>
        <v>0.13463681004770167</v>
      </c>
      <c r="AC64" s="88">
        <f t="shared" si="77"/>
        <v>0.13463681004770167</v>
      </c>
      <c r="AD64" s="88">
        <f t="shared" si="62"/>
        <v>0.13463681004770167</v>
      </c>
      <c r="AE64" s="88">
        <f t="shared" si="63"/>
        <v>0.13463681004770167</v>
      </c>
      <c r="AF64" s="88">
        <f t="shared" si="64"/>
        <v>0.13463681004770167</v>
      </c>
    </row>
    <row r="65" spans="13:32">
      <c r="M65" s="89"/>
      <c r="N65" s="40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90"/>
    </row>
    <row r="66" spans="13:32">
      <c r="M66" s="89"/>
      <c r="N66" s="98" t="str">
        <f t="shared" ref="N66:AC66" si="78">N32</f>
        <v>(phasing)</v>
      </c>
      <c r="O66" s="99">
        <f t="shared" si="78"/>
        <v>0.02</v>
      </c>
      <c r="P66" s="99">
        <f t="shared" si="78"/>
        <v>0.19</v>
      </c>
      <c r="Q66" s="99">
        <f t="shared" si="78"/>
        <v>0.7</v>
      </c>
      <c r="R66" s="100">
        <f t="shared" si="78"/>
        <v>9.0499999999999997E-2</v>
      </c>
      <c r="S66" s="99">
        <f t="shared" si="78"/>
        <v>0.05</v>
      </c>
      <c r="T66" s="99">
        <f t="shared" si="78"/>
        <v>0.05</v>
      </c>
      <c r="U66" s="99">
        <f t="shared" si="78"/>
        <v>0.05</v>
      </c>
      <c r="V66" s="99">
        <f t="shared" si="78"/>
        <v>0.05</v>
      </c>
      <c r="W66" s="99">
        <f t="shared" si="78"/>
        <v>0.05</v>
      </c>
      <c r="X66" s="99">
        <f t="shared" si="78"/>
        <v>0.05</v>
      </c>
      <c r="Y66" s="99">
        <f t="shared" si="78"/>
        <v>0.05</v>
      </c>
      <c r="Z66" s="99">
        <f t="shared" si="78"/>
        <v>0.05</v>
      </c>
      <c r="AA66" s="99">
        <f t="shared" si="78"/>
        <v>0.05</v>
      </c>
      <c r="AB66" s="99">
        <f t="shared" si="78"/>
        <v>0.05</v>
      </c>
      <c r="AC66" s="101">
        <f t="shared" si="78"/>
        <v>0.05</v>
      </c>
    </row>
    <row r="67" spans="13:32">
      <c r="M67" s="445" t="str">
        <f t="shared" ref="M67:AC67" si="79">M33</f>
        <v>Costs</v>
      </c>
      <c r="N67" s="57" t="str">
        <f t="shared" si="79"/>
        <v>Banjul</v>
      </c>
      <c r="O67" s="72">
        <f t="shared" si="79"/>
        <v>6.3110759493670884E-2</v>
      </c>
      <c r="P67" s="72">
        <f t="shared" si="79"/>
        <v>0.59955221518987334</v>
      </c>
      <c r="Q67" s="72">
        <f t="shared" si="79"/>
        <v>2.2088765822784806</v>
      </c>
      <c r="R67" s="72">
        <f t="shared" si="79"/>
        <v>0.28557618670886076</v>
      </c>
      <c r="S67" s="72">
        <f t="shared" si="79"/>
        <v>0.15777689873417722</v>
      </c>
      <c r="T67" s="72">
        <f t="shared" si="79"/>
        <v>0.15777689873417722</v>
      </c>
      <c r="U67" s="72">
        <f t="shared" si="79"/>
        <v>0.15777689873417722</v>
      </c>
      <c r="V67" s="72">
        <f t="shared" si="79"/>
        <v>0.15777689873417722</v>
      </c>
      <c r="W67" s="72">
        <f t="shared" si="79"/>
        <v>0.15777689873417722</v>
      </c>
      <c r="X67" s="72">
        <f t="shared" si="79"/>
        <v>0.15777689873417722</v>
      </c>
      <c r="Y67" s="72">
        <f t="shared" si="79"/>
        <v>0.15777689873417722</v>
      </c>
      <c r="Z67" s="72">
        <f t="shared" si="79"/>
        <v>0.15777689873417722</v>
      </c>
      <c r="AA67" s="72">
        <f t="shared" si="79"/>
        <v>0.15777689873417722</v>
      </c>
      <c r="AB67" s="72">
        <f t="shared" si="79"/>
        <v>0.15777689873417722</v>
      </c>
      <c r="AC67" s="88">
        <f t="shared" si="79"/>
        <v>0.15777689873417722</v>
      </c>
      <c r="AD67" s="88">
        <f t="shared" ref="AD67:AF67" si="80">AD33</f>
        <v>0.15777689873417722</v>
      </c>
      <c r="AE67" s="88">
        <f t="shared" si="80"/>
        <v>0.15777689873417722</v>
      </c>
      <c r="AF67" s="88">
        <f t="shared" si="80"/>
        <v>0.15777689873417722</v>
      </c>
    </row>
    <row r="68" spans="13:32">
      <c r="M68" s="445">
        <f t="shared" ref="M68:AC68" si="81">M34</f>
        <v>0</v>
      </c>
      <c r="N68" s="57" t="str">
        <f t="shared" si="81"/>
        <v>Brufut</v>
      </c>
      <c r="O68" s="72">
        <f t="shared" si="81"/>
        <v>1.5753101265822786E-2</v>
      </c>
      <c r="P68" s="72">
        <f t="shared" si="81"/>
        <v>0.14965446202531646</v>
      </c>
      <c r="Q68" s="72">
        <f t="shared" si="81"/>
        <v>0.55135854430379738</v>
      </c>
      <c r="R68" s="72">
        <f t="shared" si="81"/>
        <v>7.128278322784809E-2</v>
      </c>
      <c r="S68" s="72">
        <f t="shared" si="81"/>
        <v>3.9382753164556965E-2</v>
      </c>
      <c r="T68" s="72">
        <f t="shared" si="81"/>
        <v>3.9382753164556965E-2</v>
      </c>
      <c r="U68" s="72">
        <f t="shared" si="81"/>
        <v>3.9382753164556965E-2</v>
      </c>
      <c r="V68" s="72">
        <f t="shared" si="81"/>
        <v>3.9382753164556965E-2</v>
      </c>
      <c r="W68" s="72">
        <f t="shared" si="81"/>
        <v>3.9382753164556965E-2</v>
      </c>
      <c r="X68" s="72">
        <f t="shared" si="81"/>
        <v>3.9382753164556965E-2</v>
      </c>
      <c r="Y68" s="72">
        <f t="shared" si="81"/>
        <v>3.9382753164556965E-2</v>
      </c>
      <c r="Z68" s="72">
        <f t="shared" si="81"/>
        <v>3.9382753164556965E-2</v>
      </c>
      <c r="AA68" s="72">
        <f t="shared" si="81"/>
        <v>3.9382753164556965E-2</v>
      </c>
      <c r="AB68" s="72">
        <f t="shared" si="81"/>
        <v>3.9382753164556965E-2</v>
      </c>
      <c r="AC68" s="88">
        <f t="shared" si="81"/>
        <v>3.9382753164556965E-2</v>
      </c>
      <c r="AD68" s="88">
        <f t="shared" ref="AD68:AF68" si="82">AD34</f>
        <v>3.9382753164556965E-2</v>
      </c>
      <c r="AE68" s="88">
        <f t="shared" si="82"/>
        <v>3.9382753164556965E-2</v>
      </c>
      <c r="AF68" s="88">
        <f t="shared" si="82"/>
        <v>3.9382753164556965E-2</v>
      </c>
    </row>
    <row r="69" spans="13:32">
      <c r="M69" s="445">
        <f t="shared" ref="M69:AC69" si="83">M35</f>
        <v>0</v>
      </c>
      <c r="N69" s="57" t="str">
        <f t="shared" si="83"/>
        <v>Tanji</v>
      </c>
      <c r="O69" s="72">
        <f t="shared" si="83"/>
        <v>1.5753101265822786E-2</v>
      </c>
      <c r="P69" s="72">
        <f t="shared" si="83"/>
        <v>0.14965446202531646</v>
      </c>
      <c r="Q69" s="72">
        <f t="shared" si="83"/>
        <v>0.55135854430379738</v>
      </c>
      <c r="R69" s="72">
        <f t="shared" si="83"/>
        <v>7.128278322784809E-2</v>
      </c>
      <c r="S69" s="72">
        <f t="shared" si="83"/>
        <v>3.9382753164556965E-2</v>
      </c>
      <c r="T69" s="72">
        <f t="shared" si="83"/>
        <v>3.9382753164556965E-2</v>
      </c>
      <c r="U69" s="72">
        <f t="shared" si="83"/>
        <v>3.9382753164556965E-2</v>
      </c>
      <c r="V69" s="72">
        <f t="shared" si="83"/>
        <v>3.9382753164556965E-2</v>
      </c>
      <c r="W69" s="72">
        <f t="shared" si="83"/>
        <v>3.9382753164556965E-2</v>
      </c>
      <c r="X69" s="72">
        <f t="shared" si="83"/>
        <v>3.9382753164556965E-2</v>
      </c>
      <c r="Y69" s="72">
        <f t="shared" si="83"/>
        <v>3.9382753164556965E-2</v>
      </c>
      <c r="Z69" s="72">
        <f t="shared" si="83"/>
        <v>3.9382753164556965E-2</v>
      </c>
      <c r="AA69" s="72">
        <f t="shared" si="83"/>
        <v>3.9382753164556965E-2</v>
      </c>
      <c r="AB69" s="72">
        <f t="shared" si="83"/>
        <v>3.9382753164556965E-2</v>
      </c>
      <c r="AC69" s="88">
        <f t="shared" si="83"/>
        <v>3.9382753164556965E-2</v>
      </c>
      <c r="AD69" s="88">
        <f t="shared" ref="AD69:AF69" si="84">AD35</f>
        <v>3.9382753164556965E-2</v>
      </c>
      <c r="AE69" s="88">
        <f t="shared" si="84"/>
        <v>3.9382753164556965E-2</v>
      </c>
      <c r="AF69" s="88">
        <f t="shared" si="84"/>
        <v>3.9382753164556965E-2</v>
      </c>
    </row>
    <row r="70" spans="13:32">
      <c r="M70" s="445">
        <f t="shared" ref="M70:AC70" si="85">M36</f>
        <v>0</v>
      </c>
      <c r="N70" s="57" t="str">
        <f t="shared" si="85"/>
        <v>Sanyang</v>
      </c>
      <c r="O70" s="72">
        <f t="shared" si="85"/>
        <v>7.6974050632911397E-3</v>
      </c>
      <c r="P70" s="72">
        <f t="shared" si="85"/>
        <v>7.3125348101265836E-2</v>
      </c>
      <c r="Q70" s="72">
        <f t="shared" si="85"/>
        <v>0.26940917721518987</v>
      </c>
      <c r="R70" s="72">
        <f t="shared" si="85"/>
        <v>3.483075791139241E-2</v>
      </c>
      <c r="S70" s="72">
        <f t="shared" si="85"/>
        <v>1.9243512658227852E-2</v>
      </c>
      <c r="T70" s="72">
        <f t="shared" si="85"/>
        <v>1.9243512658227852E-2</v>
      </c>
      <c r="U70" s="72">
        <f t="shared" si="85"/>
        <v>1.9243512658227852E-2</v>
      </c>
      <c r="V70" s="72">
        <f t="shared" si="85"/>
        <v>1.9243512658227852E-2</v>
      </c>
      <c r="W70" s="72">
        <f t="shared" si="85"/>
        <v>1.9243512658227852E-2</v>
      </c>
      <c r="X70" s="72">
        <f t="shared" si="85"/>
        <v>1.9243512658227852E-2</v>
      </c>
      <c r="Y70" s="72">
        <f t="shared" si="85"/>
        <v>1.9243512658227852E-2</v>
      </c>
      <c r="Z70" s="72">
        <f t="shared" si="85"/>
        <v>1.9243512658227852E-2</v>
      </c>
      <c r="AA70" s="72">
        <f t="shared" si="85"/>
        <v>1.9243512658227852E-2</v>
      </c>
      <c r="AB70" s="72">
        <f t="shared" si="85"/>
        <v>1.9243512658227852E-2</v>
      </c>
      <c r="AC70" s="88">
        <f t="shared" si="85"/>
        <v>1.9243512658227852E-2</v>
      </c>
      <c r="AD70" s="88">
        <f t="shared" ref="AD70:AF70" si="86">AD36</f>
        <v>1.9243512658227852E-2</v>
      </c>
      <c r="AE70" s="88">
        <f t="shared" si="86"/>
        <v>1.9243512658227852E-2</v>
      </c>
      <c r="AF70" s="88">
        <f t="shared" si="86"/>
        <v>1.9243512658227852E-2</v>
      </c>
    </row>
    <row r="71" spans="13:32">
      <c r="M71" s="445">
        <f t="shared" ref="M71:AC71" si="87">M37</f>
        <v>0</v>
      </c>
      <c r="N71" s="57" t="str">
        <f t="shared" si="87"/>
        <v>Kartong</v>
      </c>
      <c r="O71" s="72">
        <f t="shared" si="87"/>
        <v>2.9349430379746841E-2</v>
      </c>
      <c r="P71" s="72">
        <f t="shared" si="87"/>
        <v>0.27881958860759504</v>
      </c>
      <c r="Q71" s="72">
        <f t="shared" si="87"/>
        <v>1.0272300632911393</v>
      </c>
      <c r="R71" s="72">
        <f t="shared" si="87"/>
        <v>0.13280617246835447</v>
      </c>
      <c r="S71" s="72">
        <f t="shared" si="87"/>
        <v>7.3373575949367109E-2</v>
      </c>
      <c r="T71" s="72">
        <f t="shared" si="87"/>
        <v>7.3373575949367109E-2</v>
      </c>
      <c r="U71" s="72">
        <f t="shared" si="87"/>
        <v>7.3373575949367109E-2</v>
      </c>
      <c r="V71" s="72">
        <f t="shared" si="87"/>
        <v>7.3373575949367109E-2</v>
      </c>
      <c r="W71" s="72">
        <f t="shared" si="87"/>
        <v>7.3373575949367109E-2</v>
      </c>
      <c r="X71" s="72">
        <f t="shared" si="87"/>
        <v>7.3373575949367109E-2</v>
      </c>
      <c r="Y71" s="72">
        <f t="shared" si="87"/>
        <v>7.3373575949367109E-2</v>
      </c>
      <c r="Z71" s="72">
        <f t="shared" si="87"/>
        <v>7.3373575949367109E-2</v>
      </c>
      <c r="AA71" s="72">
        <f t="shared" si="87"/>
        <v>7.3373575949367109E-2</v>
      </c>
      <c r="AB71" s="72">
        <f t="shared" si="87"/>
        <v>7.3373575949367109E-2</v>
      </c>
      <c r="AC71" s="88">
        <f t="shared" si="87"/>
        <v>7.3373575949367109E-2</v>
      </c>
      <c r="AD71" s="88">
        <f t="shared" ref="AD71:AF71" si="88">AD37</f>
        <v>7.3373575949367109E-2</v>
      </c>
      <c r="AE71" s="88">
        <f t="shared" si="88"/>
        <v>7.3373575949367109E-2</v>
      </c>
      <c r="AF71" s="88">
        <f t="shared" si="88"/>
        <v>7.3373575949367109E-2</v>
      </c>
    </row>
    <row r="72" spans="13:32">
      <c r="M72" s="445">
        <f t="shared" ref="M72:AC72" si="89">M38</f>
        <v>0</v>
      </c>
      <c r="N72" s="57" t="str">
        <f t="shared" si="89"/>
        <v>Bintang</v>
      </c>
      <c r="O72" s="72">
        <f t="shared" si="89"/>
        <v>1.6336202531645572E-2</v>
      </c>
      <c r="P72" s="72">
        <f t="shared" si="89"/>
        <v>0.15519392405063293</v>
      </c>
      <c r="Q72" s="72">
        <f t="shared" si="89"/>
        <v>0.57176708860759495</v>
      </c>
      <c r="R72" s="72">
        <f t="shared" si="89"/>
        <v>7.3921316455696204E-2</v>
      </c>
      <c r="S72" s="72">
        <f t="shared" si="89"/>
        <v>4.0840506329113929E-2</v>
      </c>
      <c r="T72" s="72">
        <f t="shared" si="89"/>
        <v>4.0840506329113929E-2</v>
      </c>
      <c r="U72" s="72">
        <f t="shared" si="89"/>
        <v>4.0840506329113929E-2</v>
      </c>
      <c r="V72" s="72">
        <f t="shared" si="89"/>
        <v>4.0840506329113929E-2</v>
      </c>
      <c r="W72" s="72">
        <f t="shared" si="89"/>
        <v>4.0840506329113929E-2</v>
      </c>
      <c r="X72" s="72">
        <f t="shared" si="89"/>
        <v>4.0840506329113929E-2</v>
      </c>
      <c r="Y72" s="72">
        <f t="shared" si="89"/>
        <v>4.0840506329113929E-2</v>
      </c>
      <c r="Z72" s="72">
        <f t="shared" si="89"/>
        <v>4.0840506329113929E-2</v>
      </c>
      <c r="AA72" s="72">
        <f t="shared" si="89"/>
        <v>4.0840506329113929E-2</v>
      </c>
      <c r="AB72" s="72">
        <f t="shared" si="89"/>
        <v>4.0840506329113929E-2</v>
      </c>
      <c r="AC72" s="88">
        <f t="shared" si="89"/>
        <v>4.0840506329113929E-2</v>
      </c>
      <c r="AD72" s="88">
        <f t="shared" ref="AD72:AF72" si="90">AD38</f>
        <v>4.0840506329113929E-2</v>
      </c>
      <c r="AE72" s="88">
        <f t="shared" si="90"/>
        <v>4.0840506329113929E-2</v>
      </c>
      <c r="AF72" s="88">
        <f t="shared" si="90"/>
        <v>4.0840506329113929E-2</v>
      </c>
    </row>
    <row r="73" spans="13:32">
      <c r="M73" s="89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90"/>
    </row>
    <row r="74" spans="13:32">
      <c r="M74" s="89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90"/>
    </row>
    <row r="75" spans="13:32">
      <c r="M75" s="445" t="s">
        <v>97</v>
      </c>
      <c r="N75" s="57" t="s">
        <v>42</v>
      </c>
      <c r="O75" s="72">
        <f>O59-O67</f>
        <v>-6.3110759493670884E-2</v>
      </c>
      <c r="P75" s="72">
        <f t="shared" ref="P75:AC75" si="91">P59-P67</f>
        <v>-0.59955221518987334</v>
      </c>
      <c r="Q75" s="72">
        <f t="shared" si="91"/>
        <v>-2.2088765822784806</v>
      </c>
      <c r="R75" s="72">
        <f t="shared" si="91"/>
        <v>-0.11400321957455326</v>
      </c>
      <c r="S75" s="72">
        <f t="shared" si="91"/>
        <v>0.19056821635668952</v>
      </c>
      <c r="T75" s="72">
        <f t="shared" si="91"/>
        <v>0.362141183490997</v>
      </c>
      <c r="U75" s="72">
        <f t="shared" si="91"/>
        <v>0.362141183490997</v>
      </c>
      <c r="V75" s="72">
        <f t="shared" si="91"/>
        <v>0.362141183490997</v>
      </c>
      <c r="W75" s="72">
        <f t="shared" si="91"/>
        <v>0.362141183490997</v>
      </c>
      <c r="X75" s="72">
        <f t="shared" si="91"/>
        <v>0.362141183490997</v>
      </c>
      <c r="Y75" s="72">
        <f t="shared" si="91"/>
        <v>0.362141183490997</v>
      </c>
      <c r="Z75" s="72">
        <f t="shared" si="91"/>
        <v>0.362141183490997</v>
      </c>
      <c r="AA75" s="72">
        <f t="shared" si="91"/>
        <v>0.362141183490997</v>
      </c>
      <c r="AB75" s="72">
        <f t="shared" si="91"/>
        <v>0.362141183490997</v>
      </c>
      <c r="AC75" s="88">
        <f t="shared" si="91"/>
        <v>0.362141183490997</v>
      </c>
      <c r="AD75" s="88">
        <f t="shared" ref="AD75:AF75" si="92">AD59-AD67</f>
        <v>0.362141183490997</v>
      </c>
      <c r="AE75" s="88">
        <f t="shared" si="92"/>
        <v>0.362141183490997</v>
      </c>
      <c r="AF75" s="88">
        <f t="shared" si="92"/>
        <v>0.362141183490997</v>
      </c>
    </row>
    <row r="76" spans="13:32">
      <c r="M76" s="445"/>
      <c r="N76" s="57" t="s">
        <v>23</v>
      </c>
      <c r="O76" s="72">
        <f t="shared" ref="O76:AC76" si="93">O60-O68</f>
        <v>-1.5753101265822786E-2</v>
      </c>
      <c r="P76" s="72">
        <f t="shared" si="93"/>
        <v>-0.14965446202531646</v>
      </c>
      <c r="Q76" s="72">
        <f t="shared" si="93"/>
        <v>-0.55135854430379738</v>
      </c>
      <c r="R76" s="72">
        <f t="shared" si="93"/>
        <v>-2.8438517030457952E-2</v>
      </c>
      <c r="S76" s="72">
        <f t="shared" si="93"/>
        <v>4.7604090327113914E-2</v>
      </c>
      <c r="T76" s="72">
        <f t="shared" si="93"/>
        <v>9.0448356524504031E-2</v>
      </c>
      <c r="U76" s="72">
        <f t="shared" si="93"/>
        <v>9.0448356524504031E-2</v>
      </c>
      <c r="V76" s="72">
        <f t="shared" si="93"/>
        <v>9.0448356524504031E-2</v>
      </c>
      <c r="W76" s="72">
        <f t="shared" si="93"/>
        <v>9.0448356524504031E-2</v>
      </c>
      <c r="X76" s="72">
        <f t="shared" si="93"/>
        <v>9.0448356524504031E-2</v>
      </c>
      <c r="Y76" s="72">
        <f t="shared" si="93"/>
        <v>9.0448356524504031E-2</v>
      </c>
      <c r="Z76" s="72">
        <f t="shared" si="93"/>
        <v>9.0448356524504031E-2</v>
      </c>
      <c r="AA76" s="72">
        <f t="shared" si="93"/>
        <v>9.0448356524504031E-2</v>
      </c>
      <c r="AB76" s="72">
        <f t="shared" si="93"/>
        <v>9.0448356524504031E-2</v>
      </c>
      <c r="AC76" s="88">
        <f t="shared" si="93"/>
        <v>9.0448356524504031E-2</v>
      </c>
      <c r="AD76" s="88">
        <f t="shared" ref="AD76:AF76" si="94">AD60-AD68</f>
        <v>9.0448356524504031E-2</v>
      </c>
      <c r="AE76" s="88">
        <f t="shared" si="94"/>
        <v>9.0448356524504031E-2</v>
      </c>
      <c r="AF76" s="88">
        <f t="shared" si="94"/>
        <v>9.0448356524504031E-2</v>
      </c>
    </row>
    <row r="77" spans="13:32">
      <c r="M77" s="445"/>
      <c r="N77" s="57" t="s">
        <v>27</v>
      </c>
      <c r="O77" s="72">
        <f t="shared" ref="O77:AC77" si="95">O61-O69</f>
        <v>-1.5753101265822786E-2</v>
      </c>
      <c r="P77" s="72">
        <f t="shared" si="95"/>
        <v>-0.14965446202531646</v>
      </c>
      <c r="Q77" s="72">
        <f t="shared" si="95"/>
        <v>-0.55135854430379738</v>
      </c>
      <c r="R77" s="72">
        <f t="shared" si="95"/>
        <v>-2.8438517030457952E-2</v>
      </c>
      <c r="S77" s="72">
        <f t="shared" si="95"/>
        <v>4.7604090327113928E-2</v>
      </c>
      <c r="T77" s="72">
        <f t="shared" si="95"/>
        <v>9.0448356524504059E-2</v>
      </c>
      <c r="U77" s="72">
        <f t="shared" si="95"/>
        <v>9.0448356524504059E-2</v>
      </c>
      <c r="V77" s="72">
        <f t="shared" si="95"/>
        <v>9.0448356524504059E-2</v>
      </c>
      <c r="W77" s="72">
        <f t="shared" si="95"/>
        <v>9.0448356524504059E-2</v>
      </c>
      <c r="X77" s="72">
        <f t="shared" si="95"/>
        <v>9.0448356524504059E-2</v>
      </c>
      <c r="Y77" s="72">
        <f t="shared" si="95"/>
        <v>9.0448356524504059E-2</v>
      </c>
      <c r="Z77" s="72">
        <f t="shared" si="95"/>
        <v>9.0448356524504059E-2</v>
      </c>
      <c r="AA77" s="72">
        <f t="shared" si="95"/>
        <v>9.0448356524504059E-2</v>
      </c>
      <c r="AB77" s="72">
        <f t="shared" si="95"/>
        <v>9.0448356524504059E-2</v>
      </c>
      <c r="AC77" s="88">
        <f t="shared" si="95"/>
        <v>9.0448356524504059E-2</v>
      </c>
      <c r="AD77" s="88">
        <f t="shared" ref="AD77:AF77" si="96">AD61-AD69</f>
        <v>9.0448356524504059E-2</v>
      </c>
      <c r="AE77" s="88">
        <f t="shared" si="96"/>
        <v>9.0448356524504059E-2</v>
      </c>
      <c r="AF77" s="88">
        <f t="shared" si="96"/>
        <v>9.0448356524504059E-2</v>
      </c>
    </row>
    <row r="78" spans="13:32">
      <c r="M78" s="445"/>
      <c r="N78" s="57" t="s">
        <v>29</v>
      </c>
      <c r="O78" s="72">
        <f t="shared" ref="O78:AC78" si="97">O62-O70</f>
        <v>-7.6974050632911397E-3</v>
      </c>
      <c r="P78" s="72">
        <f t="shared" si="97"/>
        <v>-7.3125348101265836E-2</v>
      </c>
      <c r="Q78" s="72">
        <f t="shared" si="97"/>
        <v>-0.26940917721518987</v>
      </c>
      <c r="R78" s="72">
        <f t="shared" si="97"/>
        <v>-1.389585334905832E-2</v>
      </c>
      <c r="S78" s="72">
        <f t="shared" si="97"/>
        <v>2.3260687513783788E-2</v>
      </c>
      <c r="T78" s="72">
        <f t="shared" si="97"/>
        <v>4.4195592076117882E-2</v>
      </c>
      <c r="U78" s="72">
        <f t="shared" si="97"/>
        <v>4.4195592076117882E-2</v>
      </c>
      <c r="V78" s="72">
        <f t="shared" si="97"/>
        <v>4.4195592076117882E-2</v>
      </c>
      <c r="W78" s="72">
        <f t="shared" si="97"/>
        <v>4.4195592076117882E-2</v>
      </c>
      <c r="X78" s="72">
        <f t="shared" si="97"/>
        <v>4.4195592076117882E-2</v>
      </c>
      <c r="Y78" s="72">
        <f t="shared" si="97"/>
        <v>4.4195592076117882E-2</v>
      </c>
      <c r="Z78" s="72">
        <f t="shared" si="97"/>
        <v>4.4195592076117882E-2</v>
      </c>
      <c r="AA78" s="72">
        <f t="shared" si="97"/>
        <v>4.4195592076117882E-2</v>
      </c>
      <c r="AB78" s="72">
        <f t="shared" si="97"/>
        <v>4.4195592076117882E-2</v>
      </c>
      <c r="AC78" s="88">
        <f t="shared" si="97"/>
        <v>4.4195592076117882E-2</v>
      </c>
      <c r="AD78" s="88">
        <f t="shared" ref="AD78:AF78" si="98">AD62-AD70</f>
        <v>4.4195592076117882E-2</v>
      </c>
      <c r="AE78" s="88">
        <f t="shared" si="98"/>
        <v>4.4195592076117882E-2</v>
      </c>
      <c r="AF78" s="88">
        <f t="shared" si="98"/>
        <v>4.4195592076117882E-2</v>
      </c>
    </row>
    <row r="79" spans="13:32">
      <c r="M79" s="445"/>
      <c r="N79" s="57" t="s">
        <v>35</v>
      </c>
      <c r="O79" s="72">
        <f t="shared" ref="O79:AC79" si="99">O63-O71</f>
        <v>-2.9349430379746841E-2</v>
      </c>
      <c r="P79" s="72">
        <f t="shared" si="99"/>
        <v>-0.27881958860759504</v>
      </c>
      <c r="Q79" s="72">
        <f t="shared" si="99"/>
        <v>-1.0272300632911393</v>
      </c>
      <c r="R79" s="72">
        <f t="shared" si="99"/>
        <v>-5.2983489511331985E-2</v>
      </c>
      <c r="S79" s="72">
        <f t="shared" si="99"/>
        <v>8.8690659145193668E-2</v>
      </c>
      <c r="T79" s="72">
        <f t="shared" si="99"/>
        <v>0.16851334210221613</v>
      </c>
      <c r="U79" s="72">
        <f t="shared" si="99"/>
        <v>0.16851334210221613</v>
      </c>
      <c r="V79" s="72">
        <f t="shared" si="99"/>
        <v>0.16851334210221613</v>
      </c>
      <c r="W79" s="72">
        <f t="shared" si="99"/>
        <v>0.16851334210221613</v>
      </c>
      <c r="X79" s="72">
        <f t="shared" si="99"/>
        <v>0.16851334210221613</v>
      </c>
      <c r="Y79" s="72">
        <f t="shared" si="99"/>
        <v>0.16851334210221613</v>
      </c>
      <c r="Z79" s="72">
        <f t="shared" si="99"/>
        <v>0.16851334210221613</v>
      </c>
      <c r="AA79" s="72">
        <f t="shared" si="99"/>
        <v>0.16851334210221613</v>
      </c>
      <c r="AB79" s="72">
        <f t="shared" si="99"/>
        <v>0.16851334210221613</v>
      </c>
      <c r="AC79" s="88">
        <f t="shared" si="99"/>
        <v>0.16851334210221613</v>
      </c>
      <c r="AD79" s="88">
        <f t="shared" ref="AD79:AF79" si="100">AD63-AD71</f>
        <v>0.16851334210221613</v>
      </c>
      <c r="AE79" s="88">
        <f t="shared" si="100"/>
        <v>0.16851334210221613</v>
      </c>
      <c r="AF79" s="88">
        <f t="shared" si="100"/>
        <v>0.16851334210221613</v>
      </c>
    </row>
    <row r="80" spans="13:32">
      <c r="M80" s="445"/>
      <c r="N80" s="57" t="s">
        <v>31</v>
      </c>
      <c r="O80" s="72">
        <f t="shared" ref="O80:AC80" si="101">O64-O72</f>
        <v>-1.6336202531645572E-2</v>
      </c>
      <c r="P80" s="72">
        <f t="shared" si="101"/>
        <v>-0.15519392405063293</v>
      </c>
      <c r="Q80" s="72">
        <f t="shared" si="101"/>
        <v>-0.57176708860759495</v>
      </c>
      <c r="R80" s="72">
        <f t="shared" si="101"/>
        <v>-2.949116913995465E-2</v>
      </c>
      <c r="S80" s="72">
        <f t="shared" si="101"/>
        <v>4.9366156402846209E-2</v>
      </c>
      <c r="T80" s="72">
        <f t="shared" si="101"/>
        <v>9.3796303718587742E-2</v>
      </c>
      <c r="U80" s="72">
        <f t="shared" si="101"/>
        <v>9.3796303718587742E-2</v>
      </c>
      <c r="V80" s="72">
        <f t="shared" si="101"/>
        <v>9.3796303718587742E-2</v>
      </c>
      <c r="W80" s="72">
        <f t="shared" si="101"/>
        <v>9.3796303718587742E-2</v>
      </c>
      <c r="X80" s="72">
        <f t="shared" si="101"/>
        <v>9.3796303718587742E-2</v>
      </c>
      <c r="Y80" s="72">
        <f t="shared" si="101"/>
        <v>9.3796303718587742E-2</v>
      </c>
      <c r="Z80" s="72">
        <f t="shared" si="101"/>
        <v>9.3796303718587742E-2</v>
      </c>
      <c r="AA80" s="72">
        <f t="shared" si="101"/>
        <v>9.3796303718587742E-2</v>
      </c>
      <c r="AB80" s="72">
        <f t="shared" si="101"/>
        <v>9.3796303718587742E-2</v>
      </c>
      <c r="AC80" s="88">
        <f t="shared" si="101"/>
        <v>9.3796303718587742E-2</v>
      </c>
      <c r="AD80" s="88">
        <f t="shared" ref="AD80:AF80" si="102">AD64-AD72</f>
        <v>9.3796303718587742E-2</v>
      </c>
      <c r="AE80" s="88">
        <f t="shared" si="102"/>
        <v>9.3796303718587742E-2</v>
      </c>
      <c r="AF80" s="88">
        <f t="shared" si="102"/>
        <v>9.3796303718587742E-2</v>
      </c>
    </row>
    <row r="81" spans="13:32">
      <c r="M81" s="89"/>
      <c r="N81" s="57" t="s">
        <v>49</v>
      </c>
      <c r="O81" s="72">
        <f>SUM(O75:O80)</f>
        <v>-0.14800000000000002</v>
      </c>
      <c r="P81" s="72">
        <f t="shared" ref="P81" si="103">SUM(P75:P80)</f>
        <v>-1.4060000000000001</v>
      </c>
      <c r="Q81" s="72">
        <f t="shared" ref="Q81" si="104">SUM(Q75:Q80)</f>
        <v>-5.18</v>
      </c>
      <c r="R81" s="72">
        <f t="shared" ref="R81" si="105">SUM(R75:R80)</f>
        <v>-0.26725076563581412</v>
      </c>
      <c r="S81" s="72">
        <f t="shared" ref="S81" si="106">SUM(S75:S80)</f>
        <v>0.44709390007274102</v>
      </c>
      <c r="T81" s="72">
        <f t="shared" ref="T81" si="107">SUM(T75:T80)</f>
        <v>0.84954313443692686</v>
      </c>
      <c r="U81" s="72">
        <f t="shared" ref="U81" si="108">SUM(U75:U80)</f>
        <v>0.84954313443692686</v>
      </c>
      <c r="V81" s="72">
        <f t="shared" ref="V81" si="109">SUM(V75:V80)</f>
        <v>0.84954313443692686</v>
      </c>
      <c r="W81" s="72">
        <f t="shared" ref="W81" si="110">SUM(W75:W80)</f>
        <v>0.84954313443692686</v>
      </c>
      <c r="X81" s="72">
        <f t="shared" ref="X81" si="111">SUM(X75:X80)</f>
        <v>0.84954313443692686</v>
      </c>
      <c r="Y81" s="72">
        <f t="shared" ref="Y81" si="112">SUM(Y75:Y80)</f>
        <v>0.84954313443692686</v>
      </c>
      <c r="Z81" s="72">
        <f t="shared" ref="Z81" si="113">SUM(Z75:Z80)</f>
        <v>0.84954313443692686</v>
      </c>
      <c r="AA81" s="72">
        <f t="shared" ref="AA81" si="114">SUM(AA75:AA80)</f>
        <v>0.84954313443692686</v>
      </c>
      <c r="AB81" s="72">
        <f t="shared" ref="AB81" si="115">SUM(AB75:AB80)</f>
        <v>0.84954313443692686</v>
      </c>
      <c r="AC81" s="88">
        <f t="shared" ref="AC81:AF81" si="116">SUM(AC75:AC80)</f>
        <v>0.84954313443692686</v>
      </c>
      <c r="AD81" s="88">
        <f t="shared" si="116"/>
        <v>0.84954313443692686</v>
      </c>
      <c r="AE81" s="88">
        <f t="shared" si="116"/>
        <v>0.84954313443692686</v>
      </c>
      <c r="AF81" s="88">
        <f t="shared" si="116"/>
        <v>0.84954313443692686</v>
      </c>
    </row>
    <row r="82" spans="13:32">
      <c r="M82" s="89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90"/>
    </row>
    <row r="83" spans="13:32">
      <c r="M83" s="89"/>
      <c r="N83" s="83"/>
      <c r="O83" s="41" t="s">
        <v>95</v>
      </c>
      <c r="P83" s="41" t="s">
        <v>96</v>
      </c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90"/>
    </row>
    <row r="84" spans="13:32">
      <c r="M84" s="89"/>
      <c r="N84" s="57" t="s">
        <v>42</v>
      </c>
      <c r="O84" s="104">
        <f>IRR(O75:AF75)</f>
        <v>6.0000000000048015E-2</v>
      </c>
      <c r="P84" s="105">
        <f>NPV(0.06,O75:AF75)</f>
        <v>4.9750560065749937E-16</v>
      </c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90"/>
    </row>
    <row r="85" spans="13:32">
      <c r="M85" s="89"/>
      <c r="N85" s="57" t="s">
        <v>23</v>
      </c>
      <c r="O85" s="104">
        <f>IRR(O76:AF76)</f>
        <v>6.0082857352486307E-2</v>
      </c>
      <c r="P85" s="105">
        <f t="shared" ref="P85:P90" si="117">NPV(0.06,O76:AF76)</f>
        <v>3.9951452566485801E-4</v>
      </c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90"/>
    </row>
    <row r="86" spans="13:32">
      <c r="M86" s="89"/>
      <c r="N86" s="57" t="s">
        <v>27</v>
      </c>
      <c r="O86" s="104">
        <f t="shared" ref="O86:O90" si="118">IRR(O77:AF77)</f>
        <v>6.0082857352486085E-2</v>
      </c>
      <c r="P86" s="105">
        <f t="shared" si="117"/>
        <v>3.9951452566503473E-4</v>
      </c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90"/>
    </row>
    <row r="87" spans="13:32">
      <c r="M87" s="89"/>
      <c r="N87" s="57" t="s">
        <v>29</v>
      </c>
      <c r="O87" s="104">
        <f t="shared" si="118"/>
        <v>6.0082857352486307E-2</v>
      </c>
      <c r="P87" s="105">
        <f t="shared" si="117"/>
        <v>1.9521395062606126E-4</v>
      </c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90"/>
    </row>
    <row r="88" spans="13:32">
      <c r="M88" s="89"/>
      <c r="N88" s="57" t="s">
        <v>35</v>
      </c>
      <c r="O88" s="104">
        <f t="shared" si="118"/>
        <v>6.0082857352486085E-2</v>
      </c>
      <c r="P88" s="105">
        <f t="shared" si="117"/>
        <v>7.4433113574358303E-4</v>
      </c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90"/>
    </row>
    <row r="89" spans="13:32">
      <c r="M89" s="89"/>
      <c r="N89" s="57" t="s">
        <v>31</v>
      </c>
      <c r="O89" s="104">
        <f t="shared" si="118"/>
        <v>6.0082857352486085E-2</v>
      </c>
      <c r="P89" s="105">
        <f t="shared" si="117"/>
        <v>4.1430256147383365E-4</v>
      </c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90"/>
    </row>
    <row r="90" spans="13:32" ht="15.75" thickBot="1">
      <c r="M90" s="92"/>
      <c r="N90" s="93" t="s">
        <v>49</v>
      </c>
      <c r="O90" s="104">
        <f t="shared" si="118"/>
        <v>6.0047528629795899E-2</v>
      </c>
      <c r="P90" s="105">
        <f t="shared" si="117"/>
        <v>2.1528766991728209E-3</v>
      </c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7"/>
    </row>
  </sheetData>
  <mergeCells count="14">
    <mergeCell ref="L23:M23"/>
    <mergeCell ref="B19:G19"/>
    <mergeCell ref="D32:G32"/>
    <mergeCell ref="D43:E47"/>
    <mergeCell ref="H32:J32"/>
    <mergeCell ref="B32:C32"/>
    <mergeCell ref="B31:I31"/>
    <mergeCell ref="M67:M72"/>
    <mergeCell ref="M75:M80"/>
    <mergeCell ref="M59:M64"/>
    <mergeCell ref="M25:M30"/>
    <mergeCell ref="M33:M38"/>
    <mergeCell ref="M41:M46"/>
    <mergeCell ref="M50:M55"/>
  </mergeCells>
  <phoneticPr fontId="38" type="noConversion"/>
  <pageMargins left="0.7" right="0.7" top="0.75" bottom="0.75" header="0.3" footer="0.3"/>
  <pageSetup paperSize="9" orientation="portrait" r:id="rId1"/>
  <ignoredErrors>
    <ignoredError sqref="F3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Z49"/>
  <sheetViews>
    <sheetView zoomScaleNormal="100" workbookViewId="0">
      <selection activeCell="F49" sqref="F49:I49"/>
    </sheetView>
  </sheetViews>
  <sheetFormatPr defaultColWidth="8.7109375" defaultRowHeight="15"/>
  <cols>
    <col min="1" max="1" width="11.28515625" bestFit="1" customWidth="1"/>
    <col min="2" max="2" width="48.42578125" bestFit="1" customWidth="1"/>
    <col min="3" max="3" width="8.42578125" bestFit="1" customWidth="1"/>
    <col min="4" max="26" width="7" customWidth="1"/>
  </cols>
  <sheetData>
    <row r="1" spans="1:26">
      <c r="B1" t="s">
        <v>4</v>
      </c>
      <c r="C1" s="460">
        <v>2022</v>
      </c>
      <c r="D1" s="460"/>
      <c r="E1" s="460"/>
      <c r="F1" s="460"/>
      <c r="G1" s="447">
        <v>2023</v>
      </c>
      <c r="H1" s="447"/>
      <c r="I1" s="447"/>
      <c r="J1" s="447"/>
      <c r="K1" s="460">
        <v>2024</v>
      </c>
      <c r="L1" s="460"/>
      <c r="M1" s="460"/>
      <c r="N1" s="460"/>
      <c r="O1" s="447">
        <v>2025</v>
      </c>
      <c r="P1" s="447"/>
      <c r="Q1" s="447"/>
      <c r="R1" s="447"/>
      <c r="S1" s="460">
        <v>2026</v>
      </c>
      <c r="T1" s="460"/>
      <c r="U1" s="460"/>
      <c r="V1" s="460"/>
      <c r="W1" s="447">
        <v>2027</v>
      </c>
      <c r="X1" s="447"/>
      <c r="Y1" s="447"/>
      <c r="Z1" s="447"/>
    </row>
    <row r="2" spans="1:26">
      <c r="A2" s="6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7</v>
      </c>
      <c r="L2" s="7" t="s">
        <v>8</v>
      </c>
      <c r="M2" s="7" t="s">
        <v>9</v>
      </c>
      <c r="N2" s="7" t="s">
        <v>10</v>
      </c>
      <c r="O2" s="7" t="s">
        <v>7</v>
      </c>
      <c r="P2" s="7" t="s">
        <v>8</v>
      </c>
      <c r="Q2" s="7" t="s">
        <v>9</v>
      </c>
      <c r="R2" s="7" t="s">
        <v>10</v>
      </c>
      <c r="S2" s="7" t="s">
        <v>7</v>
      </c>
      <c r="T2" s="7" t="s">
        <v>8</v>
      </c>
      <c r="U2" s="7" t="s">
        <v>9</v>
      </c>
      <c r="V2" s="7" t="s">
        <v>10</v>
      </c>
      <c r="W2" s="8" t="s">
        <v>7</v>
      </c>
      <c r="X2" s="8" t="s">
        <v>8</v>
      </c>
      <c r="Y2" s="8" t="s">
        <v>9</v>
      </c>
      <c r="Z2" s="8" t="s">
        <v>10</v>
      </c>
    </row>
    <row r="3" spans="1:26">
      <c r="B3" s="9" t="s">
        <v>11</v>
      </c>
      <c r="C3" s="10"/>
      <c r="D3" s="10"/>
      <c r="E3" s="10">
        <v>20</v>
      </c>
      <c r="F3" s="10">
        <v>20</v>
      </c>
      <c r="G3" s="10">
        <v>20</v>
      </c>
      <c r="H3" s="10">
        <v>20</v>
      </c>
      <c r="I3" s="10">
        <v>20</v>
      </c>
      <c r="J3" s="8"/>
      <c r="K3" s="10"/>
      <c r="L3" s="10"/>
      <c r="M3" s="10"/>
      <c r="N3" s="10"/>
      <c r="O3" s="8"/>
      <c r="P3" s="8"/>
      <c r="Q3" s="8"/>
      <c r="R3" s="8"/>
      <c r="S3" s="10"/>
      <c r="T3" s="10"/>
      <c r="U3" s="10"/>
      <c r="V3" s="10"/>
      <c r="W3" s="8"/>
      <c r="X3" s="8"/>
      <c r="Y3" s="8"/>
      <c r="Z3" s="8"/>
    </row>
    <row r="4" spans="1:26">
      <c r="B4" s="9" t="s">
        <v>12</v>
      </c>
      <c r="C4" s="10"/>
      <c r="D4" s="11"/>
      <c r="E4" s="10">
        <v>40</v>
      </c>
      <c r="F4" s="10">
        <v>40</v>
      </c>
      <c r="G4" s="10">
        <v>40</v>
      </c>
      <c r="H4" s="8"/>
      <c r="I4" s="8"/>
      <c r="J4" s="8"/>
      <c r="K4" s="10"/>
      <c r="L4" s="10"/>
      <c r="M4" s="10"/>
      <c r="N4" s="10"/>
      <c r="O4" s="8"/>
      <c r="P4" s="8"/>
      <c r="Q4" s="8"/>
      <c r="R4" s="8"/>
      <c r="S4" s="10"/>
      <c r="T4" s="10"/>
      <c r="U4" s="10"/>
      <c r="V4" s="10"/>
      <c r="W4" s="8"/>
      <c r="X4" s="8"/>
      <c r="Y4" s="8"/>
      <c r="Z4" s="8"/>
    </row>
    <row r="5" spans="1:26">
      <c r="B5" s="9" t="s">
        <v>13</v>
      </c>
      <c r="C5" s="10"/>
      <c r="D5" s="10"/>
      <c r="E5" s="10"/>
      <c r="F5" s="10"/>
      <c r="G5" s="8">
        <v>36</v>
      </c>
      <c r="H5" s="8">
        <v>36</v>
      </c>
      <c r="I5" s="8">
        <v>36</v>
      </c>
      <c r="J5" s="8">
        <v>36</v>
      </c>
      <c r="K5" s="8">
        <v>36</v>
      </c>
      <c r="L5" s="8">
        <v>36</v>
      </c>
      <c r="M5" s="8">
        <v>36</v>
      </c>
      <c r="N5" s="8">
        <v>36</v>
      </c>
      <c r="O5" s="8">
        <v>36</v>
      </c>
      <c r="P5" s="8">
        <v>36</v>
      </c>
      <c r="Q5" s="8"/>
      <c r="R5" s="8"/>
      <c r="S5" s="10"/>
      <c r="T5" s="10"/>
      <c r="U5" s="10"/>
      <c r="V5" s="10"/>
      <c r="W5" s="8"/>
      <c r="X5" s="8"/>
      <c r="Y5" s="8"/>
      <c r="Z5" s="8"/>
    </row>
    <row r="6" spans="1:26">
      <c r="B6" s="12"/>
      <c r="C6" s="10"/>
      <c r="D6" s="10"/>
      <c r="E6" s="10"/>
      <c r="F6" s="10"/>
      <c r="G6" s="8"/>
      <c r="H6" s="8"/>
      <c r="I6" s="8"/>
      <c r="J6" s="8"/>
      <c r="K6" s="10"/>
      <c r="L6" s="10"/>
      <c r="M6" s="10"/>
      <c r="N6" s="10"/>
      <c r="O6" s="8"/>
      <c r="P6" s="8"/>
      <c r="Q6" s="8"/>
      <c r="R6" s="8"/>
      <c r="S6" s="10"/>
      <c r="T6" s="10"/>
      <c r="U6" s="10"/>
      <c r="V6" s="10"/>
      <c r="W6" s="8"/>
      <c r="X6" s="8"/>
      <c r="Y6" s="8"/>
      <c r="Z6" s="8"/>
    </row>
    <row r="7" spans="1:26">
      <c r="A7" s="13" t="s">
        <v>14</v>
      </c>
      <c r="B7" s="14" t="s">
        <v>15</v>
      </c>
      <c r="C7" s="15"/>
      <c r="D7" s="15"/>
      <c r="E7" s="15"/>
      <c r="F7" s="15"/>
      <c r="G7" s="16"/>
      <c r="H7" s="16"/>
      <c r="I7" s="16"/>
      <c r="J7" s="8">
        <v>398</v>
      </c>
      <c r="K7" s="10"/>
      <c r="L7" s="10"/>
      <c r="M7" s="15"/>
      <c r="N7" s="15"/>
      <c r="O7" s="16"/>
      <c r="P7" s="16"/>
      <c r="Q7" s="16"/>
      <c r="R7" s="16"/>
      <c r="S7" s="15"/>
      <c r="T7" s="15"/>
      <c r="U7" s="15"/>
      <c r="V7" s="15"/>
      <c r="W7" s="16"/>
      <c r="X7" s="16"/>
      <c r="Y7" s="16"/>
      <c r="Z7" s="16"/>
    </row>
    <row r="8" spans="1:26">
      <c r="A8" s="13"/>
      <c r="B8" s="14" t="s">
        <v>16</v>
      </c>
      <c r="C8" s="15"/>
      <c r="D8" s="15"/>
      <c r="E8" s="15"/>
      <c r="F8" s="15"/>
      <c r="G8" s="16"/>
      <c r="H8" s="16"/>
      <c r="I8" s="16"/>
      <c r="J8" s="8"/>
      <c r="K8" s="10">
        <v>73</v>
      </c>
      <c r="L8" s="10"/>
      <c r="M8" s="15"/>
      <c r="N8" s="15"/>
      <c r="O8" s="16"/>
      <c r="P8" s="16"/>
      <c r="Q8" s="16"/>
      <c r="R8" s="16"/>
      <c r="S8" s="15"/>
      <c r="T8" s="15"/>
      <c r="U8" s="15"/>
      <c r="V8" s="15"/>
      <c r="W8" s="16"/>
      <c r="X8" s="16"/>
      <c r="Y8" s="16"/>
      <c r="Z8" s="16"/>
    </row>
    <row r="9" spans="1:26">
      <c r="A9" s="13"/>
      <c r="B9" s="14" t="s">
        <v>17</v>
      </c>
      <c r="C9" s="15"/>
      <c r="D9" s="15"/>
      <c r="E9" s="15"/>
      <c r="F9" s="15"/>
      <c r="G9" s="16"/>
      <c r="H9" s="16"/>
      <c r="I9" s="16"/>
      <c r="J9" s="8"/>
      <c r="K9" s="10">
        <v>500</v>
      </c>
      <c r="L9" s="10">
        <v>501</v>
      </c>
      <c r="M9" s="15"/>
      <c r="N9" s="15"/>
      <c r="O9" s="16"/>
      <c r="P9" s="16"/>
      <c r="Q9" s="16"/>
      <c r="R9" s="16"/>
      <c r="S9" s="15"/>
      <c r="T9" s="15"/>
      <c r="U9" s="15"/>
      <c r="V9" s="15"/>
      <c r="W9" s="16"/>
      <c r="X9" s="16"/>
      <c r="Y9" s="16"/>
      <c r="Z9" s="16"/>
    </row>
    <row r="10" spans="1:26">
      <c r="A10" s="13"/>
      <c r="B10" s="14" t="s">
        <v>18</v>
      </c>
      <c r="C10" s="15"/>
      <c r="D10" s="15"/>
      <c r="E10" s="15"/>
      <c r="F10" s="15"/>
      <c r="G10" s="16"/>
      <c r="H10" s="16"/>
      <c r="I10" s="16"/>
      <c r="J10" s="8">
        <v>185</v>
      </c>
      <c r="K10" s="10">
        <v>185</v>
      </c>
      <c r="L10" s="10">
        <v>185</v>
      </c>
      <c r="M10" s="15"/>
      <c r="N10" s="15"/>
      <c r="O10" s="16"/>
      <c r="P10" s="16"/>
      <c r="Q10" s="16"/>
      <c r="R10" s="16"/>
      <c r="S10" s="15"/>
      <c r="T10" s="15"/>
      <c r="U10" s="15"/>
      <c r="V10" s="15"/>
      <c r="W10" s="16"/>
      <c r="X10" s="16"/>
      <c r="Y10" s="16"/>
      <c r="Z10" s="16"/>
    </row>
    <row r="11" spans="1:26">
      <c r="A11" s="13"/>
      <c r="B11" s="14" t="s">
        <v>19</v>
      </c>
      <c r="C11" s="15"/>
      <c r="D11" s="15"/>
      <c r="E11" s="15"/>
      <c r="F11" s="15"/>
      <c r="G11" s="16"/>
      <c r="H11" s="16"/>
      <c r="I11" s="16"/>
      <c r="J11" s="16"/>
      <c r="K11" s="15"/>
      <c r="L11" s="10">
        <v>75</v>
      </c>
      <c r="M11" s="15"/>
      <c r="N11" s="15"/>
      <c r="O11" s="16"/>
      <c r="P11" s="16"/>
      <c r="Q11" s="16"/>
      <c r="R11" s="16"/>
      <c r="S11" s="15"/>
      <c r="T11" s="15"/>
      <c r="U11" s="15"/>
      <c r="V11" s="15"/>
      <c r="W11" s="16"/>
      <c r="X11" s="16"/>
      <c r="Y11" s="16"/>
      <c r="Z11" s="16"/>
    </row>
    <row r="12" spans="1:26">
      <c r="A12" s="13"/>
      <c r="B12" s="14" t="s">
        <v>20</v>
      </c>
      <c r="C12" s="15"/>
      <c r="D12" s="15"/>
      <c r="E12" s="15"/>
      <c r="F12" s="15"/>
      <c r="G12" s="16"/>
      <c r="H12" s="16"/>
      <c r="I12" s="16"/>
      <c r="J12" s="16"/>
      <c r="K12" s="10"/>
      <c r="L12" s="10" t="s">
        <v>21</v>
      </c>
      <c r="M12" s="10">
        <v>443</v>
      </c>
      <c r="N12" s="15"/>
      <c r="O12" s="16"/>
      <c r="P12" s="16"/>
      <c r="Q12" s="16"/>
      <c r="R12" s="16"/>
      <c r="S12" s="15"/>
      <c r="T12" s="15"/>
      <c r="U12" s="15"/>
      <c r="V12" s="15"/>
      <c r="W12" s="16"/>
      <c r="X12" s="16"/>
      <c r="Y12" s="16"/>
      <c r="Z12" s="16"/>
    </row>
    <row r="13" spans="1:26">
      <c r="A13" s="13"/>
      <c r="B13" s="17" t="s">
        <v>22</v>
      </c>
      <c r="C13" s="18"/>
      <c r="D13" s="15"/>
      <c r="E13" s="15"/>
      <c r="F13" s="15"/>
      <c r="G13" s="16"/>
      <c r="H13" s="16"/>
      <c r="I13" s="16"/>
      <c r="J13" s="16"/>
      <c r="K13" s="10"/>
      <c r="L13" s="10"/>
      <c r="M13" s="10"/>
      <c r="N13" s="19">
        <v>150</v>
      </c>
      <c r="O13" s="16"/>
      <c r="P13" s="16"/>
      <c r="Q13" s="16"/>
      <c r="R13" s="16"/>
      <c r="S13" s="15"/>
      <c r="T13" s="15"/>
      <c r="U13" s="15"/>
      <c r="V13" s="15"/>
      <c r="W13" s="16"/>
      <c r="X13" s="16"/>
      <c r="Y13" s="16"/>
      <c r="Z13" s="16"/>
    </row>
    <row r="14" spans="1:26">
      <c r="C14" s="11"/>
      <c r="D14" s="11"/>
      <c r="E14" s="11"/>
      <c r="F14" s="11"/>
      <c r="K14" s="11"/>
      <c r="L14" s="11"/>
      <c r="M14" s="11"/>
      <c r="N14" s="11"/>
      <c r="S14" s="11"/>
      <c r="T14" s="11"/>
      <c r="U14" s="11"/>
      <c r="V14" s="11"/>
    </row>
    <row r="15" spans="1:26">
      <c r="A15" s="20" t="s">
        <v>23</v>
      </c>
      <c r="B15" s="21" t="s">
        <v>24</v>
      </c>
      <c r="C15" s="15"/>
      <c r="D15" s="15"/>
      <c r="E15" s="15"/>
      <c r="F15" s="15"/>
      <c r="G15" s="16"/>
      <c r="H15" s="16"/>
      <c r="I15" s="8">
        <v>334</v>
      </c>
      <c r="J15" s="8"/>
      <c r="K15" s="10"/>
      <c r="L15" s="10"/>
      <c r="M15" s="10"/>
      <c r="N15" s="15"/>
      <c r="O15" s="16"/>
      <c r="P15" s="16"/>
      <c r="Q15" s="16"/>
      <c r="R15" s="16"/>
      <c r="S15" s="15"/>
      <c r="T15" s="15"/>
      <c r="U15" s="15"/>
      <c r="V15" s="15"/>
      <c r="W15" s="16"/>
      <c r="X15" s="16"/>
      <c r="Y15" s="16"/>
      <c r="Z15" s="16"/>
    </row>
    <row r="16" spans="1:26">
      <c r="A16" s="20"/>
      <c r="B16" s="21" t="s">
        <v>25</v>
      </c>
      <c r="C16" s="15"/>
      <c r="D16" s="15"/>
      <c r="E16" s="15"/>
      <c r="F16" s="15"/>
      <c r="G16" s="16"/>
      <c r="H16" s="16"/>
      <c r="I16" s="8"/>
      <c r="J16" s="8"/>
      <c r="K16" s="10">
        <v>87.5</v>
      </c>
      <c r="L16" s="10"/>
      <c r="M16" s="10"/>
      <c r="N16" s="15"/>
      <c r="O16" s="16"/>
      <c r="P16" s="16"/>
      <c r="Q16" s="16"/>
      <c r="R16" s="16"/>
      <c r="S16" s="15"/>
      <c r="T16" s="15"/>
      <c r="U16" s="15"/>
      <c r="V16" s="15"/>
      <c r="W16" s="16"/>
      <c r="X16" s="16"/>
      <c r="Y16" s="16"/>
      <c r="Z16" s="16"/>
    </row>
    <row r="17" spans="1:26">
      <c r="A17" s="20"/>
      <c r="B17" s="21" t="s">
        <v>26</v>
      </c>
      <c r="C17" s="15"/>
      <c r="D17" s="15"/>
      <c r="E17" s="15"/>
      <c r="F17" s="15"/>
      <c r="G17" s="16"/>
      <c r="H17" s="16"/>
      <c r="I17" s="8"/>
      <c r="J17" s="8">
        <v>216.2</v>
      </c>
      <c r="K17" s="10"/>
      <c r="L17" s="10"/>
      <c r="M17" s="10"/>
      <c r="N17" s="15"/>
      <c r="O17" s="16"/>
      <c r="P17" s="16"/>
      <c r="Q17" s="16"/>
      <c r="R17" s="16"/>
      <c r="S17" s="15"/>
      <c r="T17" s="15"/>
      <c r="U17" s="15"/>
      <c r="V17" s="15"/>
      <c r="W17" s="16"/>
      <c r="X17" s="16"/>
      <c r="Y17" s="16"/>
      <c r="Z17" s="16"/>
    </row>
    <row r="18" spans="1:26">
      <c r="A18" s="20"/>
      <c r="B18" s="22" t="s">
        <v>22</v>
      </c>
      <c r="C18" s="15"/>
      <c r="D18" s="15"/>
      <c r="E18" s="15"/>
      <c r="F18" s="15"/>
      <c r="G18" s="16"/>
      <c r="H18" s="16"/>
      <c r="I18" s="8"/>
      <c r="J18" s="8"/>
      <c r="K18" s="10"/>
      <c r="L18" s="19">
        <v>35</v>
      </c>
      <c r="M18" s="10"/>
      <c r="N18" s="15"/>
      <c r="O18" s="16"/>
      <c r="P18" s="16"/>
      <c r="Q18" s="16"/>
      <c r="R18" s="16"/>
      <c r="S18" s="15"/>
      <c r="T18" s="15"/>
      <c r="U18" s="15"/>
      <c r="V18" s="15"/>
    </row>
    <row r="19" spans="1:26">
      <c r="A19" s="20" t="s">
        <v>27</v>
      </c>
      <c r="B19" s="23" t="s">
        <v>28</v>
      </c>
      <c r="C19" s="15"/>
      <c r="D19" s="15"/>
      <c r="E19" s="15"/>
      <c r="F19" s="15"/>
      <c r="G19" s="16"/>
      <c r="H19" s="16"/>
      <c r="I19" s="8" t="s">
        <v>21</v>
      </c>
      <c r="J19" s="8"/>
      <c r="K19" s="10">
        <v>334</v>
      </c>
      <c r="L19" s="10"/>
      <c r="M19" s="10"/>
      <c r="N19" s="15"/>
      <c r="O19" s="16"/>
      <c r="P19" s="16"/>
      <c r="Q19" s="16"/>
      <c r="R19" s="16"/>
      <c r="S19" s="15"/>
      <c r="T19" s="15"/>
      <c r="U19" s="15"/>
      <c r="V19" s="15"/>
      <c r="W19" s="16"/>
      <c r="X19" s="16"/>
      <c r="Y19" s="16"/>
      <c r="Z19" s="16"/>
    </row>
    <row r="20" spans="1:26">
      <c r="A20" s="20"/>
      <c r="B20" s="23" t="s">
        <v>25</v>
      </c>
      <c r="C20" s="15"/>
      <c r="D20" s="15"/>
      <c r="E20" s="15"/>
      <c r="F20" s="15"/>
      <c r="G20" s="16"/>
      <c r="H20" s="16"/>
      <c r="I20" s="8"/>
      <c r="J20" s="8"/>
      <c r="K20" s="10"/>
      <c r="L20" s="10">
        <v>87.5</v>
      </c>
      <c r="M20" s="10"/>
      <c r="N20" s="15"/>
      <c r="O20" s="16"/>
      <c r="P20" s="16"/>
      <c r="Q20" s="16"/>
      <c r="R20" s="16"/>
      <c r="S20" s="15"/>
      <c r="T20" s="15"/>
      <c r="U20" s="15"/>
      <c r="V20" s="15"/>
      <c r="W20" s="16"/>
      <c r="X20" s="16"/>
      <c r="Y20" s="16"/>
      <c r="Z20" s="16"/>
    </row>
    <row r="21" spans="1:26">
      <c r="A21" s="20"/>
      <c r="B21" s="23" t="s">
        <v>26</v>
      </c>
      <c r="C21" s="15"/>
      <c r="D21" s="15"/>
      <c r="E21" s="15"/>
      <c r="F21" s="15"/>
      <c r="G21" s="16"/>
      <c r="H21" s="16"/>
      <c r="I21" s="8"/>
      <c r="J21" s="8"/>
      <c r="K21" s="10"/>
      <c r="L21" s="10">
        <v>216.2</v>
      </c>
      <c r="M21" s="10"/>
      <c r="N21" s="15"/>
      <c r="O21" s="16"/>
      <c r="P21" s="16"/>
      <c r="Q21" s="16"/>
      <c r="R21" s="16"/>
      <c r="S21" s="15"/>
      <c r="T21" s="15"/>
      <c r="U21" s="15"/>
      <c r="V21" s="15"/>
      <c r="W21" s="16"/>
      <c r="X21" s="16"/>
      <c r="Y21" s="16"/>
      <c r="Z21" s="16"/>
    </row>
    <row r="22" spans="1:26">
      <c r="A22" s="20"/>
      <c r="B22" s="22" t="s">
        <v>22</v>
      </c>
      <c r="C22" s="15"/>
      <c r="D22" s="15"/>
      <c r="E22" s="15"/>
      <c r="F22" s="15"/>
      <c r="G22" s="16"/>
      <c r="H22" s="16"/>
      <c r="I22" s="8"/>
      <c r="J22" s="8"/>
      <c r="K22" s="10"/>
      <c r="L22" s="10"/>
      <c r="M22" s="19">
        <v>35</v>
      </c>
      <c r="N22" s="15"/>
      <c r="O22" s="16"/>
      <c r="P22" s="16"/>
      <c r="Q22" s="16"/>
      <c r="R22" s="16"/>
      <c r="S22" s="15"/>
      <c r="T22" s="15"/>
      <c r="U22" s="15"/>
      <c r="V22" s="24"/>
      <c r="W22" s="16"/>
      <c r="X22" s="16"/>
      <c r="Y22" s="16"/>
      <c r="Z22" s="16"/>
    </row>
    <row r="23" spans="1:26">
      <c r="A23" s="20" t="s">
        <v>29</v>
      </c>
      <c r="B23" s="23" t="s">
        <v>30</v>
      </c>
      <c r="C23" s="25"/>
      <c r="D23" s="15"/>
      <c r="E23" s="15"/>
      <c r="F23" s="15"/>
      <c r="G23" s="16"/>
      <c r="H23" s="16"/>
      <c r="I23" s="8"/>
      <c r="J23" s="8"/>
      <c r="K23" s="10"/>
      <c r="L23" s="10"/>
      <c r="M23" s="10">
        <v>216.2</v>
      </c>
      <c r="N23" s="15"/>
      <c r="O23" s="16"/>
      <c r="P23" s="16"/>
      <c r="Q23" s="16"/>
      <c r="R23" s="16"/>
      <c r="S23" s="15"/>
      <c r="T23" s="15"/>
      <c r="U23" s="15"/>
      <c r="V23" s="24"/>
      <c r="W23" s="16"/>
      <c r="X23" s="16"/>
      <c r="Y23" s="16"/>
      <c r="Z23" s="16"/>
    </row>
    <row r="24" spans="1:26">
      <c r="A24" s="20"/>
      <c r="B24" s="23" t="s">
        <v>25</v>
      </c>
      <c r="C24" s="25"/>
      <c r="D24" s="15"/>
      <c r="E24" s="15"/>
      <c r="F24" s="15"/>
      <c r="G24" s="16"/>
      <c r="H24" s="16"/>
      <c r="I24" s="8"/>
      <c r="J24" s="8"/>
      <c r="K24" s="10"/>
      <c r="L24" s="10"/>
      <c r="M24" s="10">
        <v>87.5</v>
      </c>
      <c r="N24" s="15"/>
      <c r="O24" s="16"/>
      <c r="P24" s="16"/>
      <c r="Q24" s="16"/>
      <c r="R24" s="16"/>
      <c r="S24" s="15"/>
      <c r="T24" s="15"/>
      <c r="U24" s="15"/>
      <c r="V24" s="24"/>
      <c r="W24" s="16"/>
      <c r="X24" s="16"/>
      <c r="Y24" s="16"/>
      <c r="Z24" s="16"/>
    </row>
    <row r="25" spans="1:26">
      <c r="A25" s="20"/>
      <c r="B25" s="26" t="s">
        <v>22</v>
      </c>
      <c r="C25" s="25"/>
      <c r="D25" s="15"/>
      <c r="E25" s="15"/>
      <c r="F25" s="15"/>
      <c r="G25" s="16"/>
      <c r="H25" s="16"/>
      <c r="I25" s="8"/>
      <c r="J25" s="8"/>
      <c r="K25" s="10"/>
      <c r="L25" s="10"/>
      <c r="M25" s="10"/>
      <c r="N25" s="19">
        <v>25</v>
      </c>
      <c r="O25" s="16"/>
      <c r="P25" s="16"/>
      <c r="Q25" s="16"/>
      <c r="R25" s="16"/>
      <c r="S25" s="15"/>
      <c r="T25" s="15"/>
      <c r="U25" s="15"/>
      <c r="V25" s="24"/>
      <c r="W25" s="16"/>
      <c r="X25" s="16"/>
      <c r="Y25" s="16"/>
      <c r="Z25" s="16"/>
    </row>
    <row r="26" spans="1:26">
      <c r="C26" s="11"/>
      <c r="D26" s="11"/>
      <c r="E26" s="11"/>
      <c r="F26" s="11"/>
      <c r="K26" s="11"/>
      <c r="L26" s="11"/>
      <c r="M26" s="11"/>
      <c r="N26" s="11"/>
      <c r="S26" s="11"/>
      <c r="T26" s="11"/>
      <c r="U26" s="11"/>
      <c r="V26" s="11"/>
      <c r="W26" s="16"/>
      <c r="X26" s="16"/>
      <c r="Y26" s="16"/>
      <c r="Z26" s="16"/>
    </row>
    <row r="27" spans="1:26">
      <c r="A27" s="27" t="s">
        <v>31</v>
      </c>
      <c r="B27" s="28" t="s">
        <v>32</v>
      </c>
      <c r="C27" s="25"/>
      <c r="D27" s="15"/>
      <c r="E27" s="15"/>
      <c r="F27" s="15"/>
      <c r="G27" s="16"/>
      <c r="H27" s="16"/>
      <c r="I27" s="16"/>
      <c r="J27" s="16"/>
      <c r="K27" s="10">
        <v>80</v>
      </c>
      <c r="L27" s="10"/>
      <c r="M27" s="10"/>
      <c r="N27" s="10"/>
      <c r="O27" s="8"/>
      <c r="P27" s="16"/>
      <c r="Q27" s="16"/>
      <c r="R27" s="16"/>
      <c r="S27" s="15"/>
      <c r="T27" s="15"/>
      <c r="U27" s="15"/>
      <c r="V27" s="24"/>
      <c r="W27" s="16"/>
      <c r="X27" s="16"/>
      <c r="Y27" s="16"/>
      <c r="Z27" s="16"/>
    </row>
    <row r="28" spans="1:26">
      <c r="A28" s="27"/>
      <c r="B28" s="28" t="s">
        <v>16</v>
      </c>
      <c r="C28" s="25"/>
      <c r="D28" s="15"/>
      <c r="E28" s="15"/>
      <c r="F28" s="15"/>
      <c r="G28" s="16"/>
      <c r="H28" s="16"/>
      <c r="I28" s="16"/>
      <c r="J28" s="16"/>
      <c r="K28" s="10"/>
      <c r="L28" s="10">
        <v>57</v>
      </c>
      <c r="M28" s="10"/>
      <c r="N28" s="10"/>
      <c r="O28" s="8"/>
      <c r="P28" s="16"/>
      <c r="Q28" s="16"/>
      <c r="R28" s="16"/>
      <c r="S28" s="15"/>
      <c r="T28" s="15"/>
      <c r="U28" s="15"/>
      <c r="V28" s="24"/>
      <c r="W28" s="16"/>
      <c r="X28" s="16"/>
      <c r="Y28" s="16"/>
      <c r="Z28" s="16"/>
    </row>
    <row r="29" spans="1:26">
      <c r="A29" s="27"/>
      <c r="B29" s="28" t="s">
        <v>33</v>
      </c>
      <c r="C29" s="25"/>
      <c r="D29" s="15"/>
      <c r="E29" s="15"/>
      <c r="F29" s="15"/>
      <c r="G29" s="16"/>
      <c r="H29" s="16"/>
      <c r="I29" s="16"/>
      <c r="J29" s="16"/>
      <c r="K29" s="10"/>
      <c r="L29" s="10"/>
      <c r="M29" s="10">
        <v>119.3</v>
      </c>
      <c r="N29" s="10"/>
      <c r="O29" s="8"/>
      <c r="P29" s="16"/>
      <c r="Q29" s="16"/>
      <c r="R29" s="16"/>
      <c r="S29" s="15"/>
      <c r="T29" s="15"/>
      <c r="U29" s="15"/>
      <c r="V29" s="24"/>
      <c r="W29" s="16"/>
      <c r="X29" s="16"/>
      <c r="Y29" s="16"/>
      <c r="Z29" s="16"/>
    </row>
    <row r="30" spans="1:26">
      <c r="A30" s="27"/>
      <c r="B30" s="28" t="s">
        <v>34</v>
      </c>
      <c r="C30" s="25"/>
      <c r="D30" s="15"/>
      <c r="E30" s="15"/>
      <c r="F30" s="15"/>
      <c r="G30" s="16"/>
      <c r="H30" s="16"/>
      <c r="I30" s="16"/>
      <c r="J30" s="16"/>
      <c r="K30" s="10">
        <v>137.1</v>
      </c>
      <c r="L30" s="10">
        <v>137.1</v>
      </c>
      <c r="M30" s="10">
        <v>137.1</v>
      </c>
      <c r="N30" s="10"/>
      <c r="O30" s="8"/>
      <c r="P30" s="16"/>
      <c r="Q30" s="16"/>
      <c r="R30" s="16"/>
      <c r="S30" s="15"/>
      <c r="T30" s="15"/>
      <c r="U30" s="15"/>
      <c r="V30" s="24"/>
      <c r="W30" s="16"/>
      <c r="X30" s="16"/>
      <c r="Y30" s="16"/>
      <c r="Z30" s="16"/>
    </row>
    <row r="31" spans="1:26">
      <c r="A31" s="27"/>
      <c r="B31" s="29" t="s">
        <v>22</v>
      </c>
      <c r="C31" s="15"/>
      <c r="D31" s="15"/>
      <c r="E31" s="15"/>
      <c r="F31" s="15"/>
      <c r="G31" s="16"/>
      <c r="H31" s="16"/>
      <c r="I31" s="16"/>
      <c r="J31" s="16"/>
      <c r="K31" s="10"/>
      <c r="L31" s="10"/>
      <c r="M31" s="10"/>
      <c r="N31" s="19">
        <v>30</v>
      </c>
      <c r="O31" s="8"/>
      <c r="P31" s="16"/>
      <c r="Q31" s="16"/>
      <c r="R31" s="16"/>
      <c r="S31" s="15"/>
      <c r="T31" s="15"/>
      <c r="U31" s="15"/>
      <c r="V31" s="24"/>
      <c r="W31" s="16"/>
      <c r="X31" s="16"/>
      <c r="Y31" s="16"/>
      <c r="Z31" s="16"/>
    </row>
    <row r="32" spans="1:26">
      <c r="A32" s="27" t="s">
        <v>35</v>
      </c>
      <c r="B32" s="28" t="s">
        <v>36</v>
      </c>
      <c r="C32" s="15"/>
      <c r="D32" s="15"/>
      <c r="E32" s="15"/>
      <c r="F32" s="15"/>
      <c r="G32" s="16"/>
      <c r="H32" s="16"/>
      <c r="I32" s="16"/>
      <c r="J32" s="16"/>
      <c r="K32" s="10">
        <v>90</v>
      </c>
      <c r="L32" s="10"/>
      <c r="M32" s="10"/>
      <c r="N32" s="10"/>
      <c r="O32" s="8"/>
      <c r="P32" s="16"/>
      <c r="Q32" s="16"/>
      <c r="R32" s="16"/>
      <c r="S32" s="15"/>
      <c r="T32" s="15"/>
      <c r="U32" s="15"/>
      <c r="V32" s="24"/>
      <c r="W32" s="16"/>
      <c r="X32" s="16"/>
      <c r="Y32" s="16"/>
      <c r="Z32" s="16"/>
    </row>
    <row r="33" spans="1:26">
      <c r="A33" s="27"/>
      <c r="B33" s="28" t="s">
        <v>16</v>
      </c>
      <c r="C33" s="15"/>
      <c r="D33" s="15"/>
      <c r="E33" s="15"/>
      <c r="F33" s="15"/>
      <c r="G33" s="16"/>
      <c r="H33" s="16"/>
      <c r="I33" s="16"/>
      <c r="J33" s="16"/>
      <c r="K33" s="10"/>
      <c r="L33" s="10">
        <v>47</v>
      </c>
      <c r="M33" s="10"/>
      <c r="N33" s="10"/>
      <c r="O33" s="8"/>
      <c r="P33" s="16"/>
      <c r="Q33" s="16"/>
      <c r="R33" s="16"/>
      <c r="S33" s="15"/>
      <c r="T33" s="15"/>
      <c r="U33" s="15"/>
      <c r="V33" s="24"/>
      <c r="W33" s="16"/>
      <c r="X33" s="16"/>
      <c r="Y33" s="16"/>
      <c r="Z33" s="16"/>
    </row>
    <row r="34" spans="1:26">
      <c r="A34" s="27"/>
      <c r="B34" s="28" t="s">
        <v>33</v>
      </c>
      <c r="C34" s="15"/>
      <c r="D34" s="15"/>
      <c r="E34" s="15"/>
      <c r="F34" s="15"/>
      <c r="G34" s="16"/>
      <c r="H34" s="16"/>
      <c r="I34" s="16"/>
      <c r="J34" s="16"/>
      <c r="K34" s="10"/>
      <c r="L34" s="10"/>
      <c r="M34" s="10">
        <v>119.3</v>
      </c>
      <c r="N34" s="10"/>
      <c r="O34" s="8"/>
      <c r="P34" s="16"/>
      <c r="Q34" s="16"/>
      <c r="R34" s="16"/>
      <c r="S34" s="15"/>
      <c r="T34" s="15"/>
      <c r="U34" s="15"/>
      <c r="V34" s="24"/>
      <c r="W34" s="16"/>
      <c r="X34" s="16"/>
      <c r="Y34" s="16"/>
      <c r="Z34" s="16"/>
    </row>
    <row r="35" spans="1:26">
      <c r="A35" s="27"/>
      <c r="B35" s="28" t="s">
        <v>37</v>
      </c>
      <c r="C35" s="15"/>
      <c r="D35" s="15"/>
      <c r="E35" s="15"/>
      <c r="F35" s="15"/>
      <c r="G35" s="16"/>
      <c r="H35" s="16"/>
      <c r="I35" s="16"/>
      <c r="J35" s="16"/>
      <c r="K35" s="10">
        <v>136.5</v>
      </c>
      <c r="L35" s="10">
        <v>136.5</v>
      </c>
      <c r="M35" s="10">
        <v>136.5</v>
      </c>
      <c r="N35" s="10"/>
      <c r="O35" s="8"/>
      <c r="P35" s="16"/>
      <c r="Q35" s="16"/>
      <c r="R35" s="16"/>
      <c r="S35" s="15"/>
      <c r="T35" s="15"/>
      <c r="U35" s="15"/>
      <c r="V35" s="24"/>
      <c r="W35" s="16"/>
      <c r="X35" s="16"/>
      <c r="Y35" s="16"/>
      <c r="Z35" s="16"/>
    </row>
    <row r="36" spans="1:26">
      <c r="A36" s="27"/>
      <c r="B36" s="28" t="s">
        <v>28</v>
      </c>
      <c r="C36" s="15"/>
      <c r="D36" s="15"/>
      <c r="E36" s="15"/>
      <c r="F36" s="15"/>
      <c r="G36" s="16"/>
      <c r="H36" s="16"/>
      <c r="I36" s="16"/>
      <c r="J36" s="16"/>
      <c r="K36" s="10"/>
      <c r="L36" s="10"/>
      <c r="M36" s="10">
        <v>113.7</v>
      </c>
      <c r="N36" s="10">
        <v>113.7</v>
      </c>
      <c r="O36" s="8"/>
      <c r="P36" s="16"/>
      <c r="Q36" s="16"/>
      <c r="R36" s="16"/>
      <c r="S36" s="15"/>
      <c r="T36" s="15"/>
      <c r="U36" s="15"/>
      <c r="V36" s="24"/>
      <c r="W36" s="16"/>
      <c r="X36" s="16"/>
      <c r="Y36" s="16"/>
      <c r="Z36" s="16"/>
    </row>
    <row r="37" spans="1:26">
      <c r="A37" s="27"/>
      <c r="B37" s="28" t="s">
        <v>26</v>
      </c>
      <c r="C37" s="15"/>
      <c r="D37" s="15"/>
      <c r="E37" s="15"/>
      <c r="F37" s="15"/>
      <c r="G37" s="16"/>
      <c r="H37" s="16"/>
      <c r="I37" s="16"/>
      <c r="J37" s="16"/>
      <c r="K37" s="10"/>
      <c r="L37" s="10"/>
      <c r="M37" s="10">
        <v>108.1</v>
      </c>
      <c r="N37" s="10">
        <v>108.1</v>
      </c>
      <c r="O37" s="8"/>
      <c r="P37" s="16"/>
      <c r="Q37" s="16"/>
      <c r="R37" s="16"/>
      <c r="S37" s="15"/>
      <c r="T37" s="15"/>
      <c r="U37" s="15"/>
      <c r="V37" s="24"/>
      <c r="W37" s="16"/>
      <c r="X37" s="16"/>
      <c r="Y37" s="16"/>
      <c r="Z37" s="16"/>
    </row>
    <row r="38" spans="1:26">
      <c r="A38" s="27"/>
      <c r="B38" s="28" t="s">
        <v>38</v>
      </c>
      <c r="C38" s="15"/>
      <c r="D38" s="15"/>
      <c r="E38" s="15"/>
      <c r="F38" s="15"/>
      <c r="G38" s="16"/>
      <c r="H38" s="16"/>
      <c r="I38" s="16"/>
      <c r="J38" s="16"/>
      <c r="K38" s="10"/>
      <c r="L38" s="10"/>
      <c r="M38" s="10"/>
      <c r="N38" s="10"/>
      <c r="O38" s="8">
        <v>87</v>
      </c>
      <c r="P38" s="16"/>
      <c r="Q38" s="16"/>
      <c r="R38" s="16"/>
      <c r="S38" s="15"/>
      <c r="T38" s="15"/>
      <c r="U38" s="15"/>
      <c r="V38" s="24"/>
      <c r="W38" s="16"/>
      <c r="X38" s="16"/>
      <c r="Y38" s="16"/>
      <c r="Z38" s="16"/>
    </row>
    <row r="39" spans="1:26">
      <c r="A39" s="27"/>
      <c r="B39" s="30" t="s">
        <v>22</v>
      </c>
      <c r="C39" s="15"/>
      <c r="D39" s="15"/>
      <c r="E39" s="15"/>
      <c r="F39" s="15"/>
      <c r="G39" s="16"/>
      <c r="H39" s="16"/>
      <c r="I39" s="16"/>
      <c r="J39" s="16"/>
      <c r="K39" s="10"/>
      <c r="L39" s="10"/>
      <c r="M39" s="10"/>
      <c r="N39" s="10"/>
      <c r="O39" s="8"/>
      <c r="P39" s="31">
        <v>56.9</v>
      </c>
      <c r="Q39" s="16"/>
      <c r="R39" s="16"/>
      <c r="S39" s="15"/>
      <c r="T39" s="15"/>
      <c r="U39" s="15"/>
      <c r="V39" s="24"/>
      <c r="W39" s="16"/>
      <c r="X39" s="16"/>
      <c r="Y39" s="16"/>
      <c r="Z39" s="16"/>
    </row>
    <row r="40" spans="1:26">
      <c r="B40" s="16"/>
      <c r="C40" s="15"/>
      <c r="D40" s="15"/>
      <c r="E40" s="15"/>
      <c r="F40" s="15"/>
      <c r="G40" s="16"/>
      <c r="H40" s="16"/>
      <c r="I40" s="16"/>
      <c r="J40" s="16"/>
      <c r="K40" s="15"/>
      <c r="L40" s="15"/>
      <c r="M40" s="15"/>
      <c r="N40" s="15"/>
      <c r="O40" s="16"/>
      <c r="P40" s="16"/>
      <c r="Q40" s="16"/>
      <c r="R40" s="16"/>
      <c r="S40" s="15"/>
      <c r="T40" s="15"/>
      <c r="U40" s="15"/>
      <c r="V40" s="24"/>
      <c r="W40" s="16"/>
      <c r="X40" s="16"/>
      <c r="Y40" s="16"/>
      <c r="Z40" s="16"/>
    </row>
    <row r="41" spans="1:26">
      <c r="B41" s="32" t="s">
        <v>39</v>
      </c>
      <c r="C41" s="15"/>
      <c r="D41" s="15"/>
      <c r="E41" s="15"/>
      <c r="F41" s="15"/>
      <c r="G41" s="16"/>
      <c r="H41" s="16"/>
      <c r="I41" s="16"/>
      <c r="J41" s="16"/>
      <c r="K41" s="15"/>
      <c r="L41" s="15"/>
      <c r="M41" s="15"/>
      <c r="N41" s="15"/>
      <c r="O41" s="16"/>
      <c r="P41" s="8">
        <v>500</v>
      </c>
      <c r="Q41" s="16"/>
      <c r="R41" s="16"/>
      <c r="S41" s="15"/>
      <c r="T41" s="15"/>
      <c r="U41" s="15"/>
      <c r="V41" s="24"/>
      <c r="W41" s="16"/>
      <c r="X41" s="16"/>
      <c r="Y41" s="16"/>
      <c r="Z41" s="16"/>
    </row>
    <row r="43" spans="1:26">
      <c r="P43">
        <f>SUM(E3:P41)</f>
        <v>7400.0000000000009</v>
      </c>
    </row>
    <row r="45" spans="1:26">
      <c r="F45">
        <f>SUM(C3:F41)</f>
        <v>120</v>
      </c>
      <c r="J45">
        <f>SUM(G3:J41)</f>
        <v>1377.2</v>
      </c>
      <c r="N45">
        <f>SUM(K3:N41)</f>
        <v>5186.9000000000005</v>
      </c>
      <c r="R45">
        <f>SUM(O3:R41)</f>
        <v>715.9</v>
      </c>
    </row>
    <row r="46" spans="1:26">
      <c r="F46" s="43">
        <f>F45/$P$43</f>
        <v>1.6216216216216214E-2</v>
      </c>
      <c r="J46" s="43">
        <f>J45/$P$43</f>
        <v>0.1861081081081081</v>
      </c>
      <c r="N46" s="43">
        <f>N45/$P$43</f>
        <v>0.70093243243243242</v>
      </c>
      <c r="R46" s="43">
        <f>R45/$P$43</f>
        <v>9.6743243243243224E-2</v>
      </c>
    </row>
    <row r="48" spans="1:26">
      <c r="F48" s="108">
        <v>2022</v>
      </c>
      <c r="G48" s="108">
        <v>2023</v>
      </c>
      <c r="H48" s="108">
        <v>2024</v>
      </c>
      <c r="I48" s="108">
        <v>2025</v>
      </c>
      <c r="J48" s="108">
        <v>2026</v>
      </c>
      <c r="K48" s="108">
        <v>2027</v>
      </c>
    </row>
    <row r="49" spans="5:9">
      <c r="E49" t="s">
        <v>276</v>
      </c>
      <c r="F49" s="219">
        <f>F45/1000</f>
        <v>0.12</v>
      </c>
      <c r="G49" s="219">
        <f>J45/1000</f>
        <v>1.3772</v>
      </c>
      <c r="H49" s="219">
        <f>N45/1000</f>
        <v>5.1869000000000005</v>
      </c>
      <c r="I49" s="219">
        <f>R45/1000</f>
        <v>0.71589999999999998</v>
      </c>
    </row>
  </sheetData>
  <mergeCells count="6">
    <mergeCell ref="W1:Z1"/>
    <mergeCell ref="C1:F1"/>
    <mergeCell ref="G1:J1"/>
    <mergeCell ref="K1:N1"/>
    <mergeCell ref="O1:R1"/>
    <mergeCell ref="S1:V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95"/>
  <sheetViews>
    <sheetView zoomScale="85" zoomScaleNormal="85" workbookViewId="0">
      <pane ySplit="1" topLeftCell="A2" activePane="bottomLeft" state="frozen"/>
      <selection pane="bottomLeft" activeCell="M44" sqref="M44"/>
    </sheetView>
  </sheetViews>
  <sheetFormatPr defaultColWidth="8.7109375" defaultRowHeight="15"/>
  <cols>
    <col min="1" max="2" width="17.28515625" customWidth="1"/>
    <col min="3" max="3" width="58" bestFit="1" customWidth="1"/>
    <col min="4" max="6" width="9.140625" style="4"/>
    <col min="7" max="7" width="9.140625" style="110"/>
    <col min="8" max="10" width="9.140625" style="4"/>
    <col min="12" max="12" width="14" customWidth="1"/>
    <col min="19" max="19" width="9.42578125" bestFit="1" customWidth="1"/>
  </cols>
  <sheetData>
    <row r="1" spans="1:19">
      <c r="D1" s="108" t="s">
        <v>103</v>
      </c>
      <c r="E1" s="108">
        <v>2022</v>
      </c>
      <c r="F1" s="108">
        <v>2023</v>
      </c>
      <c r="G1" s="109">
        <v>2024</v>
      </c>
      <c r="H1" s="108">
        <v>2025</v>
      </c>
      <c r="I1" s="108">
        <v>2026</v>
      </c>
      <c r="J1" s="108">
        <v>2027</v>
      </c>
      <c r="K1" s="108" t="s">
        <v>49</v>
      </c>
      <c r="L1" s="108" t="s">
        <v>104</v>
      </c>
      <c r="M1" s="108">
        <v>2022</v>
      </c>
      <c r="N1" s="108">
        <v>2023</v>
      </c>
      <c r="O1" s="108">
        <v>2024</v>
      </c>
      <c r="P1" s="108">
        <v>2025</v>
      </c>
      <c r="Q1" s="108">
        <v>2026</v>
      </c>
      <c r="R1" s="108">
        <v>2027</v>
      </c>
      <c r="S1" s="108" t="s">
        <v>49</v>
      </c>
    </row>
    <row r="2" spans="1:19">
      <c r="A2" s="2" t="s">
        <v>105</v>
      </c>
    </row>
    <row r="3" spans="1:19" ht="15.75" thickBot="1">
      <c r="A3" s="1" t="s">
        <v>106</v>
      </c>
    </row>
    <row r="4" spans="1:19" ht="15.75" thickBot="1">
      <c r="A4" s="111" t="s">
        <v>107</v>
      </c>
      <c r="B4" s="112"/>
      <c r="C4" s="112"/>
      <c r="D4" s="113" t="s">
        <v>108</v>
      </c>
      <c r="E4" s="114"/>
      <c r="F4" s="114">
        <v>5</v>
      </c>
      <c r="G4" s="115">
        <v>5</v>
      </c>
      <c r="H4" s="114">
        <v>5</v>
      </c>
      <c r="I4" s="114"/>
      <c r="J4" s="114"/>
      <c r="K4" s="114">
        <f>SUM(E4:J4)</f>
        <v>15</v>
      </c>
      <c r="L4" s="114"/>
      <c r="M4" s="116">
        <f t="shared" ref="M4:R4" si="0">SUM(M6:M9,M11:M13,M15,M16)</f>
        <v>0</v>
      </c>
      <c r="N4" s="117">
        <f t="shared" si="0"/>
        <v>134150</v>
      </c>
      <c r="O4" s="117">
        <f t="shared" si="0"/>
        <v>134150</v>
      </c>
      <c r="P4" s="117">
        <f t="shared" si="0"/>
        <v>134150</v>
      </c>
      <c r="Q4" s="117">
        <f t="shared" si="0"/>
        <v>0</v>
      </c>
      <c r="R4" s="117">
        <f t="shared" si="0"/>
        <v>0</v>
      </c>
      <c r="S4" s="118">
        <f>SUM(S6:S9,S11:S13,S15,S16)</f>
        <v>402450</v>
      </c>
    </row>
    <row r="5" spans="1:19">
      <c r="A5" s="89"/>
      <c r="B5" s="83" t="s">
        <v>109</v>
      </c>
      <c r="C5" s="83"/>
      <c r="D5" s="41"/>
      <c r="E5" s="42"/>
      <c r="F5" s="42"/>
      <c r="G5" s="119"/>
      <c r="H5" s="42"/>
      <c r="I5" s="42"/>
      <c r="J5" s="42"/>
      <c r="K5" s="42"/>
      <c r="L5" s="42"/>
      <c r="M5" s="41"/>
      <c r="N5" s="41"/>
      <c r="O5" s="41"/>
      <c r="P5" s="41"/>
      <c r="Q5" s="41"/>
      <c r="R5" s="41"/>
      <c r="S5" s="120"/>
    </row>
    <row r="6" spans="1:19">
      <c r="A6" s="89"/>
      <c r="B6" s="83"/>
      <c r="C6" s="83" t="s">
        <v>110</v>
      </c>
      <c r="D6" s="41" t="s">
        <v>111</v>
      </c>
      <c r="E6" s="42">
        <v>0</v>
      </c>
      <c r="F6" s="42">
        <f>F4*10</f>
        <v>50</v>
      </c>
      <c r="G6" s="119">
        <f t="shared" ref="G6:H6" si="1">G4*10</f>
        <v>50</v>
      </c>
      <c r="H6" s="42">
        <f t="shared" si="1"/>
        <v>50</v>
      </c>
      <c r="I6" s="42">
        <v>0</v>
      </c>
      <c r="J6" s="42">
        <v>0</v>
      </c>
      <c r="K6" s="42">
        <f>SUM(E6:J6)</f>
        <v>150</v>
      </c>
      <c r="L6" s="42">
        <v>500</v>
      </c>
      <c r="M6" s="42">
        <f>E6*$L6</f>
        <v>0</v>
      </c>
      <c r="N6" s="42">
        <f t="shared" ref="N6:R9" si="2">F6*$L6</f>
        <v>25000</v>
      </c>
      <c r="O6" s="42">
        <f t="shared" si="2"/>
        <v>25000</v>
      </c>
      <c r="P6" s="42">
        <f t="shared" si="2"/>
        <v>25000</v>
      </c>
      <c r="Q6" s="42">
        <f t="shared" si="2"/>
        <v>0</v>
      </c>
      <c r="R6" s="42">
        <f t="shared" si="2"/>
        <v>0</v>
      </c>
      <c r="S6" s="121">
        <f>SUM(M6:R6)</f>
        <v>75000</v>
      </c>
    </row>
    <row r="7" spans="1:19">
      <c r="A7" s="89"/>
      <c r="B7" s="83"/>
      <c r="C7" s="83" t="s">
        <v>112</v>
      </c>
      <c r="D7" s="41" t="s">
        <v>113</v>
      </c>
      <c r="E7" s="42">
        <v>0</v>
      </c>
      <c r="F7" s="42">
        <v>5</v>
      </c>
      <c r="G7" s="119">
        <v>5</v>
      </c>
      <c r="H7" s="42">
        <v>5</v>
      </c>
      <c r="I7" s="42">
        <v>0</v>
      </c>
      <c r="J7" s="42">
        <v>0</v>
      </c>
      <c r="K7" s="42">
        <f>SUM(E7:J7)</f>
        <v>15</v>
      </c>
      <c r="L7" s="42">
        <v>1000</v>
      </c>
      <c r="M7" s="42">
        <f t="shared" ref="M7:M9" si="3">E7*$L7</f>
        <v>0</v>
      </c>
      <c r="N7" s="42">
        <f t="shared" si="2"/>
        <v>5000</v>
      </c>
      <c r="O7" s="42">
        <f t="shared" si="2"/>
        <v>5000</v>
      </c>
      <c r="P7" s="42">
        <f t="shared" si="2"/>
        <v>5000</v>
      </c>
      <c r="Q7" s="42">
        <f t="shared" si="2"/>
        <v>0</v>
      </c>
      <c r="R7" s="42">
        <f t="shared" si="2"/>
        <v>0</v>
      </c>
      <c r="S7" s="121">
        <f t="shared" ref="S7:S9" si="4">SUM(M7:R7)</f>
        <v>15000</v>
      </c>
    </row>
    <row r="8" spans="1:19">
      <c r="A8" s="89"/>
      <c r="B8" s="83"/>
      <c r="C8" s="83" t="s">
        <v>114</v>
      </c>
      <c r="D8" s="41" t="s">
        <v>115</v>
      </c>
      <c r="E8" s="42">
        <v>0</v>
      </c>
      <c r="F8" s="42">
        <f>2*F4</f>
        <v>10</v>
      </c>
      <c r="G8" s="119">
        <f t="shared" ref="G8:H8" si="5">2*G4</f>
        <v>10</v>
      </c>
      <c r="H8" s="42">
        <f t="shared" si="5"/>
        <v>10</v>
      </c>
      <c r="I8" s="42">
        <v>0</v>
      </c>
      <c r="J8" s="42">
        <v>0</v>
      </c>
      <c r="K8" s="42">
        <f>SUM(E8:J8)</f>
        <v>30</v>
      </c>
      <c r="L8" s="42">
        <v>1500</v>
      </c>
      <c r="M8" s="42">
        <f t="shared" si="3"/>
        <v>0</v>
      </c>
      <c r="N8" s="42">
        <f t="shared" si="2"/>
        <v>15000</v>
      </c>
      <c r="O8" s="42">
        <f t="shared" si="2"/>
        <v>15000</v>
      </c>
      <c r="P8" s="42">
        <f t="shared" si="2"/>
        <v>15000</v>
      </c>
      <c r="Q8" s="42">
        <f t="shared" si="2"/>
        <v>0</v>
      </c>
      <c r="R8" s="42">
        <f t="shared" si="2"/>
        <v>0</v>
      </c>
      <c r="S8" s="121">
        <f t="shared" si="4"/>
        <v>45000</v>
      </c>
    </row>
    <row r="9" spans="1:19">
      <c r="A9" s="89"/>
      <c r="B9" s="83"/>
      <c r="C9" s="83" t="s">
        <v>116</v>
      </c>
      <c r="D9" s="41" t="s">
        <v>113</v>
      </c>
      <c r="E9" s="42">
        <v>0</v>
      </c>
      <c r="F9" s="42">
        <v>5</v>
      </c>
      <c r="G9" s="119">
        <v>5</v>
      </c>
      <c r="H9" s="42">
        <v>5</v>
      </c>
      <c r="I9" s="42">
        <v>0</v>
      </c>
      <c r="J9" s="42">
        <v>0</v>
      </c>
      <c r="K9" s="42">
        <f>SUM(E9:J9)</f>
        <v>15</v>
      </c>
      <c r="L9" s="42">
        <v>2000</v>
      </c>
      <c r="M9" s="42">
        <f t="shared" si="3"/>
        <v>0</v>
      </c>
      <c r="N9" s="42">
        <f t="shared" si="2"/>
        <v>10000</v>
      </c>
      <c r="O9" s="42">
        <f t="shared" si="2"/>
        <v>10000</v>
      </c>
      <c r="P9" s="42">
        <f t="shared" si="2"/>
        <v>10000</v>
      </c>
      <c r="Q9" s="42">
        <f t="shared" si="2"/>
        <v>0</v>
      </c>
      <c r="R9" s="42">
        <f t="shared" si="2"/>
        <v>0</v>
      </c>
      <c r="S9" s="121">
        <f t="shared" si="4"/>
        <v>30000</v>
      </c>
    </row>
    <row r="10" spans="1:19">
      <c r="A10" s="89"/>
      <c r="B10" s="83" t="s">
        <v>117</v>
      </c>
      <c r="C10" s="83"/>
      <c r="D10" s="41"/>
      <c r="E10" s="41"/>
      <c r="F10" s="41"/>
      <c r="G10" s="40"/>
      <c r="H10" s="41"/>
      <c r="I10" s="41"/>
      <c r="J10" s="41"/>
      <c r="K10" s="83"/>
      <c r="L10" s="83"/>
      <c r="M10" s="83"/>
      <c r="N10" s="83"/>
      <c r="O10" s="83"/>
      <c r="P10" s="83"/>
      <c r="Q10" s="83"/>
      <c r="R10" s="83"/>
      <c r="S10" s="90"/>
    </row>
    <row r="11" spans="1:19">
      <c r="A11" s="89"/>
      <c r="B11" s="83"/>
      <c r="C11" s="83" t="s">
        <v>118</v>
      </c>
      <c r="D11" s="41" t="s">
        <v>119</v>
      </c>
      <c r="E11" s="41">
        <v>0</v>
      </c>
      <c r="F11" s="42">
        <f>2*5000*F4</f>
        <v>50000</v>
      </c>
      <c r="G11" s="119">
        <f t="shared" ref="G11:H11" si="6">2*5000*G4</f>
        <v>50000</v>
      </c>
      <c r="H11" s="42">
        <f t="shared" si="6"/>
        <v>50000</v>
      </c>
      <c r="I11" s="41">
        <v>0</v>
      </c>
      <c r="J11" s="41">
        <v>0</v>
      </c>
      <c r="K11" s="42">
        <f>SUM(E11:J11)</f>
        <v>150000</v>
      </c>
      <c r="L11" s="84">
        <v>0.15</v>
      </c>
      <c r="M11" s="42">
        <f>E11*$L11</f>
        <v>0</v>
      </c>
      <c r="N11" s="42">
        <f t="shared" ref="N11:R13" si="7">F11*$L11</f>
        <v>7500</v>
      </c>
      <c r="O11" s="42">
        <f t="shared" si="7"/>
        <v>7500</v>
      </c>
      <c r="P11" s="42">
        <f t="shared" si="7"/>
        <v>7500</v>
      </c>
      <c r="Q11" s="42">
        <f t="shared" si="7"/>
        <v>0</v>
      </c>
      <c r="R11" s="42">
        <f t="shared" si="7"/>
        <v>0</v>
      </c>
      <c r="S11" s="121">
        <f>SUM(M11:R11)</f>
        <v>22500</v>
      </c>
    </row>
    <row r="12" spans="1:19">
      <c r="A12" s="89"/>
      <c r="B12" s="83"/>
      <c r="C12" s="83" t="s">
        <v>120</v>
      </c>
      <c r="D12" s="41" t="s">
        <v>121</v>
      </c>
      <c r="E12" s="41">
        <v>0</v>
      </c>
      <c r="F12" s="42">
        <f>F11*0.7*1.2</f>
        <v>42000</v>
      </c>
      <c r="G12" s="119">
        <f t="shared" ref="G12:H12" si="8">G11*0.7*1.2</f>
        <v>42000</v>
      </c>
      <c r="H12" s="42">
        <f t="shared" si="8"/>
        <v>42000</v>
      </c>
      <c r="I12" s="41">
        <v>0</v>
      </c>
      <c r="J12" s="41">
        <v>0</v>
      </c>
      <c r="K12" s="42">
        <f>SUM(E12:J12)</f>
        <v>126000</v>
      </c>
      <c r="L12" s="84">
        <v>1.2</v>
      </c>
      <c r="M12" s="42">
        <f>E12*$L12</f>
        <v>0</v>
      </c>
      <c r="N12" s="42">
        <f t="shared" si="7"/>
        <v>50400</v>
      </c>
      <c r="O12" s="42">
        <f t="shared" si="7"/>
        <v>50400</v>
      </c>
      <c r="P12" s="42">
        <f t="shared" si="7"/>
        <v>50400</v>
      </c>
      <c r="Q12" s="42">
        <f t="shared" si="7"/>
        <v>0</v>
      </c>
      <c r="R12" s="42">
        <f t="shared" si="7"/>
        <v>0</v>
      </c>
      <c r="S12" s="121">
        <f>SUM(M12:R12)</f>
        <v>151200</v>
      </c>
    </row>
    <row r="13" spans="1:19">
      <c r="A13" s="89"/>
      <c r="B13" s="83"/>
      <c r="C13" s="83" t="s">
        <v>122</v>
      </c>
      <c r="D13" s="41" t="s">
        <v>123</v>
      </c>
      <c r="E13" s="41">
        <v>0</v>
      </c>
      <c r="F13" s="42">
        <v>5</v>
      </c>
      <c r="G13" s="119">
        <v>5</v>
      </c>
      <c r="H13" s="42">
        <v>5</v>
      </c>
      <c r="I13" s="41">
        <v>0</v>
      </c>
      <c r="J13" s="41">
        <v>0</v>
      </c>
      <c r="K13" s="42">
        <f>SUM(E13:J13)</f>
        <v>15</v>
      </c>
      <c r="L13" s="41">
        <v>250</v>
      </c>
      <c r="M13" s="42">
        <f>E13*$L13</f>
        <v>0</v>
      </c>
      <c r="N13" s="42">
        <f t="shared" si="7"/>
        <v>1250</v>
      </c>
      <c r="O13" s="42">
        <f t="shared" si="7"/>
        <v>1250</v>
      </c>
      <c r="P13" s="42">
        <f t="shared" si="7"/>
        <v>1250</v>
      </c>
      <c r="Q13" s="42">
        <f t="shared" si="7"/>
        <v>0</v>
      </c>
      <c r="R13" s="42">
        <f t="shared" si="7"/>
        <v>0</v>
      </c>
      <c r="S13" s="121">
        <f>SUM(M13:R13)</f>
        <v>3750</v>
      </c>
    </row>
    <row r="14" spans="1:19">
      <c r="A14" s="89"/>
      <c r="B14" s="83" t="s">
        <v>44</v>
      </c>
      <c r="C14" s="83"/>
      <c r="D14" s="41"/>
      <c r="E14" s="41"/>
      <c r="F14" s="41"/>
      <c r="G14" s="40"/>
      <c r="H14" s="41"/>
      <c r="I14" s="41"/>
      <c r="J14" s="41"/>
      <c r="K14" s="83"/>
      <c r="L14" s="83"/>
      <c r="M14" s="83"/>
      <c r="N14" s="83"/>
      <c r="O14" s="83"/>
      <c r="P14" s="83"/>
      <c r="Q14" s="83"/>
      <c r="R14" s="83"/>
      <c r="S14" s="90"/>
    </row>
    <row r="15" spans="1:19">
      <c r="A15" s="89"/>
      <c r="B15" s="83"/>
      <c r="C15" s="83" t="s">
        <v>124</v>
      </c>
      <c r="D15" s="41" t="s">
        <v>125</v>
      </c>
      <c r="E15" s="41"/>
      <c r="F15" s="41">
        <f>2*F4</f>
        <v>10</v>
      </c>
      <c r="G15" s="40">
        <f t="shared" ref="G15:H15" si="9">2*G4</f>
        <v>10</v>
      </c>
      <c r="H15" s="41">
        <f t="shared" si="9"/>
        <v>10</v>
      </c>
      <c r="I15" s="41"/>
      <c r="J15" s="41"/>
      <c r="K15" s="42">
        <f>SUM(E15:J15)</f>
        <v>30</v>
      </c>
      <c r="L15" s="42">
        <v>1000</v>
      </c>
      <c r="M15" s="42">
        <f>E15*$L15</f>
        <v>0</v>
      </c>
      <c r="N15" s="42">
        <f t="shared" ref="N15:R16" si="10">F15*$L15</f>
        <v>10000</v>
      </c>
      <c r="O15" s="42">
        <f t="shared" si="10"/>
        <v>10000</v>
      </c>
      <c r="P15" s="42">
        <f t="shared" si="10"/>
        <v>10000</v>
      </c>
      <c r="Q15" s="42">
        <f t="shared" si="10"/>
        <v>0</v>
      </c>
      <c r="R15" s="42">
        <f t="shared" si="10"/>
        <v>0</v>
      </c>
      <c r="S15" s="121">
        <f>SUM(M15:R15)</f>
        <v>30000</v>
      </c>
    </row>
    <row r="16" spans="1:19" ht="15.75" thickBot="1">
      <c r="A16" s="92"/>
      <c r="B16" s="96"/>
      <c r="C16" s="96" t="s">
        <v>126</v>
      </c>
      <c r="D16" s="122" t="s">
        <v>125</v>
      </c>
      <c r="E16" s="122"/>
      <c r="F16" s="122">
        <f>2*F4</f>
        <v>10</v>
      </c>
      <c r="G16" s="123">
        <f t="shared" ref="G16:H16" si="11">2*G4</f>
        <v>10</v>
      </c>
      <c r="H16" s="122">
        <f t="shared" si="11"/>
        <v>10</v>
      </c>
      <c r="I16" s="122"/>
      <c r="J16" s="122"/>
      <c r="K16" s="124">
        <f>SUM(E16:J16)</f>
        <v>30</v>
      </c>
      <c r="L16" s="124">
        <v>1000</v>
      </c>
      <c r="M16" s="124">
        <f>E16*$L16</f>
        <v>0</v>
      </c>
      <c r="N16" s="124">
        <f t="shared" si="10"/>
        <v>10000</v>
      </c>
      <c r="O16" s="124">
        <f t="shared" si="10"/>
        <v>10000</v>
      </c>
      <c r="P16" s="124">
        <f t="shared" si="10"/>
        <v>10000</v>
      </c>
      <c r="Q16" s="124">
        <f t="shared" si="10"/>
        <v>0</v>
      </c>
      <c r="R16" s="124">
        <f t="shared" si="10"/>
        <v>0</v>
      </c>
      <c r="S16" s="125">
        <f>SUM(M16:R16)</f>
        <v>30000</v>
      </c>
    </row>
    <row r="17" spans="1:19" ht="15.75" thickBot="1"/>
    <row r="18" spans="1:19" ht="15.75" thickBot="1">
      <c r="A18" s="111" t="s">
        <v>127</v>
      </c>
      <c r="B18" s="112"/>
      <c r="C18" s="112"/>
      <c r="D18" s="113" t="s">
        <v>108</v>
      </c>
      <c r="E18" s="114"/>
      <c r="F18" s="114"/>
      <c r="G18" s="115">
        <v>5</v>
      </c>
      <c r="H18" s="114">
        <v>5</v>
      </c>
      <c r="I18" s="114">
        <v>5</v>
      </c>
      <c r="J18" s="114"/>
      <c r="K18" s="114">
        <f>SUM(E18:J18)</f>
        <v>15</v>
      </c>
      <c r="L18" s="114"/>
      <c r="M18" s="116">
        <f t="shared" ref="M18:R18" si="12">SUM(M20:M23,M25:M27,M29,M30)</f>
        <v>0</v>
      </c>
      <c r="N18" s="117">
        <f t="shared" si="12"/>
        <v>0</v>
      </c>
      <c r="O18" s="117">
        <f t="shared" si="12"/>
        <v>134150</v>
      </c>
      <c r="P18" s="117">
        <f t="shared" si="12"/>
        <v>134150</v>
      </c>
      <c r="Q18" s="117">
        <f t="shared" si="12"/>
        <v>134150</v>
      </c>
      <c r="R18" s="117">
        <f t="shared" si="12"/>
        <v>0</v>
      </c>
      <c r="S18" s="118">
        <f>SUM(S20:S23,S25:S27,S29,S30)</f>
        <v>402450</v>
      </c>
    </row>
    <row r="19" spans="1:19">
      <c r="A19" s="89"/>
      <c r="B19" s="83" t="s">
        <v>109</v>
      </c>
      <c r="C19" s="83"/>
      <c r="D19" s="41"/>
      <c r="E19" s="42"/>
      <c r="F19" s="42"/>
      <c r="G19" s="119"/>
      <c r="H19" s="42"/>
      <c r="I19" s="42"/>
      <c r="J19" s="42"/>
      <c r="K19" s="42"/>
      <c r="L19" s="42"/>
      <c r="M19" s="41"/>
      <c r="N19" s="41"/>
      <c r="O19" s="41"/>
      <c r="P19" s="41"/>
      <c r="Q19" s="41"/>
      <c r="R19" s="41"/>
      <c r="S19" s="120"/>
    </row>
    <row r="20" spans="1:19">
      <c r="A20" s="89"/>
      <c r="B20" s="83"/>
      <c r="C20" s="83" t="s">
        <v>110</v>
      </c>
      <c r="D20" s="41" t="s">
        <v>111</v>
      </c>
      <c r="E20" s="42">
        <v>0</v>
      </c>
      <c r="F20" s="42">
        <f>F18*10</f>
        <v>0</v>
      </c>
      <c r="G20" s="119">
        <f t="shared" ref="G20:I20" si="13">G18*10</f>
        <v>50</v>
      </c>
      <c r="H20" s="42">
        <f t="shared" si="13"/>
        <v>50</v>
      </c>
      <c r="I20" s="42">
        <f t="shared" si="13"/>
        <v>50</v>
      </c>
      <c r="J20" s="42">
        <v>0</v>
      </c>
      <c r="K20" s="42">
        <f>SUM(E20:J20)</f>
        <v>150</v>
      </c>
      <c r="L20" s="42">
        <v>500</v>
      </c>
      <c r="M20" s="42">
        <f>E20*$L20</f>
        <v>0</v>
      </c>
      <c r="N20" s="42">
        <f t="shared" ref="N20:R23" si="14">F20*$L20</f>
        <v>0</v>
      </c>
      <c r="O20" s="42">
        <f t="shared" si="14"/>
        <v>25000</v>
      </c>
      <c r="P20" s="42">
        <f t="shared" si="14"/>
        <v>25000</v>
      </c>
      <c r="Q20" s="42">
        <f t="shared" si="14"/>
        <v>25000</v>
      </c>
      <c r="R20" s="42">
        <f t="shared" si="14"/>
        <v>0</v>
      </c>
      <c r="S20" s="121">
        <f>SUM(M20:R20)</f>
        <v>75000</v>
      </c>
    </row>
    <row r="21" spans="1:19">
      <c r="A21" s="89"/>
      <c r="B21" s="83"/>
      <c r="C21" s="83" t="s">
        <v>112</v>
      </c>
      <c r="D21" s="41" t="s">
        <v>113</v>
      </c>
      <c r="E21" s="42">
        <v>0</v>
      </c>
      <c r="F21" s="42">
        <v>0</v>
      </c>
      <c r="G21" s="119">
        <v>5</v>
      </c>
      <c r="H21" s="42">
        <v>5</v>
      </c>
      <c r="I21" s="42">
        <v>5</v>
      </c>
      <c r="J21" s="42">
        <v>0</v>
      </c>
      <c r="K21" s="42">
        <f>SUM(E21:J21)</f>
        <v>15</v>
      </c>
      <c r="L21" s="42">
        <v>1000</v>
      </c>
      <c r="M21" s="42">
        <f t="shared" ref="M21:M23" si="15">E21*$L21</f>
        <v>0</v>
      </c>
      <c r="N21" s="42">
        <f t="shared" si="14"/>
        <v>0</v>
      </c>
      <c r="O21" s="42">
        <f t="shared" si="14"/>
        <v>5000</v>
      </c>
      <c r="P21" s="42">
        <f t="shared" si="14"/>
        <v>5000</v>
      </c>
      <c r="Q21" s="42">
        <f t="shared" si="14"/>
        <v>5000</v>
      </c>
      <c r="R21" s="42">
        <f t="shared" si="14"/>
        <v>0</v>
      </c>
      <c r="S21" s="121">
        <f t="shared" ref="S21:S23" si="16">SUM(M21:R21)</f>
        <v>15000</v>
      </c>
    </row>
    <row r="22" spans="1:19">
      <c r="A22" s="89"/>
      <c r="B22" s="83"/>
      <c r="C22" s="83" t="s">
        <v>114</v>
      </c>
      <c r="D22" s="41" t="s">
        <v>115</v>
      </c>
      <c r="E22" s="42">
        <v>0</v>
      </c>
      <c r="F22" s="42">
        <f>2*F18</f>
        <v>0</v>
      </c>
      <c r="G22" s="119">
        <f t="shared" ref="G22:I22" si="17">2*G18</f>
        <v>10</v>
      </c>
      <c r="H22" s="42">
        <f t="shared" si="17"/>
        <v>10</v>
      </c>
      <c r="I22" s="42">
        <f t="shared" si="17"/>
        <v>10</v>
      </c>
      <c r="J22" s="42">
        <v>0</v>
      </c>
      <c r="K22" s="42">
        <f>SUM(E22:J22)</f>
        <v>30</v>
      </c>
      <c r="L22" s="42">
        <v>1500</v>
      </c>
      <c r="M22" s="42">
        <f t="shared" si="15"/>
        <v>0</v>
      </c>
      <c r="N22" s="42">
        <f t="shared" si="14"/>
        <v>0</v>
      </c>
      <c r="O22" s="42">
        <f t="shared" si="14"/>
        <v>15000</v>
      </c>
      <c r="P22" s="42">
        <f t="shared" si="14"/>
        <v>15000</v>
      </c>
      <c r="Q22" s="42">
        <f t="shared" si="14"/>
        <v>15000</v>
      </c>
      <c r="R22" s="42">
        <f t="shared" si="14"/>
        <v>0</v>
      </c>
      <c r="S22" s="121">
        <f t="shared" si="16"/>
        <v>45000</v>
      </c>
    </row>
    <row r="23" spans="1:19">
      <c r="A23" s="89"/>
      <c r="B23" s="83"/>
      <c r="C23" s="83" t="s">
        <v>116</v>
      </c>
      <c r="D23" s="41" t="s">
        <v>113</v>
      </c>
      <c r="E23" s="42">
        <v>0</v>
      </c>
      <c r="F23" s="42">
        <v>0</v>
      </c>
      <c r="G23" s="119">
        <v>5</v>
      </c>
      <c r="H23" s="42">
        <v>5</v>
      </c>
      <c r="I23" s="42">
        <v>5</v>
      </c>
      <c r="J23" s="42">
        <v>0</v>
      </c>
      <c r="K23" s="42">
        <f>SUM(E23:J23)</f>
        <v>15</v>
      </c>
      <c r="L23" s="42">
        <v>2000</v>
      </c>
      <c r="M23" s="42">
        <f t="shared" si="15"/>
        <v>0</v>
      </c>
      <c r="N23" s="42">
        <f t="shared" si="14"/>
        <v>0</v>
      </c>
      <c r="O23" s="42">
        <f t="shared" si="14"/>
        <v>10000</v>
      </c>
      <c r="P23" s="42">
        <f t="shared" si="14"/>
        <v>10000</v>
      </c>
      <c r="Q23" s="42">
        <f t="shared" si="14"/>
        <v>10000</v>
      </c>
      <c r="R23" s="42">
        <f t="shared" si="14"/>
        <v>0</v>
      </c>
      <c r="S23" s="121">
        <f t="shared" si="16"/>
        <v>30000</v>
      </c>
    </row>
    <row r="24" spans="1:19">
      <c r="A24" s="89"/>
      <c r="B24" s="83" t="s">
        <v>117</v>
      </c>
      <c r="C24" s="83"/>
      <c r="D24" s="41"/>
      <c r="E24" s="41"/>
      <c r="F24" s="41"/>
      <c r="G24" s="40"/>
      <c r="H24" s="41"/>
      <c r="I24" s="41"/>
      <c r="J24" s="41"/>
      <c r="K24" s="83"/>
      <c r="L24" s="83"/>
      <c r="M24" s="83"/>
      <c r="N24" s="83"/>
      <c r="O24" s="83"/>
      <c r="P24" s="83"/>
      <c r="Q24" s="83"/>
      <c r="R24" s="83"/>
      <c r="S24" s="90"/>
    </row>
    <row r="25" spans="1:19">
      <c r="A25" s="89"/>
      <c r="B25" s="83"/>
      <c r="C25" s="83" t="s">
        <v>118</v>
      </c>
      <c r="D25" s="41" t="s">
        <v>119</v>
      </c>
      <c r="E25" s="41">
        <v>0</v>
      </c>
      <c r="F25" s="42">
        <f>2*5000*F18</f>
        <v>0</v>
      </c>
      <c r="G25" s="119">
        <f>G20*500*2</f>
        <v>50000</v>
      </c>
      <c r="H25" s="42">
        <f t="shared" ref="H25:I25" si="18">H20*500*2</f>
        <v>50000</v>
      </c>
      <c r="I25" s="42">
        <f t="shared" si="18"/>
        <v>50000</v>
      </c>
      <c r="J25" s="41">
        <v>0</v>
      </c>
      <c r="K25" s="42">
        <f>SUM(E25:J25)</f>
        <v>150000</v>
      </c>
      <c r="L25" s="84">
        <v>0.15</v>
      </c>
      <c r="M25" s="42">
        <f>E25*$L25</f>
        <v>0</v>
      </c>
      <c r="N25" s="42">
        <f t="shared" ref="N25:R27" si="19">F25*$L25</f>
        <v>0</v>
      </c>
      <c r="O25" s="42">
        <f t="shared" si="19"/>
        <v>7500</v>
      </c>
      <c r="P25" s="42">
        <f t="shared" si="19"/>
        <v>7500</v>
      </c>
      <c r="Q25" s="42">
        <f t="shared" si="19"/>
        <v>7500</v>
      </c>
      <c r="R25" s="42">
        <f t="shared" si="19"/>
        <v>0</v>
      </c>
      <c r="S25" s="121">
        <f>SUM(M25:R25)</f>
        <v>22500</v>
      </c>
    </row>
    <row r="26" spans="1:19">
      <c r="A26" s="89"/>
      <c r="B26" s="83"/>
      <c r="C26" s="83" t="s">
        <v>120</v>
      </c>
      <c r="D26" s="41" t="s">
        <v>121</v>
      </c>
      <c r="E26" s="41">
        <v>0</v>
      </c>
      <c r="F26" s="42">
        <f>F25*0.7*1.2</f>
        <v>0</v>
      </c>
      <c r="G26" s="119">
        <f t="shared" ref="G26:I26" si="20">G25*0.7*1.2</f>
        <v>42000</v>
      </c>
      <c r="H26" s="42">
        <f t="shared" si="20"/>
        <v>42000</v>
      </c>
      <c r="I26" s="42">
        <f t="shared" si="20"/>
        <v>42000</v>
      </c>
      <c r="J26" s="41">
        <v>0</v>
      </c>
      <c r="K26" s="42">
        <f>SUM(E26:J26)</f>
        <v>126000</v>
      </c>
      <c r="L26" s="84">
        <v>1.2</v>
      </c>
      <c r="M26" s="42">
        <f>E26*$L26</f>
        <v>0</v>
      </c>
      <c r="N26" s="42">
        <f t="shared" si="19"/>
        <v>0</v>
      </c>
      <c r="O26" s="42">
        <f t="shared" si="19"/>
        <v>50400</v>
      </c>
      <c r="P26" s="42">
        <f t="shared" si="19"/>
        <v>50400</v>
      </c>
      <c r="Q26" s="42">
        <f t="shared" si="19"/>
        <v>50400</v>
      </c>
      <c r="R26" s="42">
        <f t="shared" si="19"/>
        <v>0</v>
      </c>
      <c r="S26" s="121">
        <f>SUM(M26:R26)</f>
        <v>151200</v>
      </c>
    </row>
    <row r="27" spans="1:19">
      <c r="A27" s="89"/>
      <c r="B27" s="83"/>
      <c r="C27" s="83" t="s">
        <v>122</v>
      </c>
      <c r="D27" s="41" t="s">
        <v>123</v>
      </c>
      <c r="E27" s="41">
        <v>0</v>
      </c>
      <c r="F27" s="42">
        <v>0</v>
      </c>
      <c r="G27" s="119">
        <v>5</v>
      </c>
      <c r="H27" s="42">
        <v>5</v>
      </c>
      <c r="I27" s="42">
        <v>5</v>
      </c>
      <c r="J27" s="41">
        <v>0</v>
      </c>
      <c r="K27" s="42">
        <f>SUM(E27:J27)</f>
        <v>15</v>
      </c>
      <c r="L27" s="41">
        <v>250</v>
      </c>
      <c r="M27" s="42">
        <f>E27*$L27</f>
        <v>0</v>
      </c>
      <c r="N27" s="42">
        <f t="shared" si="19"/>
        <v>0</v>
      </c>
      <c r="O27" s="42">
        <f t="shared" si="19"/>
        <v>1250</v>
      </c>
      <c r="P27" s="42">
        <f t="shared" si="19"/>
        <v>1250</v>
      </c>
      <c r="Q27" s="42">
        <f t="shared" si="19"/>
        <v>1250</v>
      </c>
      <c r="R27" s="42">
        <f t="shared" si="19"/>
        <v>0</v>
      </c>
      <c r="S27" s="121">
        <f>SUM(M27:R27)</f>
        <v>3750</v>
      </c>
    </row>
    <row r="28" spans="1:19">
      <c r="A28" s="89"/>
      <c r="B28" s="83" t="s">
        <v>44</v>
      </c>
      <c r="C28" s="83"/>
      <c r="D28" s="41"/>
      <c r="E28" s="41"/>
      <c r="F28" s="41"/>
      <c r="G28" s="40"/>
      <c r="H28" s="41"/>
      <c r="I28" s="41"/>
      <c r="J28" s="41"/>
      <c r="K28" s="83"/>
      <c r="L28" s="83"/>
      <c r="M28" s="83"/>
      <c r="N28" s="83"/>
      <c r="O28" s="83"/>
      <c r="P28" s="83"/>
      <c r="Q28" s="83"/>
      <c r="R28" s="83"/>
      <c r="S28" s="90"/>
    </row>
    <row r="29" spans="1:19">
      <c r="A29" s="89"/>
      <c r="B29" s="83"/>
      <c r="C29" s="83" t="s">
        <v>124</v>
      </c>
      <c r="D29" s="41" t="s">
        <v>125</v>
      </c>
      <c r="E29" s="41">
        <v>0</v>
      </c>
      <c r="F29" s="41">
        <f>2*F18</f>
        <v>0</v>
      </c>
      <c r="G29" s="40">
        <f t="shared" ref="G29:I29" si="21">2*G18</f>
        <v>10</v>
      </c>
      <c r="H29" s="41">
        <f t="shared" si="21"/>
        <v>10</v>
      </c>
      <c r="I29" s="41">
        <f t="shared" si="21"/>
        <v>10</v>
      </c>
      <c r="J29" s="41">
        <v>0</v>
      </c>
      <c r="K29" s="42">
        <f>SUM(E29:J29)</f>
        <v>30</v>
      </c>
      <c r="L29" s="42">
        <v>1000</v>
      </c>
      <c r="M29" s="42">
        <f>E29*$L29</f>
        <v>0</v>
      </c>
      <c r="N29" s="42">
        <f t="shared" ref="N29:R30" si="22">F29*$L29</f>
        <v>0</v>
      </c>
      <c r="O29" s="42">
        <f t="shared" si="22"/>
        <v>10000</v>
      </c>
      <c r="P29" s="42">
        <f t="shared" si="22"/>
        <v>10000</v>
      </c>
      <c r="Q29" s="42">
        <f t="shared" si="22"/>
        <v>10000</v>
      </c>
      <c r="R29" s="42">
        <f t="shared" si="22"/>
        <v>0</v>
      </c>
      <c r="S29" s="121">
        <f>SUM(M29:R29)</f>
        <v>30000</v>
      </c>
    </row>
    <row r="30" spans="1:19" ht="15.75" thickBot="1">
      <c r="A30" s="92"/>
      <c r="B30" s="96"/>
      <c r="C30" s="96" t="s">
        <v>126</v>
      </c>
      <c r="D30" s="122" t="s">
        <v>125</v>
      </c>
      <c r="E30" s="122">
        <v>0</v>
      </c>
      <c r="F30" s="122">
        <f>2*F18</f>
        <v>0</v>
      </c>
      <c r="G30" s="123">
        <f t="shared" ref="G30:I30" si="23">2*G18</f>
        <v>10</v>
      </c>
      <c r="H30" s="122">
        <f t="shared" si="23"/>
        <v>10</v>
      </c>
      <c r="I30" s="122">
        <f t="shared" si="23"/>
        <v>10</v>
      </c>
      <c r="J30" s="122">
        <v>0</v>
      </c>
      <c r="K30" s="124">
        <f>SUM(E30:J30)</f>
        <v>30</v>
      </c>
      <c r="L30" s="124">
        <v>1000</v>
      </c>
      <c r="M30" s="124">
        <f>E30*$L30</f>
        <v>0</v>
      </c>
      <c r="N30" s="124">
        <f t="shared" si="22"/>
        <v>0</v>
      </c>
      <c r="O30" s="124">
        <f t="shared" si="22"/>
        <v>10000</v>
      </c>
      <c r="P30" s="124">
        <f t="shared" si="22"/>
        <v>10000</v>
      </c>
      <c r="Q30" s="124">
        <f t="shared" si="22"/>
        <v>10000</v>
      </c>
      <c r="R30" s="124">
        <f t="shared" si="22"/>
        <v>0</v>
      </c>
      <c r="S30" s="125">
        <f>SUM(M30:R30)</f>
        <v>30000</v>
      </c>
    </row>
    <row r="32" spans="1:19" ht="15.75" thickBot="1">
      <c r="A32" s="1" t="s">
        <v>128</v>
      </c>
    </row>
    <row r="33" spans="1:20" ht="15.75" thickBot="1">
      <c r="A33" s="111" t="s">
        <v>129</v>
      </c>
      <c r="B33" s="112"/>
      <c r="C33" s="112"/>
      <c r="D33" s="113" t="s">
        <v>130</v>
      </c>
      <c r="E33" s="113">
        <v>50</v>
      </c>
      <c r="F33" s="113">
        <v>150</v>
      </c>
      <c r="G33" s="126">
        <v>100</v>
      </c>
      <c r="H33" s="113"/>
      <c r="I33" s="113"/>
      <c r="J33" s="113"/>
      <c r="K33" s="114">
        <f>SUM(E33:J33)</f>
        <v>300</v>
      </c>
      <c r="L33" s="112"/>
      <c r="M33" s="116">
        <f t="shared" ref="M33:R33" si="24">SUM(M35,M37:M39,M41)</f>
        <v>182850</v>
      </c>
      <c r="N33" s="117">
        <f t="shared" si="24"/>
        <v>548550</v>
      </c>
      <c r="O33" s="117">
        <f t="shared" si="24"/>
        <v>365700</v>
      </c>
      <c r="P33" s="117">
        <f t="shared" si="24"/>
        <v>0</v>
      </c>
      <c r="Q33" s="117">
        <f t="shared" si="24"/>
        <v>0</v>
      </c>
      <c r="R33" s="117">
        <f t="shared" si="24"/>
        <v>0</v>
      </c>
      <c r="S33" s="118">
        <f>SUM(S35,S37:S39,S41)</f>
        <v>1097100</v>
      </c>
    </row>
    <row r="34" spans="1:20">
      <c r="A34" s="89"/>
      <c r="B34" s="83" t="s">
        <v>131</v>
      </c>
      <c r="C34" s="83"/>
      <c r="D34" s="41"/>
      <c r="E34" s="41"/>
      <c r="F34" s="41"/>
      <c r="G34" s="40"/>
      <c r="H34" s="41"/>
      <c r="I34" s="41"/>
      <c r="J34" s="41"/>
      <c r="K34" s="83"/>
      <c r="L34" s="83"/>
      <c r="M34" s="83"/>
      <c r="N34" s="83"/>
      <c r="O34" s="83"/>
      <c r="P34" s="83"/>
      <c r="Q34" s="83"/>
      <c r="R34" s="83"/>
      <c r="S34" s="90"/>
    </row>
    <row r="35" spans="1:20">
      <c r="A35" s="89"/>
      <c r="B35" s="83"/>
      <c r="C35" s="83" t="s">
        <v>132</v>
      </c>
      <c r="D35" s="41" t="s">
        <v>130</v>
      </c>
      <c r="E35" s="41">
        <f>E33</f>
        <v>50</v>
      </c>
      <c r="F35" s="41">
        <f>F33</f>
        <v>150</v>
      </c>
      <c r="G35" s="40">
        <f>G33</f>
        <v>100</v>
      </c>
      <c r="H35" s="41">
        <v>0</v>
      </c>
      <c r="I35" s="41">
        <v>0</v>
      </c>
      <c r="J35" s="41">
        <v>0</v>
      </c>
      <c r="K35" s="41">
        <f>SUM(E35:J35)</f>
        <v>300</v>
      </c>
      <c r="L35" s="41">
        <v>750</v>
      </c>
      <c r="M35" s="42">
        <f>E35*$L35</f>
        <v>37500</v>
      </c>
      <c r="N35" s="42">
        <f t="shared" ref="N35:R35" si="25">F35*$L35</f>
        <v>112500</v>
      </c>
      <c r="O35" s="42">
        <f t="shared" si="25"/>
        <v>75000</v>
      </c>
      <c r="P35" s="42">
        <f t="shared" si="25"/>
        <v>0</v>
      </c>
      <c r="Q35" s="42">
        <f t="shared" si="25"/>
        <v>0</v>
      </c>
      <c r="R35" s="42">
        <f t="shared" si="25"/>
        <v>0</v>
      </c>
      <c r="S35" s="121">
        <f>SUM(M35:R35)</f>
        <v>225000</v>
      </c>
    </row>
    <row r="36" spans="1:20">
      <c r="A36" s="89"/>
      <c r="B36" s="83" t="s">
        <v>117</v>
      </c>
      <c r="C36" s="83"/>
      <c r="D36" s="41"/>
      <c r="E36" s="41"/>
      <c r="F36" s="41"/>
      <c r="G36" s="40"/>
      <c r="H36" s="41"/>
      <c r="I36" s="41"/>
      <c r="J36" s="41"/>
      <c r="K36" s="83"/>
      <c r="L36" s="83"/>
      <c r="M36" s="83"/>
      <c r="N36" s="83"/>
      <c r="O36" s="83"/>
      <c r="P36" s="83"/>
      <c r="Q36" s="83"/>
      <c r="R36" s="83"/>
      <c r="S36" s="90"/>
    </row>
    <row r="37" spans="1:20">
      <c r="A37" s="89"/>
      <c r="B37" s="83"/>
      <c r="C37" s="83" t="s">
        <v>133</v>
      </c>
      <c r="D37" s="41" t="s">
        <v>119</v>
      </c>
      <c r="E37" s="42">
        <f>E35*3000*2</f>
        <v>300000</v>
      </c>
      <c r="F37" s="42">
        <f t="shared" ref="F37:J37" si="26">F35*3000*2</f>
        <v>900000</v>
      </c>
      <c r="G37" s="119">
        <f t="shared" si="26"/>
        <v>600000</v>
      </c>
      <c r="H37" s="42">
        <f t="shared" si="26"/>
        <v>0</v>
      </c>
      <c r="I37" s="42">
        <f t="shared" si="26"/>
        <v>0</v>
      </c>
      <c r="J37" s="42">
        <f t="shared" si="26"/>
        <v>0</v>
      </c>
      <c r="K37" s="42">
        <f>SUM(E37:J37)</f>
        <v>1800000</v>
      </c>
      <c r="L37" s="84">
        <v>0.15</v>
      </c>
      <c r="M37" s="42">
        <f>E37*$L37</f>
        <v>45000</v>
      </c>
      <c r="N37" s="42">
        <f t="shared" ref="N37:R39" si="27">F37*$L37</f>
        <v>135000</v>
      </c>
      <c r="O37" s="42">
        <f t="shared" si="27"/>
        <v>90000</v>
      </c>
      <c r="P37" s="42">
        <f t="shared" si="27"/>
        <v>0</v>
      </c>
      <c r="Q37" s="42">
        <f t="shared" si="27"/>
        <v>0</v>
      </c>
      <c r="R37" s="42">
        <f t="shared" si="27"/>
        <v>0</v>
      </c>
      <c r="S37" s="121">
        <f>SUM(M37:R37)</f>
        <v>270000</v>
      </c>
    </row>
    <row r="38" spans="1:20">
      <c r="A38" s="89"/>
      <c r="B38" s="83"/>
      <c r="C38" s="83" t="s">
        <v>134</v>
      </c>
      <c r="D38" s="41" t="s">
        <v>121</v>
      </c>
      <c r="E38" s="42">
        <f>E37*0.33*1.5/2</f>
        <v>74250</v>
      </c>
      <c r="F38" s="42">
        <f t="shared" ref="F38:J38" si="28">F37*0.33*1.5/2</f>
        <v>222750</v>
      </c>
      <c r="G38" s="119">
        <f t="shared" si="28"/>
        <v>148500</v>
      </c>
      <c r="H38" s="42">
        <f t="shared" si="28"/>
        <v>0</v>
      </c>
      <c r="I38" s="42">
        <f t="shared" si="28"/>
        <v>0</v>
      </c>
      <c r="J38" s="42">
        <f t="shared" si="28"/>
        <v>0</v>
      </c>
      <c r="K38" s="42">
        <f t="shared" ref="K38:K41" si="29">SUM(E38:J38)</f>
        <v>445500</v>
      </c>
      <c r="L38" s="84">
        <v>1.2</v>
      </c>
      <c r="M38" s="42">
        <f>E38*$L38</f>
        <v>89100</v>
      </c>
      <c r="N38" s="42">
        <f t="shared" si="27"/>
        <v>267300</v>
      </c>
      <c r="O38" s="42">
        <f t="shared" si="27"/>
        <v>178200</v>
      </c>
      <c r="P38" s="42">
        <f t="shared" si="27"/>
        <v>0</v>
      </c>
      <c r="Q38" s="42">
        <f t="shared" si="27"/>
        <v>0</v>
      </c>
      <c r="R38" s="42">
        <f t="shared" si="27"/>
        <v>0</v>
      </c>
      <c r="S38" s="121">
        <f>SUM(M38:R38)</f>
        <v>534600</v>
      </c>
    </row>
    <row r="39" spans="1:20">
      <c r="A39" s="89"/>
      <c r="B39" s="83"/>
      <c r="C39" s="83" t="s">
        <v>122</v>
      </c>
      <c r="D39" s="41" t="s">
        <v>123</v>
      </c>
      <c r="E39" s="42">
        <f>E35</f>
        <v>50</v>
      </c>
      <c r="F39" s="42">
        <f t="shared" ref="F39:J39" si="30">F35</f>
        <v>150</v>
      </c>
      <c r="G39" s="119">
        <f t="shared" si="30"/>
        <v>100</v>
      </c>
      <c r="H39" s="42">
        <f t="shared" si="30"/>
        <v>0</v>
      </c>
      <c r="I39" s="42">
        <f t="shared" si="30"/>
        <v>0</v>
      </c>
      <c r="J39" s="42">
        <f t="shared" si="30"/>
        <v>0</v>
      </c>
      <c r="K39" s="42">
        <f t="shared" si="29"/>
        <v>300</v>
      </c>
      <c r="L39" s="41">
        <v>25</v>
      </c>
      <c r="M39" s="42">
        <f>E39*$L39</f>
        <v>1250</v>
      </c>
      <c r="N39" s="42">
        <f t="shared" si="27"/>
        <v>3750</v>
      </c>
      <c r="O39" s="42">
        <f t="shared" si="27"/>
        <v>2500</v>
      </c>
      <c r="P39" s="42">
        <f t="shared" si="27"/>
        <v>0</v>
      </c>
      <c r="Q39" s="42">
        <f t="shared" si="27"/>
        <v>0</v>
      </c>
      <c r="R39" s="42">
        <f t="shared" si="27"/>
        <v>0</v>
      </c>
      <c r="S39" s="121">
        <f>SUM(M39:R39)</f>
        <v>7500</v>
      </c>
    </row>
    <row r="40" spans="1:20">
      <c r="A40" s="89"/>
      <c r="B40" s="83" t="s">
        <v>44</v>
      </c>
      <c r="C40" s="83"/>
      <c r="D40" s="41"/>
      <c r="E40" s="41"/>
      <c r="F40" s="41"/>
      <c r="G40" s="40"/>
      <c r="H40" s="41"/>
      <c r="I40" s="41"/>
      <c r="J40" s="41"/>
      <c r="K40" s="83"/>
      <c r="L40" s="83"/>
      <c r="M40" s="83"/>
      <c r="N40" s="83"/>
      <c r="O40" s="83"/>
      <c r="P40" s="83"/>
      <c r="Q40" s="83"/>
      <c r="R40" s="83"/>
      <c r="S40" s="90"/>
    </row>
    <row r="41" spans="1:20" ht="15.75" thickBot="1">
      <c r="A41" s="92"/>
      <c r="B41" s="96"/>
      <c r="C41" s="96" t="s">
        <v>124</v>
      </c>
      <c r="D41" s="122" t="s">
        <v>125</v>
      </c>
      <c r="E41" s="122">
        <f>E35*2/20*2</f>
        <v>10</v>
      </c>
      <c r="F41" s="122">
        <f t="shared" ref="F41:J41" si="31">F35*2/20*2</f>
        <v>30</v>
      </c>
      <c r="G41" s="123">
        <f t="shared" si="31"/>
        <v>20</v>
      </c>
      <c r="H41" s="122">
        <f t="shared" si="31"/>
        <v>0</v>
      </c>
      <c r="I41" s="122">
        <f t="shared" si="31"/>
        <v>0</v>
      </c>
      <c r="J41" s="122">
        <f t="shared" si="31"/>
        <v>0</v>
      </c>
      <c r="K41" s="124">
        <f t="shared" si="29"/>
        <v>60</v>
      </c>
      <c r="L41" s="124">
        <v>1000</v>
      </c>
      <c r="M41" s="124">
        <f>E41*$L41</f>
        <v>10000</v>
      </c>
      <c r="N41" s="124">
        <f t="shared" ref="N41:R41" si="32">F41*$L41</f>
        <v>30000</v>
      </c>
      <c r="O41" s="124">
        <f t="shared" si="32"/>
        <v>20000</v>
      </c>
      <c r="P41" s="124">
        <f t="shared" si="32"/>
        <v>0</v>
      </c>
      <c r="Q41" s="124">
        <f t="shared" si="32"/>
        <v>0</v>
      </c>
      <c r="R41" s="124">
        <f t="shared" si="32"/>
        <v>0</v>
      </c>
      <c r="S41" s="125">
        <f>SUM(M41:R41)</f>
        <v>60000</v>
      </c>
    </row>
    <row r="43" spans="1:20" ht="15.75" thickBot="1">
      <c r="A43" s="1" t="s">
        <v>135</v>
      </c>
    </row>
    <row r="44" spans="1:20" ht="15.75" thickBot="1">
      <c r="A44" s="111" t="s">
        <v>136</v>
      </c>
      <c r="B44" s="112"/>
      <c r="C44" s="112"/>
      <c r="D44" s="113" t="s">
        <v>137</v>
      </c>
      <c r="E44" s="114"/>
      <c r="F44" s="114">
        <v>2</v>
      </c>
      <c r="G44" s="115">
        <v>3</v>
      </c>
      <c r="H44" s="114">
        <v>3</v>
      </c>
      <c r="I44" s="114">
        <v>2</v>
      </c>
      <c r="J44" s="114"/>
      <c r="K44" s="114">
        <f>SUM(E44:J44)</f>
        <v>10</v>
      </c>
      <c r="L44" s="112"/>
      <c r="M44" s="116">
        <f t="shared" ref="M44:R44" si="33">SUM(M46:M52,M54:M56,M58)</f>
        <v>0</v>
      </c>
      <c r="N44" s="117">
        <f t="shared" si="33"/>
        <v>93800</v>
      </c>
      <c r="O44" s="117">
        <f t="shared" si="33"/>
        <v>140700</v>
      </c>
      <c r="P44" s="117">
        <f t="shared" si="33"/>
        <v>140700</v>
      </c>
      <c r="Q44" s="117">
        <f t="shared" si="33"/>
        <v>93800</v>
      </c>
      <c r="R44" s="117">
        <f t="shared" si="33"/>
        <v>0</v>
      </c>
      <c r="S44" s="118">
        <f>SUM(S46:S52,S54:S56,S58)</f>
        <v>469000</v>
      </c>
      <c r="T44" s="127"/>
    </row>
    <row r="45" spans="1:20">
      <c r="A45" s="89"/>
      <c r="B45" s="83" t="s">
        <v>138</v>
      </c>
      <c r="C45" s="83"/>
      <c r="D45" s="41"/>
      <c r="E45" s="42"/>
      <c r="F45" s="42"/>
      <c r="G45" s="119"/>
      <c r="H45" s="42"/>
      <c r="I45" s="42"/>
      <c r="J45" s="42"/>
      <c r="K45" s="81"/>
      <c r="L45" s="83"/>
      <c r="M45" s="83"/>
      <c r="N45" s="83"/>
      <c r="O45" s="83"/>
      <c r="P45" s="83"/>
      <c r="Q45" s="83"/>
      <c r="R45" s="83"/>
      <c r="S45" s="90"/>
    </row>
    <row r="46" spans="1:20">
      <c r="A46" s="89"/>
      <c r="B46" s="83"/>
      <c r="C46" s="83" t="s">
        <v>139</v>
      </c>
      <c r="D46" s="41" t="s">
        <v>119</v>
      </c>
      <c r="E46" s="42">
        <v>0</v>
      </c>
      <c r="F46" s="42">
        <f>F44</f>
        <v>2</v>
      </c>
      <c r="G46" s="119">
        <f t="shared" ref="G46:I46" si="34">G44</f>
        <v>3</v>
      </c>
      <c r="H46" s="42">
        <f t="shared" si="34"/>
        <v>3</v>
      </c>
      <c r="I46" s="42">
        <f t="shared" si="34"/>
        <v>2</v>
      </c>
      <c r="J46" s="42">
        <v>0</v>
      </c>
      <c r="K46" s="42">
        <f t="shared" ref="K46:K52" si="35">SUM(E46:J46)</f>
        <v>10</v>
      </c>
      <c r="L46" s="42">
        <v>6000</v>
      </c>
      <c r="M46" s="42">
        <f t="shared" ref="M46:R52" si="36">E46*$L46</f>
        <v>0</v>
      </c>
      <c r="N46" s="42">
        <f t="shared" si="36"/>
        <v>12000</v>
      </c>
      <c r="O46" s="42">
        <f t="shared" si="36"/>
        <v>18000</v>
      </c>
      <c r="P46" s="42">
        <f t="shared" si="36"/>
        <v>18000</v>
      </c>
      <c r="Q46" s="42">
        <f t="shared" si="36"/>
        <v>12000</v>
      </c>
      <c r="R46" s="42">
        <f t="shared" si="36"/>
        <v>0</v>
      </c>
      <c r="S46" s="121">
        <f t="shared" ref="S46:S52" si="37">SUM(M46:R46)</f>
        <v>60000</v>
      </c>
    </row>
    <row r="47" spans="1:20">
      <c r="A47" s="89"/>
      <c r="B47" s="83"/>
      <c r="C47" s="83" t="s">
        <v>140</v>
      </c>
      <c r="D47" s="41" t="s">
        <v>123</v>
      </c>
      <c r="E47" s="42">
        <v>0</v>
      </c>
      <c r="F47" s="42">
        <f>F44</f>
        <v>2</v>
      </c>
      <c r="G47" s="119">
        <f t="shared" ref="G47:I47" si="38">G44</f>
        <v>3</v>
      </c>
      <c r="H47" s="42">
        <f t="shared" si="38"/>
        <v>3</v>
      </c>
      <c r="I47" s="42">
        <f t="shared" si="38"/>
        <v>2</v>
      </c>
      <c r="J47" s="42">
        <v>0</v>
      </c>
      <c r="K47" s="42">
        <f t="shared" si="35"/>
        <v>10</v>
      </c>
      <c r="L47" s="42">
        <v>4600</v>
      </c>
      <c r="M47" s="42">
        <f t="shared" si="36"/>
        <v>0</v>
      </c>
      <c r="N47" s="42">
        <f t="shared" si="36"/>
        <v>9200</v>
      </c>
      <c r="O47" s="42">
        <f t="shared" si="36"/>
        <v>13800</v>
      </c>
      <c r="P47" s="42">
        <f t="shared" si="36"/>
        <v>13800</v>
      </c>
      <c r="Q47" s="42">
        <f t="shared" si="36"/>
        <v>9200</v>
      </c>
      <c r="R47" s="42">
        <f t="shared" si="36"/>
        <v>0</v>
      </c>
      <c r="S47" s="121">
        <f t="shared" si="37"/>
        <v>46000</v>
      </c>
    </row>
    <row r="48" spans="1:20">
      <c r="A48" s="89"/>
      <c r="B48" s="83"/>
      <c r="C48" s="83" t="s">
        <v>141</v>
      </c>
      <c r="D48" s="41" t="s">
        <v>123</v>
      </c>
      <c r="E48" s="42">
        <v>0</v>
      </c>
      <c r="F48" s="42">
        <f>F44</f>
        <v>2</v>
      </c>
      <c r="G48" s="119">
        <f t="shared" ref="G48:I48" si="39">G44</f>
        <v>3</v>
      </c>
      <c r="H48" s="42">
        <f t="shared" si="39"/>
        <v>3</v>
      </c>
      <c r="I48" s="42">
        <f t="shared" si="39"/>
        <v>2</v>
      </c>
      <c r="J48" s="42">
        <v>0</v>
      </c>
      <c r="K48" s="42">
        <f t="shared" si="35"/>
        <v>10</v>
      </c>
      <c r="L48" s="42">
        <f>4500</f>
        <v>4500</v>
      </c>
      <c r="M48" s="42">
        <f t="shared" si="36"/>
        <v>0</v>
      </c>
      <c r="N48" s="42">
        <f t="shared" si="36"/>
        <v>9000</v>
      </c>
      <c r="O48" s="42">
        <f t="shared" si="36"/>
        <v>13500</v>
      </c>
      <c r="P48" s="42">
        <f t="shared" si="36"/>
        <v>13500</v>
      </c>
      <c r="Q48" s="42">
        <f t="shared" si="36"/>
        <v>9000</v>
      </c>
      <c r="R48" s="42">
        <f t="shared" si="36"/>
        <v>0</v>
      </c>
      <c r="S48" s="121">
        <f t="shared" si="37"/>
        <v>45000</v>
      </c>
    </row>
    <row r="49" spans="1:19" s="133" customFormat="1">
      <c r="A49" s="128"/>
      <c r="B49" s="129"/>
      <c r="C49" s="129" t="s">
        <v>142</v>
      </c>
      <c r="D49" s="130" t="s">
        <v>119</v>
      </c>
      <c r="E49" s="131">
        <v>0</v>
      </c>
      <c r="F49" s="131">
        <f>F44</f>
        <v>2</v>
      </c>
      <c r="G49" s="131">
        <f t="shared" ref="G49:I49" si="40">G44</f>
        <v>3</v>
      </c>
      <c r="H49" s="131">
        <f t="shared" si="40"/>
        <v>3</v>
      </c>
      <c r="I49" s="131">
        <f t="shared" si="40"/>
        <v>2</v>
      </c>
      <c r="J49" s="131">
        <v>0</v>
      </c>
      <c r="K49" s="131">
        <f t="shared" si="35"/>
        <v>10</v>
      </c>
      <c r="L49" s="131">
        <v>4100</v>
      </c>
      <c r="M49" s="131">
        <f t="shared" si="36"/>
        <v>0</v>
      </c>
      <c r="N49" s="131">
        <f t="shared" si="36"/>
        <v>8200</v>
      </c>
      <c r="O49" s="131">
        <f t="shared" si="36"/>
        <v>12300</v>
      </c>
      <c r="P49" s="131">
        <f t="shared" si="36"/>
        <v>12300</v>
      </c>
      <c r="Q49" s="131">
        <f t="shared" si="36"/>
        <v>8200</v>
      </c>
      <c r="R49" s="131">
        <f t="shared" si="36"/>
        <v>0</v>
      </c>
      <c r="S49" s="132">
        <f t="shared" si="37"/>
        <v>41000</v>
      </c>
    </row>
    <row r="50" spans="1:19">
      <c r="A50" s="89"/>
      <c r="B50" s="83"/>
      <c r="C50" s="83" t="s">
        <v>143</v>
      </c>
      <c r="D50" s="41" t="s">
        <v>144</v>
      </c>
      <c r="E50" s="42">
        <f>5*E44*400</f>
        <v>0</v>
      </c>
      <c r="F50" s="42">
        <f t="shared" ref="F50:J50" si="41">5*F44*400</f>
        <v>4000</v>
      </c>
      <c r="G50" s="119">
        <f t="shared" si="41"/>
        <v>6000</v>
      </c>
      <c r="H50" s="42">
        <f t="shared" si="41"/>
        <v>6000</v>
      </c>
      <c r="I50" s="42">
        <f t="shared" si="41"/>
        <v>4000</v>
      </c>
      <c r="J50" s="42">
        <f t="shared" si="41"/>
        <v>0</v>
      </c>
      <c r="K50" s="42">
        <f t="shared" si="35"/>
        <v>20000</v>
      </c>
      <c r="L50" s="42">
        <v>2</v>
      </c>
      <c r="M50" s="42">
        <f t="shared" si="36"/>
        <v>0</v>
      </c>
      <c r="N50" s="42">
        <f t="shared" si="36"/>
        <v>8000</v>
      </c>
      <c r="O50" s="42">
        <f t="shared" si="36"/>
        <v>12000</v>
      </c>
      <c r="P50" s="42">
        <f t="shared" si="36"/>
        <v>12000</v>
      </c>
      <c r="Q50" s="42">
        <f t="shared" si="36"/>
        <v>8000</v>
      </c>
      <c r="R50" s="42">
        <f t="shared" si="36"/>
        <v>0</v>
      </c>
      <c r="S50" s="121">
        <f t="shared" si="37"/>
        <v>40000</v>
      </c>
    </row>
    <row r="51" spans="1:19">
      <c r="A51" s="89"/>
      <c r="B51" s="83"/>
      <c r="C51" s="83" t="s">
        <v>145</v>
      </c>
      <c r="D51" s="41" t="s">
        <v>146</v>
      </c>
      <c r="E51" s="42">
        <f>E44*5</f>
        <v>0</v>
      </c>
      <c r="F51" s="42">
        <f t="shared" ref="F51:J51" si="42">F44*5</f>
        <v>10</v>
      </c>
      <c r="G51" s="119">
        <f t="shared" si="42"/>
        <v>15</v>
      </c>
      <c r="H51" s="42">
        <f t="shared" si="42"/>
        <v>15</v>
      </c>
      <c r="I51" s="42">
        <f t="shared" si="42"/>
        <v>10</v>
      </c>
      <c r="J51" s="42">
        <f t="shared" si="42"/>
        <v>0</v>
      </c>
      <c r="K51" s="42">
        <f t="shared" si="35"/>
        <v>50</v>
      </c>
      <c r="L51" s="42">
        <v>1200</v>
      </c>
      <c r="M51" s="42">
        <f t="shared" si="36"/>
        <v>0</v>
      </c>
      <c r="N51" s="42">
        <f t="shared" si="36"/>
        <v>12000</v>
      </c>
      <c r="O51" s="42">
        <f t="shared" si="36"/>
        <v>18000</v>
      </c>
      <c r="P51" s="42">
        <f t="shared" si="36"/>
        <v>18000</v>
      </c>
      <c r="Q51" s="42">
        <f t="shared" si="36"/>
        <v>12000</v>
      </c>
      <c r="R51" s="42">
        <f t="shared" si="36"/>
        <v>0</v>
      </c>
      <c r="S51" s="121">
        <f t="shared" si="37"/>
        <v>60000</v>
      </c>
    </row>
    <row r="52" spans="1:19">
      <c r="A52" s="89"/>
      <c r="B52" s="83"/>
      <c r="C52" s="83" t="s">
        <v>147</v>
      </c>
      <c r="D52" s="41" t="s">
        <v>146</v>
      </c>
      <c r="E52" s="42">
        <f>5*E44</f>
        <v>0</v>
      </c>
      <c r="F52" s="42">
        <f t="shared" ref="F52:J52" si="43">5*F44</f>
        <v>10</v>
      </c>
      <c r="G52" s="119">
        <f t="shared" si="43"/>
        <v>15</v>
      </c>
      <c r="H52" s="42">
        <f t="shared" si="43"/>
        <v>15</v>
      </c>
      <c r="I52" s="42">
        <f t="shared" si="43"/>
        <v>10</v>
      </c>
      <c r="J52" s="42">
        <f t="shared" si="43"/>
        <v>0</v>
      </c>
      <c r="K52" s="42">
        <f t="shared" si="35"/>
        <v>50</v>
      </c>
      <c r="L52" s="42">
        <v>750</v>
      </c>
      <c r="M52" s="42">
        <f t="shared" si="36"/>
        <v>0</v>
      </c>
      <c r="N52" s="42">
        <f t="shared" si="36"/>
        <v>7500</v>
      </c>
      <c r="O52" s="42">
        <f t="shared" si="36"/>
        <v>11250</v>
      </c>
      <c r="P52" s="42">
        <f t="shared" si="36"/>
        <v>11250</v>
      </c>
      <c r="Q52" s="42">
        <f t="shared" si="36"/>
        <v>7500</v>
      </c>
      <c r="R52" s="42">
        <f t="shared" si="36"/>
        <v>0</v>
      </c>
      <c r="S52" s="121">
        <f t="shared" si="37"/>
        <v>37500</v>
      </c>
    </row>
    <row r="53" spans="1:19">
      <c r="A53" s="89"/>
      <c r="B53" s="83" t="s">
        <v>117</v>
      </c>
      <c r="C53" s="83"/>
      <c r="D53" s="83"/>
      <c r="E53" s="81"/>
      <c r="F53" s="81"/>
      <c r="G53" s="119"/>
      <c r="H53" s="42"/>
      <c r="I53" s="42"/>
      <c r="J53" s="42"/>
      <c r="K53" s="81"/>
      <c r="L53" s="83"/>
      <c r="M53" s="83"/>
      <c r="N53" s="83"/>
      <c r="O53" s="83"/>
      <c r="P53" s="83"/>
      <c r="Q53" s="83"/>
      <c r="R53" s="83"/>
      <c r="S53" s="90"/>
    </row>
    <row r="54" spans="1:19">
      <c r="A54" s="89"/>
      <c r="B54" s="83"/>
      <c r="C54" s="83" t="s">
        <v>148</v>
      </c>
      <c r="D54" s="41" t="s">
        <v>119</v>
      </c>
      <c r="E54" s="42">
        <f>E50*3</f>
        <v>0</v>
      </c>
      <c r="F54" s="42">
        <f t="shared" ref="F54:J54" si="44">F50*3</f>
        <v>12000</v>
      </c>
      <c r="G54" s="119">
        <f t="shared" si="44"/>
        <v>18000</v>
      </c>
      <c r="H54" s="42">
        <f t="shared" si="44"/>
        <v>18000</v>
      </c>
      <c r="I54" s="42">
        <f t="shared" si="44"/>
        <v>12000</v>
      </c>
      <c r="J54" s="42">
        <f t="shared" si="44"/>
        <v>0</v>
      </c>
      <c r="K54" s="42">
        <f>SUM(E54:J54)</f>
        <v>60000</v>
      </c>
      <c r="L54" s="84">
        <v>0.15</v>
      </c>
      <c r="M54" s="42">
        <f>E54*$L54</f>
        <v>0</v>
      </c>
      <c r="N54" s="42">
        <f t="shared" ref="N54:R56" si="45">F54*$L54</f>
        <v>1800</v>
      </c>
      <c r="O54" s="42">
        <f t="shared" si="45"/>
        <v>2700</v>
      </c>
      <c r="P54" s="42">
        <f t="shared" si="45"/>
        <v>2700</v>
      </c>
      <c r="Q54" s="42">
        <f t="shared" si="45"/>
        <v>1800</v>
      </c>
      <c r="R54" s="42">
        <f t="shared" si="45"/>
        <v>0</v>
      </c>
      <c r="S54" s="121">
        <f>SUM(M54:R54)</f>
        <v>9000</v>
      </c>
    </row>
    <row r="55" spans="1:19">
      <c r="A55" s="89"/>
      <c r="B55" s="83"/>
      <c r="C55" s="83" t="s">
        <v>149</v>
      </c>
      <c r="D55" s="41" t="s">
        <v>121</v>
      </c>
      <c r="E55" s="42">
        <f>E54*0.5*2*1.5</f>
        <v>0</v>
      </c>
      <c r="F55" s="42">
        <f t="shared" ref="F55:J55" si="46">F54*0.5*2*1.5</f>
        <v>18000</v>
      </c>
      <c r="G55" s="119">
        <f t="shared" si="46"/>
        <v>27000</v>
      </c>
      <c r="H55" s="42">
        <f t="shared" si="46"/>
        <v>27000</v>
      </c>
      <c r="I55" s="42">
        <f t="shared" si="46"/>
        <v>18000</v>
      </c>
      <c r="J55" s="42">
        <f t="shared" si="46"/>
        <v>0</v>
      </c>
      <c r="K55" s="42">
        <f>SUM(E55:J55)</f>
        <v>90000</v>
      </c>
      <c r="L55" s="84">
        <v>1.2</v>
      </c>
      <c r="M55" s="42">
        <f>E55*$L55</f>
        <v>0</v>
      </c>
      <c r="N55" s="42">
        <f t="shared" si="45"/>
        <v>21600</v>
      </c>
      <c r="O55" s="42">
        <f t="shared" si="45"/>
        <v>32400</v>
      </c>
      <c r="P55" s="42">
        <f t="shared" si="45"/>
        <v>32400</v>
      </c>
      <c r="Q55" s="42">
        <f t="shared" si="45"/>
        <v>21600</v>
      </c>
      <c r="R55" s="42">
        <f t="shared" si="45"/>
        <v>0</v>
      </c>
      <c r="S55" s="121">
        <f>SUM(M55:R55)</f>
        <v>108000</v>
      </c>
    </row>
    <row r="56" spans="1:19">
      <c r="A56" s="89"/>
      <c r="B56" s="83"/>
      <c r="C56" s="83" t="s">
        <v>122</v>
      </c>
      <c r="D56" s="41" t="s">
        <v>123</v>
      </c>
      <c r="E56" s="42">
        <f>E51</f>
        <v>0</v>
      </c>
      <c r="F56" s="42">
        <f t="shared" ref="F56:J56" si="47">F51</f>
        <v>10</v>
      </c>
      <c r="G56" s="119">
        <f t="shared" si="47"/>
        <v>15</v>
      </c>
      <c r="H56" s="42">
        <f t="shared" si="47"/>
        <v>15</v>
      </c>
      <c r="I56" s="42">
        <f t="shared" si="47"/>
        <v>10</v>
      </c>
      <c r="J56" s="42">
        <f t="shared" si="47"/>
        <v>0</v>
      </c>
      <c r="K56" s="42">
        <f>SUM(E56:J56)</f>
        <v>50</v>
      </c>
      <c r="L56" s="42">
        <v>50</v>
      </c>
      <c r="M56" s="42">
        <f>E56*$L56</f>
        <v>0</v>
      </c>
      <c r="N56" s="42">
        <f t="shared" si="45"/>
        <v>500</v>
      </c>
      <c r="O56" s="42">
        <f t="shared" si="45"/>
        <v>750</v>
      </c>
      <c r="P56" s="42">
        <f t="shared" si="45"/>
        <v>750</v>
      </c>
      <c r="Q56" s="42">
        <f t="shared" si="45"/>
        <v>500</v>
      </c>
      <c r="R56" s="42">
        <f t="shared" si="45"/>
        <v>0</v>
      </c>
      <c r="S56" s="121">
        <f>SUM(M56:R56)</f>
        <v>2500</v>
      </c>
    </row>
    <row r="57" spans="1:19">
      <c r="A57" s="89"/>
      <c r="B57" s="83" t="s">
        <v>44</v>
      </c>
      <c r="C57" s="83"/>
      <c r="D57" s="41"/>
      <c r="E57" s="41"/>
      <c r="F57" s="41"/>
      <c r="G57" s="40"/>
      <c r="H57" s="41"/>
      <c r="I57" s="41"/>
      <c r="J57" s="41"/>
      <c r="K57" s="83"/>
      <c r="L57" s="42"/>
      <c r="M57" s="83"/>
      <c r="N57" s="83"/>
      <c r="O57" s="83"/>
      <c r="P57" s="83"/>
      <c r="Q57" s="83"/>
      <c r="R57" s="83"/>
      <c r="S57" s="90"/>
    </row>
    <row r="58" spans="1:19" ht="15.75" thickBot="1">
      <c r="A58" s="92"/>
      <c r="B58" s="96"/>
      <c r="C58" s="96" t="s">
        <v>150</v>
      </c>
      <c r="D58" s="122" t="s">
        <v>125</v>
      </c>
      <c r="E58" s="122">
        <f>E44*2</f>
        <v>0</v>
      </c>
      <c r="F58" s="122">
        <f t="shared" ref="F58:J58" si="48">F44*2</f>
        <v>4</v>
      </c>
      <c r="G58" s="123">
        <f t="shared" si="48"/>
        <v>6</v>
      </c>
      <c r="H58" s="122">
        <f t="shared" si="48"/>
        <v>6</v>
      </c>
      <c r="I58" s="122">
        <f t="shared" si="48"/>
        <v>4</v>
      </c>
      <c r="J58" s="122">
        <f t="shared" si="48"/>
        <v>0</v>
      </c>
      <c r="K58" s="124">
        <f>SUM(E58:J58)</f>
        <v>20</v>
      </c>
      <c r="L58" s="124">
        <v>1000</v>
      </c>
      <c r="M58" s="124">
        <f>E58*$L58</f>
        <v>0</v>
      </c>
      <c r="N58" s="124">
        <f t="shared" ref="N58:R58" si="49">F58*$L58</f>
        <v>4000</v>
      </c>
      <c r="O58" s="124">
        <f t="shared" si="49"/>
        <v>6000</v>
      </c>
      <c r="P58" s="124">
        <f t="shared" si="49"/>
        <v>6000</v>
      </c>
      <c r="Q58" s="124">
        <f t="shared" si="49"/>
        <v>4000</v>
      </c>
      <c r="R58" s="124">
        <f t="shared" si="49"/>
        <v>0</v>
      </c>
      <c r="S58" s="125">
        <f>SUM(M58:R58)</f>
        <v>20000</v>
      </c>
    </row>
    <row r="59" spans="1:19" ht="15.75" thickBot="1"/>
    <row r="60" spans="1:19" ht="15.75" thickBot="1">
      <c r="A60" s="111" t="s">
        <v>151</v>
      </c>
      <c r="B60" s="112"/>
      <c r="C60" s="112"/>
      <c r="D60" s="113"/>
      <c r="E60" s="113"/>
      <c r="F60" s="113"/>
      <c r="G60" s="126"/>
      <c r="H60" s="113"/>
      <c r="I60" s="113"/>
      <c r="J60" s="113"/>
      <c r="K60" s="112"/>
      <c r="L60" s="112"/>
      <c r="M60" s="116">
        <f t="shared" ref="M60:R60" si="50">SUM(M62:M69)</f>
        <v>22360</v>
      </c>
      <c r="N60" s="117">
        <f t="shared" si="50"/>
        <v>22360</v>
      </c>
      <c r="O60" s="117">
        <f t="shared" si="50"/>
        <v>11180</v>
      </c>
      <c r="P60" s="117">
        <f t="shared" si="50"/>
        <v>0</v>
      </c>
      <c r="Q60" s="117">
        <f t="shared" si="50"/>
        <v>0</v>
      </c>
      <c r="R60" s="117">
        <f t="shared" si="50"/>
        <v>0</v>
      </c>
      <c r="S60" s="118">
        <f>SUM(S62:S69)</f>
        <v>55900</v>
      </c>
    </row>
    <row r="61" spans="1:19">
      <c r="A61" s="89"/>
      <c r="B61" s="83" t="s">
        <v>138</v>
      </c>
      <c r="C61" s="83"/>
      <c r="D61" s="41"/>
      <c r="E61" s="41">
        <v>2</v>
      </c>
      <c r="F61" s="41">
        <v>2</v>
      </c>
      <c r="G61" s="40">
        <v>1</v>
      </c>
      <c r="H61" s="41"/>
      <c r="I61" s="41"/>
      <c r="J61" s="41"/>
      <c r="K61" s="83"/>
      <c r="L61" s="83"/>
      <c r="M61" s="83"/>
      <c r="N61" s="83"/>
      <c r="O61" s="83"/>
      <c r="P61" s="83"/>
      <c r="Q61" s="83"/>
      <c r="R61" s="83"/>
      <c r="S61" s="90"/>
    </row>
    <row r="62" spans="1:19">
      <c r="A62" s="89"/>
      <c r="B62" s="83"/>
      <c r="C62" s="83" t="s">
        <v>145</v>
      </c>
      <c r="D62" s="41" t="s">
        <v>146</v>
      </c>
      <c r="E62" s="41">
        <f>E61*2</f>
        <v>4</v>
      </c>
      <c r="F62" s="41">
        <f t="shared" ref="F62:G62" si="51">F61*2</f>
        <v>4</v>
      </c>
      <c r="G62" s="40">
        <f t="shared" si="51"/>
        <v>2</v>
      </c>
      <c r="H62" s="41"/>
      <c r="I62" s="41"/>
      <c r="J62" s="41"/>
      <c r="K62" s="42">
        <f>SUM(E62:J62)</f>
        <v>10</v>
      </c>
      <c r="L62" s="42">
        <v>1200</v>
      </c>
      <c r="M62" s="42">
        <f>E62*$L62</f>
        <v>4800</v>
      </c>
      <c r="N62" s="42">
        <f t="shared" ref="N62:R63" si="52">F62*$L62</f>
        <v>4800</v>
      </c>
      <c r="O62" s="42">
        <f t="shared" si="52"/>
        <v>2400</v>
      </c>
      <c r="P62" s="42">
        <f t="shared" si="52"/>
        <v>0</v>
      </c>
      <c r="Q62" s="42">
        <f t="shared" si="52"/>
        <v>0</v>
      </c>
      <c r="R62" s="42">
        <f t="shared" si="52"/>
        <v>0</v>
      </c>
      <c r="S62" s="121">
        <f>SUM(M62:R62)</f>
        <v>12000</v>
      </c>
    </row>
    <row r="63" spans="1:19">
      <c r="A63" s="89"/>
      <c r="B63" s="83"/>
      <c r="C63" s="83" t="s">
        <v>152</v>
      </c>
      <c r="D63" s="41" t="s">
        <v>146</v>
      </c>
      <c r="E63" s="41">
        <f>E61*2</f>
        <v>4</v>
      </c>
      <c r="F63" s="41">
        <f t="shared" ref="F63:J63" si="53">F61*2</f>
        <v>4</v>
      </c>
      <c r="G63" s="40">
        <f t="shared" si="53"/>
        <v>2</v>
      </c>
      <c r="H63" s="41">
        <f t="shared" si="53"/>
        <v>0</v>
      </c>
      <c r="I63" s="41">
        <f t="shared" si="53"/>
        <v>0</v>
      </c>
      <c r="J63" s="41">
        <f t="shared" si="53"/>
        <v>0</v>
      </c>
      <c r="K63" s="42">
        <f>SUM(E63:J63)</f>
        <v>10</v>
      </c>
      <c r="L63" s="42">
        <v>1000</v>
      </c>
      <c r="M63" s="42">
        <f>E63*$L63</f>
        <v>4000</v>
      </c>
      <c r="N63" s="42">
        <f t="shared" si="52"/>
        <v>4000</v>
      </c>
      <c r="O63" s="42">
        <f t="shared" si="52"/>
        <v>2000</v>
      </c>
      <c r="P63" s="42">
        <f t="shared" si="52"/>
        <v>0</v>
      </c>
      <c r="Q63" s="42">
        <f t="shared" si="52"/>
        <v>0</v>
      </c>
      <c r="R63" s="42">
        <f t="shared" si="52"/>
        <v>0</v>
      </c>
      <c r="S63" s="121">
        <f>SUM(M63:R63)</f>
        <v>10000</v>
      </c>
    </row>
    <row r="64" spans="1:19">
      <c r="A64" s="89"/>
      <c r="B64" s="83" t="s">
        <v>117</v>
      </c>
      <c r="C64" s="83"/>
      <c r="D64" s="41"/>
      <c r="E64" s="41"/>
      <c r="F64" s="41"/>
      <c r="G64" s="40"/>
      <c r="H64" s="41"/>
      <c r="I64" s="41"/>
      <c r="J64" s="41"/>
      <c r="K64" s="83"/>
      <c r="L64" s="83"/>
      <c r="M64" s="83"/>
      <c r="N64" s="83"/>
      <c r="O64" s="83"/>
      <c r="P64" s="83"/>
      <c r="Q64" s="83"/>
      <c r="R64" s="83"/>
      <c r="S64" s="90"/>
    </row>
    <row r="65" spans="1:19">
      <c r="A65" s="89"/>
      <c r="B65" s="83"/>
      <c r="C65" s="83" t="s">
        <v>148</v>
      </c>
      <c r="D65" s="41" t="s">
        <v>119</v>
      </c>
      <c r="E65" s="42">
        <f>E62*400*3</f>
        <v>4800</v>
      </c>
      <c r="F65" s="42">
        <f t="shared" ref="F65:J65" si="54">F62*400*3</f>
        <v>4800</v>
      </c>
      <c r="G65" s="119">
        <f t="shared" si="54"/>
        <v>2400</v>
      </c>
      <c r="H65" s="42">
        <f t="shared" si="54"/>
        <v>0</v>
      </c>
      <c r="I65" s="42">
        <f t="shared" si="54"/>
        <v>0</v>
      </c>
      <c r="J65" s="42">
        <f t="shared" si="54"/>
        <v>0</v>
      </c>
      <c r="K65" s="42">
        <f>SUM(E65:J65)</f>
        <v>12000</v>
      </c>
      <c r="L65" s="84">
        <v>0.15</v>
      </c>
      <c r="M65" s="42">
        <f>E65*$L65</f>
        <v>720</v>
      </c>
      <c r="N65" s="42">
        <f t="shared" ref="N65:R67" si="55">F65*$L65</f>
        <v>720</v>
      </c>
      <c r="O65" s="42">
        <f t="shared" si="55"/>
        <v>360</v>
      </c>
      <c r="P65" s="42">
        <f t="shared" si="55"/>
        <v>0</v>
      </c>
      <c r="Q65" s="42">
        <f t="shared" si="55"/>
        <v>0</v>
      </c>
      <c r="R65" s="42">
        <f t="shared" si="55"/>
        <v>0</v>
      </c>
      <c r="S65" s="121">
        <f>SUM(M65:R65)</f>
        <v>1800</v>
      </c>
    </row>
    <row r="66" spans="1:19">
      <c r="A66" s="89"/>
      <c r="B66" s="83"/>
      <c r="C66" s="83" t="s">
        <v>149</v>
      </c>
      <c r="D66" s="41" t="s">
        <v>121</v>
      </c>
      <c r="E66" s="42">
        <f>E65*0.5*2*1.5</f>
        <v>7200</v>
      </c>
      <c r="F66" s="42">
        <f t="shared" ref="F66:J66" si="56">F65*0.5*2*1.5</f>
        <v>7200</v>
      </c>
      <c r="G66" s="119">
        <f t="shared" si="56"/>
        <v>3600</v>
      </c>
      <c r="H66" s="42">
        <f t="shared" si="56"/>
        <v>0</v>
      </c>
      <c r="I66" s="42">
        <f t="shared" si="56"/>
        <v>0</v>
      </c>
      <c r="J66" s="42">
        <f t="shared" si="56"/>
        <v>0</v>
      </c>
      <c r="K66" s="42">
        <f>SUM(E66:J66)</f>
        <v>18000</v>
      </c>
      <c r="L66" s="84">
        <v>1.2</v>
      </c>
      <c r="M66" s="42">
        <f>E66*$L66</f>
        <v>8640</v>
      </c>
      <c r="N66" s="42">
        <f t="shared" si="55"/>
        <v>8640</v>
      </c>
      <c r="O66" s="42">
        <f t="shared" si="55"/>
        <v>4320</v>
      </c>
      <c r="P66" s="42">
        <f t="shared" si="55"/>
        <v>0</v>
      </c>
      <c r="Q66" s="42">
        <f t="shared" si="55"/>
        <v>0</v>
      </c>
      <c r="R66" s="42">
        <f t="shared" si="55"/>
        <v>0</v>
      </c>
      <c r="S66" s="121">
        <f>SUM(M66:R66)</f>
        <v>21600</v>
      </c>
    </row>
    <row r="67" spans="1:19">
      <c r="A67" s="89"/>
      <c r="B67" s="83"/>
      <c r="C67" s="83" t="s">
        <v>122</v>
      </c>
      <c r="D67" s="41" t="s">
        <v>123</v>
      </c>
      <c r="E67" s="42">
        <f>E62</f>
        <v>4</v>
      </c>
      <c r="F67" s="42">
        <f t="shared" ref="F67:J67" si="57">F62</f>
        <v>4</v>
      </c>
      <c r="G67" s="119">
        <f t="shared" si="57"/>
        <v>2</v>
      </c>
      <c r="H67" s="42">
        <f t="shared" si="57"/>
        <v>0</v>
      </c>
      <c r="I67" s="42">
        <f t="shared" si="57"/>
        <v>0</v>
      </c>
      <c r="J67" s="42">
        <f t="shared" si="57"/>
        <v>0</v>
      </c>
      <c r="K67" s="42">
        <f>SUM(E67:J67)</f>
        <v>10</v>
      </c>
      <c r="L67" s="42">
        <v>50</v>
      </c>
      <c r="M67" s="42">
        <f>E67*$L67</f>
        <v>200</v>
      </c>
      <c r="N67" s="42">
        <f t="shared" si="55"/>
        <v>200</v>
      </c>
      <c r="O67" s="42">
        <f t="shared" si="55"/>
        <v>100</v>
      </c>
      <c r="P67" s="42">
        <f t="shared" si="55"/>
        <v>0</v>
      </c>
      <c r="Q67" s="42">
        <f t="shared" si="55"/>
        <v>0</v>
      </c>
      <c r="R67" s="42">
        <f t="shared" si="55"/>
        <v>0</v>
      </c>
      <c r="S67" s="121">
        <f>SUM(M67:R67)</f>
        <v>500</v>
      </c>
    </row>
    <row r="68" spans="1:19">
      <c r="A68" s="89"/>
      <c r="B68" s="83" t="s">
        <v>44</v>
      </c>
      <c r="C68" s="83"/>
      <c r="D68" s="41"/>
      <c r="E68" s="41"/>
      <c r="F68" s="41"/>
      <c r="G68" s="40"/>
      <c r="H68" s="41"/>
      <c r="I68" s="41"/>
      <c r="J68" s="41"/>
      <c r="K68" s="83"/>
      <c r="L68" s="83"/>
      <c r="M68" s="83"/>
      <c r="N68" s="83"/>
      <c r="O68" s="83"/>
      <c r="P68" s="83"/>
      <c r="Q68" s="83"/>
      <c r="R68" s="83"/>
      <c r="S68" s="90"/>
    </row>
    <row r="69" spans="1:19" ht="15.75" thickBot="1">
      <c r="A69" s="92"/>
      <c r="B69" s="96"/>
      <c r="C69" s="96" t="s">
        <v>150</v>
      </c>
      <c r="D69" s="122" t="s">
        <v>125</v>
      </c>
      <c r="E69" s="122">
        <f>E61*2</f>
        <v>4</v>
      </c>
      <c r="F69" s="122">
        <f t="shared" ref="F69:J69" si="58">F61*2</f>
        <v>4</v>
      </c>
      <c r="G69" s="123">
        <f t="shared" si="58"/>
        <v>2</v>
      </c>
      <c r="H69" s="122">
        <f t="shared" si="58"/>
        <v>0</v>
      </c>
      <c r="I69" s="122">
        <f t="shared" si="58"/>
        <v>0</v>
      </c>
      <c r="J69" s="122">
        <f t="shared" si="58"/>
        <v>0</v>
      </c>
      <c r="K69" s="124">
        <f>SUM(E69:J69)</f>
        <v>10</v>
      </c>
      <c r="L69" s="124">
        <v>1000</v>
      </c>
      <c r="M69" s="124">
        <f>E69*$L69</f>
        <v>4000</v>
      </c>
      <c r="N69" s="124">
        <f t="shared" ref="N69:R69" si="59">F69*$L69</f>
        <v>4000</v>
      </c>
      <c r="O69" s="124">
        <f t="shared" si="59"/>
        <v>2000</v>
      </c>
      <c r="P69" s="124">
        <f t="shared" si="59"/>
        <v>0</v>
      </c>
      <c r="Q69" s="124">
        <f t="shared" si="59"/>
        <v>0</v>
      </c>
      <c r="R69" s="124">
        <f t="shared" si="59"/>
        <v>0</v>
      </c>
      <c r="S69" s="125">
        <f>SUM(M69:R69)</f>
        <v>10000</v>
      </c>
    </row>
    <row r="71" spans="1:19" ht="15.75" thickBot="1">
      <c r="A71" s="1" t="s">
        <v>153</v>
      </c>
    </row>
    <row r="72" spans="1:19" ht="15.75" thickBot="1">
      <c r="A72" s="111" t="s">
        <v>154</v>
      </c>
      <c r="B72" s="112"/>
      <c r="C72" s="112"/>
      <c r="D72" s="113" t="s">
        <v>155</v>
      </c>
      <c r="E72" s="113">
        <v>5</v>
      </c>
      <c r="F72" s="113">
        <v>10</v>
      </c>
      <c r="G72" s="126">
        <v>10</v>
      </c>
      <c r="H72" s="113">
        <v>5</v>
      </c>
      <c r="I72" s="113"/>
      <c r="J72" s="113"/>
      <c r="K72" s="112"/>
      <c r="L72" s="112"/>
      <c r="M72" s="116">
        <f t="shared" ref="M72:R72" si="60">SUM(M74:M77)</f>
        <v>31250</v>
      </c>
      <c r="N72" s="117">
        <f t="shared" si="60"/>
        <v>62500</v>
      </c>
      <c r="O72" s="117">
        <f t="shared" si="60"/>
        <v>62500</v>
      </c>
      <c r="P72" s="117">
        <f t="shared" si="60"/>
        <v>31250</v>
      </c>
      <c r="Q72" s="117">
        <f t="shared" si="60"/>
        <v>0</v>
      </c>
      <c r="R72" s="117">
        <f t="shared" si="60"/>
        <v>0</v>
      </c>
      <c r="S72" s="118">
        <f>SUM(S74:S77)</f>
        <v>187500</v>
      </c>
    </row>
    <row r="73" spans="1:19">
      <c r="A73" s="89"/>
      <c r="B73" s="83" t="s">
        <v>156</v>
      </c>
      <c r="C73" s="83"/>
      <c r="D73" s="41"/>
      <c r="E73" s="41"/>
      <c r="F73" s="41"/>
      <c r="G73" s="40"/>
      <c r="H73" s="41"/>
      <c r="I73" s="41"/>
      <c r="J73" s="41"/>
      <c r="K73" s="83"/>
      <c r="L73" s="83"/>
      <c r="M73" s="83"/>
      <c r="N73" s="83"/>
      <c r="O73" s="83"/>
      <c r="P73" s="83"/>
      <c r="Q73" s="83"/>
      <c r="R73" s="83"/>
      <c r="S73" s="90"/>
    </row>
    <row r="74" spans="1:19">
      <c r="A74" s="89"/>
      <c r="B74" s="83"/>
      <c r="C74" s="83" t="s">
        <v>157</v>
      </c>
      <c r="D74" s="41" t="s">
        <v>119</v>
      </c>
      <c r="E74" s="41">
        <f>E72</f>
        <v>5</v>
      </c>
      <c r="F74" s="41">
        <f t="shared" ref="F74:J74" si="61">F72</f>
        <v>10</v>
      </c>
      <c r="G74" s="40">
        <f t="shared" si="61"/>
        <v>10</v>
      </c>
      <c r="H74" s="41">
        <f t="shared" si="61"/>
        <v>5</v>
      </c>
      <c r="I74" s="41">
        <f t="shared" si="61"/>
        <v>0</v>
      </c>
      <c r="J74" s="41">
        <f t="shared" si="61"/>
        <v>0</v>
      </c>
      <c r="K74" s="42">
        <f>SUM(E74:J74)</f>
        <v>30</v>
      </c>
      <c r="L74" s="42">
        <v>3000</v>
      </c>
      <c r="M74" s="42">
        <f>E74*$L74</f>
        <v>15000</v>
      </c>
      <c r="N74" s="42">
        <f t="shared" ref="N74:R75" si="62">F74*$L74</f>
        <v>30000</v>
      </c>
      <c r="O74" s="42">
        <f t="shared" si="62"/>
        <v>30000</v>
      </c>
      <c r="P74" s="42">
        <f t="shared" si="62"/>
        <v>15000</v>
      </c>
      <c r="Q74" s="42">
        <f t="shared" si="62"/>
        <v>0</v>
      </c>
      <c r="R74" s="42">
        <f t="shared" si="62"/>
        <v>0</v>
      </c>
      <c r="S74" s="121">
        <f>SUM(M74:R74)</f>
        <v>90000</v>
      </c>
    </row>
    <row r="75" spans="1:19">
      <c r="A75" s="89"/>
      <c r="B75" s="83"/>
      <c r="C75" s="83" t="s">
        <v>158</v>
      </c>
      <c r="D75" s="41" t="s">
        <v>119</v>
      </c>
      <c r="E75" s="41">
        <f>E74*10*10</f>
        <v>500</v>
      </c>
      <c r="F75" s="41">
        <f t="shared" ref="F75:J75" si="63">F74*10*10</f>
        <v>1000</v>
      </c>
      <c r="G75" s="40">
        <f t="shared" si="63"/>
        <v>1000</v>
      </c>
      <c r="H75" s="41">
        <f t="shared" si="63"/>
        <v>500</v>
      </c>
      <c r="I75" s="41">
        <f t="shared" si="63"/>
        <v>0</v>
      </c>
      <c r="J75" s="41">
        <f t="shared" si="63"/>
        <v>0</v>
      </c>
      <c r="K75" s="42">
        <f t="shared" ref="K75:K77" si="64">SUM(E75:J75)</f>
        <v>3000</v>
      </c>
      <c r="L75" s="41">
        <v>10</v>
      </c>
      <c r="M75" s="42">
        <f>E75*$L75</f>
        <v>5000</v>
      </c>
      <c r="N75" s="42">
        <f t="shared" si="62"/>
        <v>10000</v>
      </c>
      <c r="O75" s="42">
        <f t="shared" si="62"/>
        <v>10000</v>
      </c>
      <c r="P75" s="42">
        <f t="shared" si="62"/>
        <v>5000</v>
      </c>
      <c r="Q75" s="42">
        <f t="shared" si="62"/>
        <v>0</v>
      </c>
      <c r="R75" s="42">
        <f t="shared" si="62"/>
        <v>0</v>
      </c>
      <c r="S75" s="121">
        <f>SUM(M75:R75)</f>
        <v>30000</v>
      </c>
    </row>
    <row r="76" spans="1:19">
      <c r="A76" s="89"/>
      <c r="B76" s="83" t="s">
        <v>44</v>
      </c>
      <c r="C76" s="83"/>
      <c r="D76" s="41"/>
      <c r="E76" s="41"/>
      <c r="F76" s="41"/>
      <c r="G76" s="40"/>
      <c r="H76" s="41"/>
      <c r="I76" s="41"/>
      <c r="J76" s="41"/>
      <c r="K76" s="83"/>
      <c r="L76" s="83"/>
      <c r="M76" s="83"/>
      <c r="N76" s="83"/>
      <c r="O76" s="83"/>
      <c r="P76" s="83"/>
      <c r="Q76" s="83"/>
      <c r="R76" s="83"/>
      <c r="S76" s="90"/>
    </row>
    <row r="77" spans="1:19" ht="15.75" thickBot="1">
      <c r="A77" s="92"/>
      <c r="B77" s="96"/>
      <c r="C77" s="96" t="s">
        <v>159</v>
      </c>
      <c r="D77" s="122" t="s">
        <v>125</v>
      </c>
      <c r="E77" s="122">
        <f>3*E72</f>
        <v>15</v>
      </c>
      <c r="F77" s="122">
        <f t="shared" ref="F77:J77" si="65">3*F72</f>
        <v>30</v>
      </c>
      <c r="G77" s="123">
        <f t="shared" si="65"/>
        <v>30</v>
      </c>
      <c r="H77" s="122">
        <f t="shared" si="65"/>
        <v>15</v>
      </c>
      <c r="I77" s="122">
        <f t="shared" si="65"/>
        <v>0</v>
      </c>
      <c r="J77" s="122">
        <f t="shared" si="65"/>
        <v>0</v>
      </c>
      <c r="K77" s="124">
        <f t="shared" si="64"/>
        <v>90</v>
      </c>
      <c r="L77" s="124">
        <v>750</v>
      </c>
      <c r="M77" s="124">
        <f>E77*$L77</f>
        <v>11250</v>
      </c>
      <c r="N77" s="124">
        <f t="shared" ref="N77:R77" si="66">F77*$L77</f>
        <v>22500</v>
      </c>
      <c r="O77" s="124">
        <f t="shared" si="66"/>
        <v>22500</v>
      </c>
      <c r="P77" s="124">
        <f t="shared" si="66"/>
        <v>11250</v>
      </c>
      <c r="Q77" s="124">
        <f t="shared" si="66"/>
        <v>0</v>
      </c>
      <c r="R77" s="124">
        <f t="shared" si="66"/>
        <v>0</v>
      </c>
      <c r="S77" s="125">
        <f>SUM(M77:R77)</f>
        <v>67500</v>
      </c>
    </row>
    <row r="78" spans="1:19" ht="15.75" thickBot="1"/>
    <row r="79" spans="1:19" ht="15.75" thickBot="1">
      <c r="A79" s="111" t="s">
        <v>160</v>
      </c>
      <c r="B79" s="112"/>
      <c r="C79" s="112"/>
      <c r="D79" s="113" t="s">
        <v>155</v>
      </c>
      <c r="E79" s="113">
        <v>2</v>
      </c>
      <c r="F79" s="113">
        <v>4</v>
      </c>
      <c r="G79" s="126">
        <v>4</v>
      </c>
      <c r="H79" s="113"/>
      <c r="I79" s="113"/>
      <c r="J79" s="113"/>
      <c r="K79" s="112"/>
      <c r="L79" s="112"/>
      <c r="M79" s="116">
        <f t="shared" ref="M79:R79" si="67">SUM(M81:M84)</f>
        <v>23500</v>
      </c>
      <c r="N79" s="117">
        <f t="shared" si="67"/>
        <v>47000</v>
      </c>
      <c r="O79" s="117">
        <f t="shared" si="67"/>
        <v>47000</v>
      </c>
      <c r="P79" s="117">
        <f t="shared" si="67"/>
        <v>0</v>
      </c>
      <c r="Q79" s="117">
        <f t="shared" si="67"/>
        <v>0</v>
      </c>
      <c r="R79" s="117">
        <f t="shared" si="67"/>
        <v>0</v>
      </c>
      <c r="S79" s="118">
        <f>SUM(S81:S84)</f>
        <v>117500</v>
      </c>
    </row>
    <row r="80" spans="1:19">
      <c r="A80" s="89"/>
      <c r="B80" s="83" t="s">
        <v>156</v>
      </c>
      <c r="C80" s="83"/>
      <c r="D80" s="41"/>
      <c r="E80" s="41"/>
      <c r="F80" s="41"/>
      <c r="G80" s="40"/>
      <c r="H80" s="41"/>
      <c r="I80" s="41"/>
      <c r="J80" s="41"/>
      <c r="K80" s="83"/>
      <c r="L80" s="83"/>
      <c r="M80" s="83"/>
      <c r="N80" s="83"/>
      <c r="O80" s="83"/>
      <c r="P80" s="83"/>
      <c r="Q80" s="83"/>
      <c r="R80" s="83"/>
      <c r="S80" s="90"/>
    </row>
    <row r="81" spans="1:19">
      <c r="A81" s="89"/>
      <c r="B81" s="83"/>
      <c r="C81" s="83" t="s">
        <v>161</v>
      </c>
      <c r="D81" s="41" t="s">
        <v>119</v>
      </c>
      <c r="E81" s="41">
        <f>E79</f>
        <v>2</v>
      </c>
      <c r="F81" s="41">
        <f t="shared" ref="F81:J81" si="68">F79</f>
        <v>4</v>
      </c>
      <c r="G81" s="40">
        <f t="shared" si="68"/>
        <v>4</v>
      </c>
      <c r="H81" s="41">
        <f t="shared" si="68"/>
        <v>0</v>
      </c>
      <c r="I81" s="41">
        <f t="shared" si="68"/>
        <v>0</v>
      </c>
      <c r="J81" s="41">
        <f t="shared" si="68"/>
        <v>0</v>
      </c>
      <c r="K81" s="42">
        <f>SUM(E81:J81)</f>
        <v>10</v>
      </c>
      <c r="L81" s="42">
        <v>7500</v>
      </c>
      <c r="M81" s="42">
        <f>E81*$L81</f>
        <v>15000</v>
      </c>
      <c r="N81" s="42">
        <f t="shared" ref="N81:R82" si="69">F81*$L81</f>
        <v>30000</v>
      </c>
      <c r="O81" s="42">
        <f t="shared" si="69"/>
        <v>30000</v>
      </c>
      <c r="P81" s="42">
        <f t="shared" si="69"/>
        <v>0</v>
      </c>
      <c r="Q81" s="42">
        <f t="shared" si="69"/>
        <v>0</v>
      </c>
      <c r="R81" s="42">
        <f t="shared" si="69"/>
        <v>0</v>
      </c>
      <c r="S81" s="121">
        <f>SUM(M81:R81)</f>
        <v>75000</v>
      </c>
    </row>
    <row r="82" spans="1:19">
      <c r="A82" s="89"/>
      <c r="B82" s="83"/>
      <c r="C82" s="83" t="s">
        <v>162</v>
      </c>
      <c r="D82" s="41" t="s">
        <v>163</v>
      </c>
      <c r="E82" s="41">
        <f>E79*10</f>
        <v>20</v>
      </c>
      <c r="F82" s="41">
        <f t="shared" ref="F82:K82" si="70">F79*10</f>
        <v>40</v>
      </c>
      <c r="G82" s="40">
        <f t="shared" si="70"/>
        <v>40</v>
      </c>
      <c r="H82" s="41">
        <f t="shared" si="70"/>
        <v>0</v>
      </c>
      <c r="I82" s="41">
        <f t="shared" si="70"/>
        <v>0</v>
      </c>
      <c r="J82" s="41">
        <f t="shared" si="70"/>
        <v>0</v>
      </c>
      <c r="K82" s="41">
        <f t="shared" si="70"/>
        <v>0</v>
      </c>
      <c r="L82" s="41">
        <v>200</v>
      </c>
      <c r="M82" s="42">
        <f>E82*$L82</f>
        <v>4000</v>
      </c>
      <c r="N82" s="42">
        <f t="shared" si="69"/>
        <v>8000</v>
      </c>
      <c r="O82" s="42">
        <f t="shared" si="69"/>
        <v>8000</v>
      </c>
      <c r="P82" s="42">
        <f t="shared" si="69"/>
        <v>0</v>
      </c>
      <c r="Q82" s="42">
        <f t="shared" si="69"/>
        <v>0</v>
      </c>
      <c r="R82" s="42">
        <f t="shared" si="69"/>
        <v>0</v>
      </c>
      <c r="S82" s="121">
        <f>SUM(M82:R82)</f>
        <v>20000</v>
      </c>
    </row>
    <row r="83" spans="1:19">
      <c r="A83" s="89"/>
      <c r="B83" s="83" t="s">
        <v>44</v>
      </c>
      <c r="C83" s="83"/>
      <c r="D83" s="41"/>
      <c r="E83" s="41"/>
      <c r="F83" s="41"/>
      <c r="G83" s="40"/>
      <c r="H83" s="41"/>
      <c r="I83" s="41"/>
      <c r="J83" s="41"/>
      <c r="K83" s="83"/>
      <c r="L83" s="83"/>
      <c r="M83" s="83"/>
      <c r="N83" s="83"/>
      <c r="O83" s="83"/>
      <c r="P83" s="83"/>
      <c r="Q83" s="83"/>
      <c r="R83" s="83"/>
      <c r="S83" s="90"/>
    </row>
    <row r="84" spans="1:19" ht="15.75" thickBot="1">
      <c r="A84" s="92"/>
      <c r="B84" s="96"/>
      <c r="C84" s="96" t="s">
        <v>164</v>
      </c>
      <c r="D84" s="122" t="s">
        <v>125</v>
      </c>
      <c r="E84" s="122">
        <f>3*E79</f>
        <v>6</v>
      </c>
      <c r="F84" s="122">
        <f t="shared" ref="F84:J84" si="71">3*F79</f>
        <v>12</v>
      </c>
      <c r="G84" s="123">
        <f t="shared" si="71"/>
        <v>12</v>
      </c>
      <c r="H84" s="122">
        <f t="shared" si="71"/>
        <v>0</v>
      </c>
      <c r="I84" s="122">
        <f t="shared" si="71"/>
        <v>0</v>
      </c>
      <c r="J84" s="122">
        <f t="shared" si="71"/>
        <v>0</v>
      </c>
      <c r="K84" s="124">
        <f t="shared" ref="K84" si="72">SUM(E84:J84)</f>
        <v>30</v>
      </c>
      <c r="L84" s="124">
        <v>750</v>
      </c>
      <c r="M84" s="124">
        <f>E84*$L84</f>
        <v>4500</v>
      </c>
      <c r="N84" s="124">
        <f t="shared" ref="N84:R84" si="73">F84*$L84</f>
        <v>9000</v>
      </c>
      <c r="O84" s="124">
        <f t="shared" si="73"/>
        <v>9000</v>
      </c>
      <c r="P84" s="124">
        <f t="shared" si="73"/>
        <v>0</v>
      </c>
      <c r="Q84" s="124">
        <f t="shared" si="73"/>
        <v>0</v>
      </c>
      <c r="R84" s="124">
        <f t="shared" si="73"/>
        <v>0</v>
      </c>
      <c r="S84" s="125">
        <f>SUM(M84:R84)</f>
        <v>22500</v>
      </c>
    </row>
    <row r="87" spans="1:19">
      <c r="J87" t="s">
        <v>165</v>
      </c>
      <c r="K87" t="s">
        <v>166</v>
      </c>
      <c r="L87" s="42">
        <v>47000</v>
      </c>
      <c r="M87" s="42">
        <f>E4*$L$87</f>
        <v>0</v>
      </c>
      <c r="N87" s="42">
        <f t="shared" ref="N87:R87" si="74">F4*$L$87</f>
        <v>235000</v>
      </c>
      <c r="O87" s="42">
        <f t="shared" si="74"/>
        <v>235000</v>
      </c>
      <c r="P87" s="42">
        <f t="shared" si="74"/>
        <v>235000</v>
      </c>
      <c r="Q87" s="42">
        <f t="shared" si="74"/>
        <v>0</v>
      </c>
      <c r="R87" s="42">
        <f t="shared" si="74"/>
        <v>0</v>
      </c>
      <c r="S87" s="42">
        <f>SUM(M87:R87)</f>
        <v>705000</v>
      </c>
    </row>
    <row r="88" spans="1:19">
      <c r="K88" t="s">
        <v>167</v>
      </c>
      <c r="L88" s="42">
        <v>147000</v>
      </c>
      <c r="M88" s="42">
        <f>$L$88*E18</f>
        <v>0</v>
      </c>
      <c r="N88" s="42">
        <f t="shared" ref="N88:R88" si="75">$L$88*F18</f>
        <v>0</v>
      </c>
      <c r="O88" s="42">
        <f t="shared" si="75"/>
        <v>735000</v>
      </c>
      <c r="P88" s="42">
        <f t="shared" si="75"/>
        <v>735000</v>
      </c>
      <c r="Q88" s="42">
        <f t="shared" si="75"/>
        <v>735000</v>
      </c>
      <c r="R88" s="42">
        <f t="shared" si="75"/>
        <v>0</v>
      </c>
      <c r="S88" s="42">
        <f>SUM(M88:R88)</f>
        <v>2205000</v>
      </c>
    </row>
    <row r="89" spans="1:19">
      <c r="K89" t="s">
        <v>49</v>
      </c>
      <c r="M89" s="33">
        <f>SUM(M87:M88)</f>
        <v>0</v>
      </c>
      <c r="N89" s="33">
        <f t="shared" ref="N89:S89" si="76">SUM(N87:N88)</f>
        <v>235000</v>
      </c>
      <c r="O89" s="33">
        <f t="shared" si="76"/>
        <v>970000</v>
      </c>
      <c r="P89" s="33">
        <f t="shared" si="76"/>
        <v>970000</v>
      </c>
      <c r="Q89" s="33">
        <f t="shared" si="76"/>
        <v>735000</v>
      </c>
      <c r="R89" s="33">
        <f t="shared" si="76"/>
        <v>0</v>
      </c>
      <c r="S89" s="33">
        <f t="shared" si="76"/>
        <v>2910000</v>
      </c>
    </row>
    <row r="91" spans="1:19">
      <c r="J91" s="4" t="s">
        <v>165</v>
      </c>
      <c r="K91" t="s">
        <v>130</v>
      </c>
      <c r="L91" s="42">
        <v>6446</v>
      </c>
      <c r="M91" s="33">
        <f>$L$91*E33</f>
        <v>322300</v>
      </c>
      <c r="N91" s="33">
        <f t="shared" ref="N91:R91" si="77">$L$91*F33</f>
        <v>966900</v>
      </c>
      <c r="O91" s="33">
        <f t="shared" si="77"/>
        <v>644600</v>
      </c>
      <c r="P91" s="33">
        <f t="shared" si="77"/>
        <v>0</v>
      </c>
      <c r="Q91" s="33">
        <f t="shared" si="77"/>
        <v>0</v>
      </c>
      <c r="R91" s="33">
        <f t="shared" si="77"/>
        <v>0</v>
      </c>
      <c r="S91" s="33">
        <f>SUM(M91:R91)</f>
        <v>1933800</v>
      </c>
    </row>
    <row r="94" spans="1:19">
      <c r="M94" s="108">
        <v>2022</v>
      </c>
      <c r="N94" s="108">
        <v>2023</v>
      </c>
      <c r="O94" s="108">
        <v>2024</v>
      </c>
      <c r="P94" s="108">
        <v>2025</v>
      </c>
      <c r="Q94" s="108">
        <v>2026</v>
      </c>
      <c r="R94" s="108">
        <v>2027</v>
      </c>
    </row>
    <row r="95" spans="1:19">
      <c r="L95" t="s">
        <v>275</v>
      </c>
      <c r="M95" s="219">
        <f>SUM(M4,M18,M33,M44,M60,M72,M79)/1000000</f>
        <v>0.25996000000000002</v>
      </c>
      <c r="N95" s="219">
        <f t="shared" ref="N95:R95" si="78">SUM(N4,N18,N33,N44,N60,N72,N79)/1000000</f>
        <v>0.90835999999999995</v>
      </c>
      <c r="O95" s="219">
        <f t="shared" si="78"/>
        <v>0.89537999999999995</v>
      </c>
      <c r="P95" s="219">
        <f t="shared" si="78"/>
        <v>0.44024999999999997</v>
      </c>
      <c r="Q95" s="219">
        <f t="shared" si="78"/>
        <v>0.22795000000000001</v>
      </c>
      <c r="R95" s="219">
        <f t="shared" si="78"/>
        <v>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W70"/>
  <sheetViews>
    <sheetView zoomScale="85" zoomScaleNormal="85" workbookViewId="0">
      <selection activeCell="E69" sqref="E69"/>
    </sheetView>
  </sheetViews>
  <sheetFormatPr defaultColWidth="8.7109375" defaultRowHeight="15"/>
  <cols>
    <col min="2" max="2" width="16.7109375" customWidth="1"/>
    <col min="3" max="3" width="49.28515625" bestFit="1" customWidth="1"/>
    <col min="4" max="4" width="18.42578125" bestFit="1" customWidth="1"/>
    <col min="5" max="5" width="10.7109375" bestFit="1" customWidth="1"/>
    <col min="23" max="23" width="11.28515625" bestFit="1" customWidth="1"/>
  </cols>
  <sheetData>
    <row r="1" spans="2:23">
      <c r="B1" s="1" t="s">
        <v>106</v>
      </c>
    </row>
    <row r="2" spans="2:23">
      <c r="B2" s="1"/>
    </row>
    <row r="3" spans="2:23">
      <c r="B3" s="1">
        <v>2</v>
      </c>
      <c r="C3" s="1" t="s">
        <v>171</v>
      </c>
    </row>
    <row r="4" spans="2:23">
      <c r="E4" s="36" t="s">
        <v>70</v>
      </c>
      <c r="F4" s="36" t="s">
        <v>71</v>
      </c>
      <c r="G4" s="36" t="s">
        <v>72</v>
      </c>
      <c r="H4" s="36" t="s">
        <v>73</v>
      </c>
      <c r="I4" s="36" t="s">
        <v>74</v>
      </c>
      <c r="J4" s="36" t="s">
        <v>75</v>
      </c>
      <c r="K4" s="36" t="s">
        <v>76</v>
      </c>
      <c r="L4" s="36" t="s">
        <v>77</v>
      </c>
      <c r="M4" s="36" t="s">
        <v>78</v>
      </c>
      <c r="N4" s="36" t="s">
        <v>79</v>
      </c>
      <c r="R4" t="s">
        <v>493</v>
      </c>
      <c r="T4" s="35">
        <f>SUM(E25:E29)</f>
        <v>11250</v>
      </c>
    </row>
    <row r="5" spans="2:23">
      <c r="B5" s="1" t="s">
        <v>168</v>
      </c>
      <c r="C5" s="16" t="s">
        <v>110</v>
      </c>
      <c r="D5" s="36" t="s">
        <v>111</v>
      </c>
      <c r="E5" s="36">
        <v>10</v>
      </c>
      <c r="F5" s="36"/>
      <c r="G5" s="36"/>
      <c r="H5" s="36"/>
      <c r="I5" s="36"/>
      <c r="J5" s="36"/>
      <c r="K5" s="36"/>
      <c r="L5" s="36"/>
      <c r="M5" s="36"/>
      <c r="N5" s="36"/>
      <c r="R5" t="s">
        <v>494</v>
      </c>
    </row>
    <row r="6" spans="2:23">
      <c r="C6" s="16" t="s">
        <v>112</v>
      </c>
      <c r="D6" s="36" t="s">
        <v>113</v>
      </c>
      <c r="E6" s="36">
        <v>1</v>
      </c>
      <c r="F6" s="36"/>
      <c r="G6" s="36"/>
      <c r="H6" s="36"/>
      <c r="I6" s="36"/>
      <c r="J6" s="36"/>
      <c r="K6" s="36"/>
      <c r="L6" s="36"/>
      <c r="M6" s="36"/>
      <c r="N6" s="36"/>
      <c r="R6" s="36" t="s">
        <v>70</v>
      </c>
      <c r="S6" s="36" t="s">
        <v>71</v>
      </c>
      <c r="T6" s="36" t="s">
        <v>72</v>
      </c>
      <c r="U6" s="36" t="s">
        <v>73</v>
      </c>
      <c r="V6" s="36" t="s">
        <v>74</v>
      </c>
    </row>
    <row r="7" spans="2:23">
      <c r="C7" s="16" t="s">
        <v>114</v>
      </c>
      <c r="D7" s="36" t="s">
        <v>115</v>
      </c>
      <c r="E7" s="36">
        <v>2</v>
      </c>
      <c r="F7" s="36"/>
      <c r="G7" s="36"/>
      <c r="H7" s="36"/>
      <c r="I7" s="36"/>
      <c r="J7" s="36"/>
      <c r="K7" s="36"/>
      <c r="L7" s="36"/>
      <c r="M7" s="36"/>
      <c r="N7" s="36"/>
      <c r="R7" s="33">
        <f>E47</f>
        <v>2517.5</v>
      </c>
      <c r="S7" s="33">
        <f t="shared" ref="S7:V7" si="0">F47</f>
        <v>1955</v>
      </c>
      <c r="T7" s="33">
        <f t="shared" si="0"/>
        <v>1955</v>
      </c>
      <c r="U7" s="33">
        <f t="shared" si="0"/>
        <v>2812.5</v>
      </c>
      <c r="V7" s="33">
        <f t="shared" si="0"/>
        <v>2812.5</v>
      </c>
      <c r="W7" s="35">
        <f>SUM(R7:V7)</f>
        <v>12052.5</v>
      </c>
    </row>
    <row r="8" spans="2:23">
      <c r="C8" s="16" t="s">
        <v>116</v>
      </c>
      <c r="D8" s="36" t="s">
        <v>113</v>
      </c>
      <c r="E8" s="36">
        <v>1</v>
      </c>
      <c r="F8" s="36"/>
      <c r="G8" s="36"/>
      <c r="H8" s="36"/>
      <c r="I8" s="36"/>
      <c r="J8" s="36"/>
      <c r="K8" s="36"/>
      <c r="L8" s="36"/>
      <c r="M8" s="36"/>
      <c r="N8" s="36"/>
    </row>
    <row r="9" spans="2:23">
      <c r="C9" s="134" t="s">
        <v>122</v>
      </c>
      <c r="D9" s="102" t="s">
        <v>172</v>
      </c>
      <c r="E9" s="36">
        <v>1</v>
      </c>
      <c r="F9" s="36"/>
      <c r="G9" s="36">
        <v>1</v>
      </c>
      <c r="H9" s="36"/>
      <c r="I9" s="36">
        <v>1</v>
      </c>
      <c r="J9" s="36"/>
      <c r="K9" s="36">
        <v>1</v>
      </c>
      <c r="L9" s="36"/>
      <c r="M9" s="36">
        <v>1</v>
      </c>
      <c r="N9" s="36"/>
      <c r="R9" s="4" t="s">
        <v>495</v>
      </c>
      <c r="S9" s="108" t="s">
        <v>496</v>
      </c>
    </row>
    <row r="10" spans="2:23"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2:23">
      <c r="B11" s="1" t="s">
        <v>169</v>
      </c>
      <c r="C11" s="135" t="s">
        <v>118</v>
      </c>
      <c r="D11" s="102" t="s">
        <v>170</v>
      </c>
      <c r="E11" s="37">
        <f>$B$3*$E$5*500</f>
        <v>10000</v>
      </c>
      <c r="F11" s="37">
        <f>$B$3*$E$5*500</f>
        <v>10000</v>
      </c>
      <c r="G11" s="37">
        <f t="shared" ref="G11:N11" si="1">$B$3*$E$5*500</f>
        <v>10000</v>
      </c>
      <c r="H11" s="37">
        <f t="shared" si="1"/>
        <v>10000</v>
      </c>
      <c r="I11" s="37">
        <f t="shared" si="1"/>
        <v>10000</v>
      </c>
      <c r="J11" s="37">
        <f t="shared" si="1"/>
        <v>10000</v>
      </c>
      <c r="K11" s="37">
        <f t="shared" si="1"/>
        <v>10000</v>
      </c>
      <c r="L11" s="37">
        <f t="shared" si="1"/>
        <v>10000</v>
      </c>
      <c r="M11" s="37">
        <f t="shared" si="1"/>
        <v>10000</v>
      </c>
      <c r="N11" s="37">
        <f t="shared" si="1"/>
        <v>10000</v>
      </c>
    </row>
    <row r="12" spans="2:23">
      <c r="C12" s="16" t="s">
        <v>120</v>
      </c>
      <c r="D12" s="102" t="s">
        <v>121</v>
      </c>
      <c r="E12" s="37">
        <f>E11*0.7*1.2</f>
        <v>8400</v>
      </c>
      <c r="F12" s="37">
        <f t="shared" ref="F12:N12" si="2">F11*0.7*1.2</f>
        <v>8400</v>
      </c>
      <c r="G12" s="37">
        <f t="shared" si="2"/>
        <v>8400</v>
      </c>
      <c r="H12" s="37">
        <f t="shared" si="2"/>
        <v>8400</v>
      </c>
      <c r="I12" s="37">
        <f t="shared" si="2"/>
        <v>8400</v>
      </c>
      <c r="J12" s="37">
        <f t="shared" si="2"/>
        <v>8400</v>
      </c>
      <c r="K12" s="37">
        <f t="shared" si="2"/>
        <v>8400</v>
      </c>
      <c r="L12" s="37">
        <f t="shared" si="2"/>
        <v>8400</v>
      </c>
      <c r="M12" s="37">
        <f t="shared" si="2"/>
        <v>8400</v>
      </c>
      <c r="N12" s="37">
        <f t="shared" si="2"/>
        <v>8400</v>
      </c>
    </row>
    <row r="13" spans="2:23">
      <c r="C13" s="134" t="s">
        <v>173</v>
      </c>
      <c r="D13" s="102" t="s">
        <v>174</v>
      </c>
      <c r="E13" s="38">
        <v>0</v>
      </c>
      <c r="F13" s="38">
        <v>0.05</v>
      </c>
      <c r="G13" s="38">
        <v>0.05</v>
      </c>
      <c r="H13" s="38">
        <v>0.05</v>
      </c>
      <c r="I13" s="38">
        <v>0.05</v>
      </c>
      <c r="J13" s="38">
        <v>0.05</v>
      </c>
      <c r="K13" s="38">
        <v>0.05</v>
      </c>
      <c r="L13" s="38">
        <v>0.05</v>
      </c>
      <c r="M13" s="38">
        <v>0.05</v>
      </c>
      <c r="N13" s="38">
        <v>0.05</v>
      </c>
      <c r="T13" s="4" t="s">
        <v>190</v>
      </c>
      <c r="U13" s="462" t="s">
        <v>515</v>
      </c>
      <c r="V13" s="463"/>
      <c r="W13" t="s">
        <v>517</v>
      </c>
    </row>
    <row r="14" spans="2:23">
      <c r="C14" s="134" t="s">
        <v>180</v>
      </c>
      <c r="D14" s="102" t="s">
        <v>179</v>
      </c>
      <c r="E14" s="36">
        <v>1</v>
      </c>
      <c r="F14" s="36">
        <v>1</v>
      </c>
      <c r="G14" s="36">
        <v>1</v>
      </c>
      <c r="H14" s="36">
        <v>1</v>
      </c>
      <c r="I14" s="36">
        <v>1</v>
      </c>
      <c r="J14" s="36">
        <v>1</v>
      </c>
      <c r="K14" s="36">
        <v>1</v>
      </c>
      <c r="L14" s="36">
        <v>1</v>
      </c>
      <c r="M14" s="36">
        <v>1</v>
      </c>
      <c r="N14" s="36">
        <v>1</v>
      </c>
      <c r="R14" s="464" t="s">
        <v>512</v>
      </c>
      <c r="S14" s="464"/>
      <c r="T14" s="286">
        <v>0.22788007526200671</v>
      </c>
      <c r="U14" s="461">
        <v>1321.694979279684</v>
      </c>
      <c r="V14" s="461"/>
      <c r="W14" s="34">
        <v>0.18</v>
      </c>
    </row>
    <row r="15" spans="2:23">
      <c r="C15" s="134" t="s">
        <v>182</v>
      </c>
      <c r="D15" s="102" t="s">
        <v>174</v>
      </c>
      <c r="E15" s="38">
        <v>0.1</v>
      </c>
      <c r="F15" s="38">
        <f>E15</f>
        <v>0.1</v>
      </c>
      <c r="G15" s="38">
        <f>F15</f>
        <v>0.1</v>
      </c>
      <c r="H15" s="38">
        <f t="shared" ref="H15:N15" si="3">G15</f>
        <v>0.1</v>
      </c>
      <c r="I15" s="38">
        <f t="shared" si="3"/>
        <v>0.1</v>
      </c>
      <c r="J15" s="38">
        <f t="shared" si="3"/>
        <v>0.1</v>
      </c>
      <c r="K15" s="38">
        <f t="shared" si="3"/>
        <v>0.1</v>
      </c>
      <c r="L15" s="38">
        <f t="shared" si="3"/>
        <v>0.1</v>
      </c>
      <c r="M15" s="38">
        <f t="shared" si="3"/>
        <v>0.1</v>
      </c>
      <c r="N15" s="38">
        <f t="shared" si="3"/>
        <v>0.1</v>
      </c>
      <c r="R15" s="464" t="s">
        <v>519</v>
      </c>
      <c r="S15" s="464"/>
      <c r="T15" s="286">
        <v>9.8855255491389959E-2</v>
      </c>
      <c r="U15" s="461">
        <v>-2246.0781168682602</v>
      </c>
      <c r="V15" s="461"/>
      <c r="W15" s="34">
        <v>0.18</v>
      </c>
    </row>
    <row r="16" spans="2:23">
      <c r="C16" s="134" t="s">
        <v>186</v>
      </c>
      <c r="D16" s="102" t="s">
        <v>187</v>
      </c>
      <c r="E16" s="37">
        <v>150</v>
      </c>
      <c r="F16" s="37">
        <v>150</v>
      </c>
      <c r="G16" s="37">
        <v>150</v>
      </c>
      <c r="H16" s="37">
        <v>150</v>
      </c>
      <c r="I16" s="37">
        <v>150</v>
      </c>
      <c r="J16" s="37">
        <v>150</v>
      </c>
      <c r="K16" s="37">
        <v>150</v>
      </c>
      <c r="L16" s="37">
        <v>150</v>
      </c>
      <c r="M16" s="37">
        <v>150</v>
      </c>
      <c r="N16" s="37">
        <v>150</v>
      </c>
      <c r="R16" s="464" t="s">
        <v>513</v>
      </c>
      <c r="S16" s="464"/>
      <c r="T16" s="286">
        <v>-4.0247881004365937E-2</v>
      </c>
      <c r="U16" s="461">
        <v>-5813.8512130161889</v>
      </c>
      <c r="V16" s="461"/>
      <c r="W16" s="34">
        <v>0.18</v>
      </c>
    </row>
    <row r="17" spans="2:23">
      <c r="R17" s="464" t="s">
        <v>518</v>
      </c>
      <c r="S17" s="464"/>
      <c r="T17" s="286">
        <v>0.13410729840708213</v>
      </c>
      <c r="U17" s="461">
        <v>-1280.3809854815518</v>
      </c>
      <c r="V17" s="461"/>
      <c r="W17" s="34">
        <v>0.18</v>
      </c>
    </row>
    <row r="18" spans="2:23">
      <c r="B18" s="1" t="s">
        <v>175</v>
      </c>
      <c r="C18" s="16" t="s">
        <v>177</v>
      </c>
      <c r="D18" s="36" t="s">
        <v>176</v>
      </c>
      <c r="E18" s="37">
        <f>E11*0.9</f>
        <v>9000</v>
      </c>
      <c r="F18" s="37">
        <f t="shared" ref="F18:G18" si="4">F11*0.9</f>
        <v>9000</v>
      </c>
      <c r="G18" s="37">
        <f t="shared" si="4"/>
        <v>9000</v>
      </c>
      <c r="H18" s="37">
        <f>0.95*H11</f>
        <v>9500</v>
      </c>
      <c r="I18" s="37">
        <f t="shared" ref="I18:N18" si="5">0.95*I11</f>
        <v>9500</v>
      </c>
      <c r="J18" s="37">
        <f t="shared" si="5"/>
        <v>9500</v>
      </c>
      <c r="K18" s="37">
        <f t="shared" si="5"/>
        <v>9500</v>
      </c>
      <c r="L18" s="37">
        <f t="shared" si="5"/>
        <v>9500</v>
      </c>
      <c r="M18" s="37">
        <f t="shared" si="5"/>
        <v>9500</v>
      </c>
      <c r="N18" s="37">
        <f t="shared" si="5"/>
        <v>9500</v>
      </c>
      <c r="R18" s="464" t="s">
        <v>514</v>
      </c>
      <c r="S18" s="464"/>
      <c r="T18" s="286">
        <v>3.9377248400754183E-2</v>
      </c>
      <c r="U18" s="461">
        <v>-3882</v>
      </c>
      <c r="V18" s="461"/>
      <c r="W18" s="34">
        <v>0.18</v>
      </c>
    </row>
    <row r="19" spans="2:23">
      <c r="C19" s="16" t="s">
        <v>178</v>
      </c>
      <c r="D19" s="36" t="s">
        <v>121</v>
      </c>
      <c r="E19" s="37">
        <f>E18*0.7</f>
        <v>6300</v>
      </c>
      <c r="F19" s="37">
        <f t="shared" ref="F19:N19" si="6">F18*0.7</f>
        <v>6300</v>
      </c>
      <c r="G19" s="37">
        <f t="shared" si="6"/>
        <v>6300</v>
      </c>
      <c r="H19" s="37">
        <f t="shared" si="6"/>
        <v>6650</v>
      </c>
      <c r="I19" s="37">
        <f t="shared" si="6"/>
        <v>6650</v>
      </c>
      <c r="J19" s="37">
        <f t="shared" si="6"/>
        <v>6650</v>
      </c>
      <c r="K19" s="37">
        <f t="shared" si="6"/>
        <v>6650</v>
      </c>
      <c r="L19" s="37">
        <f t="shared" si="6"/>
        <v>6650</v>
      </c>
      <c r="M19" s="37">
        <f t="shared" si="6"/>
        <v>6650</v>
      </c>
      <c r="N19" s="37">
        <f t="shared" si="6"/>
        <v>6650</v>
      </c>
      <c r="R19" s="464" t="s">
        <v>516</v>
      </c>
      <c r="S19" s="464"/>
      <c r="T19" s="286">
        <v>0.22788007526200671</v>
      </c>
      <c r="U19" s="461">
        <v>715.40246463576705</v>
      </c>
      <c r="V19" s="461"/>
      <c r="W19" s="34">
        <v>0.2</v>
      </c>
    </row>
    <row r="20" spans="2:23">
      <c r="C20" s="56" t="s">
        <v>191</v>
      </c>
      <c r="D20" s="55" t="s">
        <v>121</v>
      </c>
      <c r="E20" s="136">
        <f>0.35*E19</f>
        <v>2205</v>
      </c>
      <c r="F20" s="136">
        <f t="shared" ref="F20:N20" si="7">0.35*F19</f>
        <v>2205</v>
      </c>
      <c r="G20" s="136">
        <f t="shared" si="7"/>
        <v>2205</v>
      </c>
      <c r="H20" s="136">
        <f t="shared" si="7"/>
        <v>2327.5</v>
      </c>
      <c r="I20" s="136">
        <f t="shared" si="7"/>
        <v>2327.5</v>
      </c>
      <c r="J20" s="136">
        <f t="shared" si="7"/>
        <v>2327.5</v>
      </c>
      <c r="K20" s="136">
        <f t="shared" si="7"/>
        <v>2327.5</v>
      </c>
      <c r="L20" s="136">
        <f t="shared" si="7"/>
        <v>2327.5</v>
      </c>
      <c r="M20" s="136">
        <f t="shared" si="7"/>
        <v>2327.5</v>
      </c>
      <c r="N20" s="136">
        <f t="shared" si="7"/>
        <v>2327.5</v>
      </c>
      <c r="R20" s="464" t="s">
        <v>516</v>
      </c>
      <c r="S20" s="464"/>
      <c r="T20" s="286">
        <v>0.22788007526200671</v>
      </c>
      <c r="U20" s="461">
        <v>-477.70278400000001</v>
      </c>
      <c r="V20" s="461"/>
      <c r="W20" s="34">
        <v>0.25</v>
      </c>
    </row>
    <row r="21" spans="2:23">
      <c r="E21" s="33"/>
      <c r="F21" s="33"/>
      <c r="G21" s="33"/>
      <c r="H21" s="33"/>
      <c r="I21" s="33"/>
      <c r="J21" s="33"/>
      <c r="K21" s="33"/>
      <c r="L21" s="33"/>
      <c r="M21" s="33"/>
      <c r="N21" s="33"/>
    </row>
    <row r="22" spans="2:23">
      <c r="D22" s="16" t="s">
        <v>184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</row>
    <row r="23" spans="2:23">
      <c r="B23" s="1" t="s">
        <v>175</v>
      </c>
      <c r="C23" s="16" t="s">
        <v>183</v>
      </c>
      <c r="D23" s="36">
        <f>7*Price</f>
        <v>7</v>
      </c>
      <c r="E23" s="37">
        <f t="shared" ref="E23:N23" si="8">$D23*E20</f>
        <v>15435</v>
      </c>
      <c r="F23" s="37">
        <f t="shared" si="8"/>
        <v>15435</v>
      </c>
      <c r="G23" s="37">
        <f t="shared" si="8"/>
        <v>15435</v>
      </c>
      <c r="H23" s="37">
        <f t="shared" si="8"/>
        <v>16292.5</v>
      </c>
      <c r="I23" s="37">
        <f t="shared" si="8"/>
        <v>16292.5</v>
      </c>
      <c r="J23" s="37">
        <f t="shared" si="8"/>
        <v>16292.5</v>
      </c>
      <c r="K23" s="37">
        <f t="shared" si="8"/>
        <v>16292.5</v>
      </c>
      <c r="L23" s="37">
        <f t="shared" si="8"/>
        <v>16292.5</v>
      </c>
      <c r="M23" s="37">
        <f t="shared" si="8"/>
        <v>16292.5</v>
      </c>
      <c r="N23" s="37">
        <f t="shared" si="8"/>
        <v>16292.5</v>
      </c>
    </row>
    <row r="25" spans="2:23">
      <c r="B25" s="1" t="s">
        <v>168</v>
      </c>
      <c r="C25" s="16" t="s">
        <v>110</v>
      </c>
      <c r="D25" s="37">
        <v>500</v>
      </c>
      <c r="E25" s="37">
        <f t="shared" ref="E25:N25" si="9">E5*$D25</f>
        <v>5000</v>
      </c>
      <c r="F25" s="37">
        <f t="shared" si="9"/>
        <v>0</v>
      </c>
      <c r="G25" s="37">
        <f t="shared" si="9"/>
        <v>0</v>
      </c>
      <c r="H25" s="37">
        <f t="shared" si="9"/>
        <v>0</v>
      </c>
      <c r="I25" s="37">
        <f t="shared" si="9"/>
        <v>0</v>
      </c>
      <c r="J25" s="37">
        <f t="shared" si="9"/>
        <v>0</v>
      </c>
      <c r="K25" s="37">
        <f t="shared" si="9"/>
        <v>0</v>
      </c>
      <c r="L25" s="37">
        <f t="shared" si="9"/>
        <v>0</v>
      </c>
      <c r="M25" s="37">
        <f t="shared" si="9"/>
        <v>0</v>
      </c>
      <c r="N25" s="37">
        <f t="shared" si="9"/>
        <v>0</v>
      </c>
      <c r="T25" s="285"/>
    </row>
    <row r="26" spans="2:23">
      <c r="C26" s="16" t="s">
        <v>112</v>
      </c>
      <c r="D26" s="37">
        <v>1000</v>
      </c>
      <c r="E26" s="37">
        <f t="shared" ref="E26:N26" si="10">E6*$D26</f>
        <v>1000</v>
      </c>
      <c r="F26" s="37">
        <f t="shared" si="10"/>
        <v>0</v>
      </c>
      <c r="G26" s="37">
        <f t="shared" si="10"/>
        <v>0</v>
      </c>
      <c r="H26" s="37">
        <f t="shared" si="10"/>
        <v>0</v>
      </c>
      <c r="I26" s="37">
        <f t="shared" si="10"/>
        <v>0</v>
      </c>
      <c r="J26" s="37">
        <f t="shared" si="10"/>
        <v>0</v>
      </c>
      <c r="K26" s="37">
        <f t="shared" si="10"/>
        <v>0</v>
      </c>
      <c r="L26" s="37">
        <f t="shared" si="10"/>
        <v>0</v>
      </c>
      <c r="M26" s="37">
        <f t="shared" si="10"/>
        <v>0</v>
      </c>
      <c r="N26" s="37">
        <f t="shared" si="10"/>
        <v>0</v>
      </c>
    </row>
    <row r="27" spans="2:23">
      <c r="C27" s="16" t="s">
        <v>114</v>
      </c>
      <c r="D27" s="37">
        <v>1500</v>
      </c>
      <c r="E27" s="37">
        <f t="shared" ref="E27:N27" si="11">E7*$D27</f>
        <v>3000</v>
      </c>
      <c r="F27" s="37">
        <f t="shared" si="11"/>
        <v>0</v>
      </c>
      <c r="G27" s="37">
        <f t="shared" si="11"/>
        <v>0</v>
      </c>
      <c r="H27" s="37">
        <f t="shared" si="11"/>
        <v>0</v>
      </c>
      <c r="I27" s="37">
        <f t="shared" si="11"/>
        <v>0</v>
      </c>
      <c r="J27" s="37">
        <f t="shared" si="11"/>
        <v>0</v>
      </c>
      <c r="K27" s="37">
        <f t="shared" si="11"/>
        <v>0</v>
      </c>
      <c r="L27" s="37">
        <f t="shared" si="11"/>
        <v>0</v>
      </c>
      <c r="M27" s="37">
        <f t="shared" si="11"/>
        <v>0</v>
      </c>
      <c r="N27" s="37">
        <f t="shared" si="11"/>
        <v>0</v>
      </c>
    </row>
    <row r="28" spans="2:23">
      <c r="C28" s="16" t="s">
        <v>116</v>
      </c>
      <c r="D28" s="37">
        <v>2000</v>
      </c>
      <c r="E28" s="37">
        <f t="shared" ref="E28:N28" si="12">E8*$D28</f>
        <v>2000</v>
      </c>
      <c r="F28" s="37">
        <f t="shared" si="12"/>
        <v>0</v>
      </c>
      <c r="G28" s="37">
        <f t="shared" si="12"/>
        <v>0</v>
      </c>
      <c r="H28" s="37">
        <f t="shared" si="12"/>
        <v>0</v>
      </c>
      <c r="I28" s="37">
        <f t="shared" si="12"/>
        <v>0</v>
      </c>
      <c r="J28" s="37">
        <f t="shared" si="12"/>
        <v>0</v>
      </c>
      <c r="K28" s="37">
        <f t="shared" si="12"/>
        <v>0</v>
      </c>
      <c r="L28" s="37">
        <f t="shared" si="12"/>
        <v>0</v>
      </c>
      <c r="M28" s="37">
        <f t="shared" si="12"/>
        <v>0</v>
      </c>
      <c r="N28" s="37">
        <f t="shared" si="12"/>
        <v>0</v>
      </c>
    </row>
    <row r="29" spans="2:23">
      <c r="C29" s="134" t="s">
        <v>122</v>
      </c>
      <c r="D29" s="37">
        <v>250</v>
      </c>
      <c r="E29" s="37">
        <f t="shared" ref="E29:N29" si="13">E9*$D29</f>
        <v>250</v>
      </c>
      <c r="F29" s="37">
        <f t="shared" si="13"/>
        <v>0</v>
      </c>
      <c r="G29" s="37">
        <f t="shared" si="13"/>
        <v>250</v>
      </c>
      <c r="H29" s="37">
        <f t="shared" si="13"/>
        <v>0</v>
      </c>
      <c r="I29" s="37">
        <f t="shared" si="13"/>
        <v>250</v>
      </c>
      <c r="J29" s="37">
        <f t="shared" si="13"/>
        <v>0</v>
      </c>
      <c r="K29" s="37">
        <f t="shared" si="13"/>
        <v>250</v>
      </c>
      <c r="L29" s="37">
        <f t="shared" si="13"/>
        <v>0</v>
      </c>
      <c r="M29" s="37">
        <f t="shared" si="13"/>
        <v>250</v>
      </c>
      <c r="N29" s="37">
        <f t="shared" si="13"/>
        <v>0</v>
      </c>
    </row>
    <row r="31" spans="2:23">
      <c r="B31" s="1" t="s">
        <v>169</v>
      </c>
      <c r="C31" s="135" t="s">
        <v>118</v>
      </c>
      <c r="D31" s="36">
        <f>0.15</f>
        <v>0.15</v>
      </c>
      <c r="E31" s="37">
        <f t="shared" ref="E31:N31" si="14">E11*$D31</f>
        <v>1500</v>
      </c>
      <c r="F31" s="37">
        <f t="shared" si="14"/>
        <v>1500</v>
      </c>
      <c r="G31" s="37">
        <f t="shared" si="14"/>
        <v>1500</v>
      </c>
      <c r="H31" s="37">
        <f t="shared" si="14"/>
        <v>1500</v>
      </c>
      <c r="I31" s="37">
        <f t="shared" si="14"/>
        <v>1500</v>
      </c>
      <c r="J31" s="37">
        <f t="shared" si="14"/>
        <v>1500</v>
      </c>
      <c r="K31" s="37">
        <f t="shared" si="14"/>
        <v>1500</v>
      </c>
      <c r="L31" s="37">
        <f t="shared" si="14"/>
        <v>1500</v>
      </c>
      <c r="M31" s="37">
        <f t="shared" si="14"/>
        <v>1500</v>
      </c>
      <c r="N31" s="37">
        <f t="shared" si="14"/>
        <v>1500</v>
      </c>
    </row>
    <row r="32" spans="2:23">
      <c r="C32" s="16" t="s">
        <v>120</v>
      </c>
      <c r="D32" s="36">
        <f>1.2</f>
        <v>1.2</v>
      </c>
      <c r="E32" s="37">
        <f t="shared" ref="E32:N32" si="15">E12*$D32</f>
        <v>10080</v>
      </c>
      <c r="F32" s="37">
        <f t="shared" si="15"/>
        <v>10080</v>
      </c>
      <c r="G32" s="37">
        <f t="shared" si="15"/>
        <v>10080</v>
      </c>
      <c r="H32" s="37">
        <f t="shared" si="15"/>
        <v>10080</v>
      </c>
      <c r="I32" s="37">
        <f t="shared" si="15"/>
        <v>10080</v>
      </c>
      <c r="J32" s="37">
        <f t="shared" si="15"/>
        <v>10080</v>
      </c>
      <c r="K32" s="37">
        <f t="shared" si="15"/>
        <v>10080</v>
      </c>
      <c r="L32" s="37">
        <f t="shared" si="15"/>
        <v>10080</v>
      </c>
      <c r="M32" s="37">
        <f t="shared" si="15"/>
        <v>10080</v>
      </c>
      <c r="N32" s="37">
        <f t="shared" si="15"/>
        <v>10080</v>
      </c>
    </row>
    <row r="33" spans="3:14">
      <c r="C33" s="134" t="s">
        <v>185</v>
      </c>
      <c r="D33" s="37">
        <f>SUM(E25:E29)</f>
        <v>11250</v>
      </c>
      <c r="E33" s="37">
        <f t="shared" ref="E33:N33" si="16">E13*$D33</f>
        <v>0</v>
      </c>
      <c r="F33" s="37">
        <f t="shared" si="16"/>
        <v>562.5</v>
      </c>
      <c r="G33" s="37">
        <f t="shared" si="16"/>
        <v>562.5</v>
      </c>
      <c r="H33" s="37">
        <f t="shared" si="16"/>
        <v>562.5</v>
      </c>
      <c r="I33" s="37">
        <f t="shared" si="16"/>
        <v>562.5</v>
      </c>
      <c r="J33" s="37">
        <f t="shared" si="16"/>
        <v>562.5</v>
      </c>
      <c r="K33" s="37">
        <f t="shared" si="16"/>
        <v>562.5</v>
      </c>
      <c r="L33" s="37">
        <f t="shared" si="16"/>
        <v>562.5</v>
      </c>
      <c r="M33" s="37">
        <f t="shared" si="16"/>
        <v>562.5</v>
      </c>
      <c r="N33" s="37">
        <f t="shared" si="16"/>
        <v>562.5</v>
      </c>
    </row>
    <row r="34" spans="3:14">
      <c r="C34" s="134" t="s">
        <v>180</v>
      </c>
      <c r="D34" s="36">
        <v>25</v>
      </c>
      <c r="E34" s="37">
        <f t="shared" ref="E34:N34" si="17">E14*$D34</f>
        <v>25</v>
      </c>
      <c r="F34" s="37">
        <f t="shared" si="17"/>
        <v>25</v>
      </c>
      <c r="G34" s="37">
        <f t="shared" si="17"/>
        <v>25</v>
      </c>
      <c r="H34" s="37">
        <f t="shared" si="17"/>
        <v>25</v>
      </c>
      <c r="I34" s="37">
        <f t="shared" si="17"/>
        <v>25</v>
      </c>
      <c r="J34" s="37">
        <f t="shared" si="17"/>
        <v>25</v>
      </c>
      <c r="K34" s="37">
        <f t="shared" si="17"/>
        <v>25</v>
      </c>
      <c r="L34" s="37">
        <f t="shared" si="17"/>
        <v>25</v>
      </c>
      <c r="M34" s="37">
        <f t="shared" si="17"/>
        <v>25</v>
      </c>
      <c r="N34" s="37">
        <f t="shared" si="17"/>
        <v>25</v>
      </c>
    </row>
    <row r="35" spans="3:14">
      <c r="C35" s="134" t="s">
        <v>182</v>
      </c>
      <c r="D35" s="37">
        <f>SUM(E25:E29)</f>
        <v>11250</v>
      </c>
      <c r="E35" s="37">
        <f t="shared" ref="E35:N35" si="18">E15*$D35</f>
        <v>1125</v>
      </c>
      <c r="F35" s="37">
        <f t="shared" si="18"/>
        <v>1125</v>
      </c>
      <c r="G35" s="37">
        <f t="shared" si="18"/>
        <v>1125</v>
      </c>
      <c r="H35" s="37">
        <f t="shared" si="18"/>
        <v>1125</v>
      </c>
      <c r="I35" s="37">
        <f t="shared" si="18"/>
        <v>1125</v>
      </c>
      <c r="J35" s="37">
        <f t="shared" si="18"/>
        <v>1125</v>
      </c>
      <c r="K35" s="37">
        <f t="shared" si="18"/>
        <v>1125</v>
      </c>
      <c r="L35" s="37">
        <f t="shared" si="18"/>
        <v>1125</v>
      </c>
      <c r="M35" s="37">
        <f t="shared" si="18"/>
        <v>1125</v>
      </c>
      <c r="N35" s="37">
        <f t="shared" si="18"/>
        <v>1125</v>
      </c>
    </row>
    <row r="36" spans="3:14">
      <c r="C36" s="134" t="s">
        <v>186</v>
      </c>
      <c r="D36" s="36">
        <v>1.25</v>
      </c>
      <c r="E36" s="37">
        <f t="shared" ref="E36:N36" si="19">E16*$D36</f>
        <v>187.5</v>
      </c>
      <c r="F36" s="37">
        <f t="shared" si="19"/>
        <v>187.5</v>
      </c>
      <c r="G36" s="37">
        <f t="shared" si="19"/>
        <v>187.5</v>
      </c>
      <c r="H36" s="37">
        <f t="shared" si="19"/>
        <v>187.5</v>
      </c>
      <c r="I36" s="37">
        <f t="shared" si="19"/>
        <v>187.5</v>
      </c>
      <c r="J36" s="37">
        <f t="shared" si="19"/>
        <v>187.5</v>
      </c>
      <c r="K36" s="37">
        <f t="shared" si="19"/>
        <v>187.5</v>
      </c>
      <c r="L36" s="37">
        <f t="shared" si="19"/>
        <v>187.5</v>
      </c>
      <c r="M36" s="37">
        <f t="shared" si="19"/>
        <v>187.5</v>
      </c>
      <c r="N36" s="37">
        <f t="shared" si="19"/>
        <v>187.5</v>
      </c>
    </row>
    <row r="38" spans="3:14">
      <c r="C38" s="61" t="s">
        <v>189</v>
      </c>
      <c r="D38" s="60" t="s">
        <v>188</v>
      </c>
      <c r="E38" s="138">
        <f>E23-SUM(E25:E29,E31:E36)</f>
        <v>-8732.5</v>
      </c>
      <c r="F38" s="138">
        <f t="shared" ref="F38:N38" si="20">F23-SUM(F25:F29,F31:F36)</f>
        <v>1955</v>
      </c>
      <c r="G38" s="138">
        <f t="shared" si="20"/>
        <v>1705</v>
      </c>
      <c r="H38" s="138">
        <f t="shared" si="20"/>
        <v>2812.5</v>
      </c>
      <c r="I38" s="138">
        <f t="shared" si="20"/>
        <v>2562.5</v>
      </c>
      <c r="J38" s="138">
        <f t="shared" si="20"/>
        <v>2812.5</v>
      </c>
      <c r="K38" s="138">
        <f t="shared" si="20"/>
        <v>2562.5</v>
      </c>
      <c r="L38" s="138">
        <f t="shared" si="20"/>
        <v>2812.5</v>
      </c>
      <c r="M38" s="138">
        <f t="shared" si="20"/>
        <v>2562.5</v>
      </c>
      <c r="N38" s="138">
        <f t="shared" si="20"/>
        <v>2812.5</v>
      </c>
    </row>
    <row r="40" spans="3:14">
      <c r="D40" s="36" t="s">
        <v>190</v>
      </c>
      <c r="E40" s="75">
        <f>IRR(E38:N38)</f>
        <v>0.22788007526200671</v>
      </c>
    </row>
    <row r="41" spans="3:14">
      <c r="D41" s="36" t="s">
        <v>510</v>
      </c>
      <c r="E41" s="139">
        <f>NPV(0.18,E38:N38)</f>
        <v>1321.694979279684</v>
      </c>
    </row>
    <row r="44" spans="3:14">
      <c r="E44" s="143">
        <f>E38/1000000</f>
        <v>-8.7325000000000007E-3</v>
      </c>
      <c r="F44" s="143">
        <f t="shared" ref="F44:N44" si="21">F38/1000000</f>
        <v>1.9550000000000001E-3</v>
      </c>
      <c r="G44" s="143">
        <f t="shared" si="21"/>
        <v>1.7049999999999999E-3</v>
      </c>
      <c r="H44" s="143">
        <f t="shared" si="21"/>
        <v>2.8124999999999999E-3</v>
      </c>
      <c r="I44" s="143">
        <f t="shared" si="21"/>
        <v>2.5625000000000001E-3</v>
      </c>
      <c r="J44" s="143">
        <f t="shared" si="21"/>
        <v>2.8124999999999999E-3</v>
      </c>
      <c r="K44" s="143">
        <f t="shared" si="21"/>
        <v>2.5625000000000001E-3</v>
      </c>
      <c r="L44" s="143">
        <f t="shared" si="21"/>
        <v>2.8124999999999999E-3</v>
      </c>
      <c r="M44" s="143">
        <f t="shared" si="21"/>
        <v>2.5625000000000001E-3</v>
      </c>
      <c r="N44" s="143">
        <f t="shared" si="21"/>
        <v>2.8124999999999999E-3</v>
      </c>
    </row>
    <row r="47" spans="3:14">
      <c r="D47" t="s">
        <v>494</v>
      </c>
      <c r="E47" s="33">
        <f>E23-SUM(E31:E36)</f>
        <v>2517.5</v>
      </c>
      <c r="F47" s="33">
        <f t="shared" ref="F47:N47" si="22">F23-SUM(F31:F36)</f>
        <v>1955</v>
      </c>
      <c r="G47" s="33">
        <f t="shared" si="22"/>
        <v>1955</v>
      </c>
      <c r="H47" s="33">
        <f t="shared" si="22"/>
        <v>2812.5</v>
      </c>
      <c r="I47" s="33">
        <f t="shared" si="22"/>
        <v>2812.5</v>
      </c>
      <c r="J47" s="33">
        <f t="shared" si="22"/>
        <v>2812.5</v>
      </c>
      <c r="K47" s="33">
        <f t="shared" si="22"/>
        <v>2812.5</v>
      </c>
      <c r="L47" s="33">
        <f t="shared" si="22"/>
        <v>2812.5</v>
      </c>
      <c r="M47" s="33">
        <f t="shared" si="22"/>
        <v>2812.5</v>
      </c>
      <c r="N47" s="33">
        <f t="shared" si="22"/>
        <v>2812.5</v>
      </c>
    </row>
    <row r="49" spans="3:14">
      <c r="C49" s="2" t="s">
        <v>500</v>
      </c>
    </row>
    <row r="50" spans="3:14">
      <c r="C50" s="283" t="s">
        <v>499</v>
      </c>
      <c r="D50" s="4" t="s">
        <v>188</v>
      </c>
      <c r="E50" s="36" t="s">
        <v>70</v>
      </c>
      <c r="F50" s="36" t="s">
        <v>71</v>
      </c>
      <c r="G50" s="36" t="s">
        <v>72</v>
      </c>
      <c r="H50" s="36" t="s">
        <v>73</v>
      </c>
      <c r="I50" s="36" t="s">
        <v>74</v>
      </c>
      <c r="J50" s="36" t="s">
        <v>75</v>
      </c>
      <c r="K50" s="36" t="s">
        <v>76</v>
      </c>
      <c r="L50" s="36" t="s">
        <v>77</v>
      </c>
      <c r="M50" s="36" t="s">
        <v>78</v>
      </c>
      <c r="N50" s="36" t="s">
        <v>79</v>
      </c>
    </row>
    <row r="51" spans="3:14">
      <c r="C51" t="s">
        <v>501</v>
      </c>
      <c r="D51" t="s">
        <v>504</v>
      </c>
      <c r="E51" s="284">
        <f>T4/5</f>
        <v>2250</v>
      </c>
      <c r="F51" s="284">
        <f>E51</f>
        <v>2250</v>
      </c>
      <c r="G51" s="284">
        <f>F51</f>
        <v>2250</v>
      </c>
      <c r="H51" s="284">
        <f>G51</f>
        <v>2250</v>
      </c>
      <c r="I51" s="284">
        <f>H51</f>
        <v>2250</v>
      </c>
    </row>
    <row r="52" spans="3:14">
      <c r="C52" t="s">
        <v>503</v>
      </c>
      <c r="D52" t="s">
        <v>502</v>
      </c>
      <c r="E52" s="284">
        <f>0.18*SUM(E51:I51)</f>
        <v>2025</v>
      </c>
      <c r="F52" s="284">
        <f>0.18*SUM(F51:J51)</f>
        <v>1620</v>
      </c>
      <c r="G52" s="284">
        <f>0.18*SUM(G51:K51)</f>
        <v>1215</v>
      </c>
      <c r="H52" s="284">
        <f t="shared" ref="H52:I52" si="23">0.18*SUM(H51:L51)</f>
        <v>810</v>
      </c>
      <c r="I52" s="284">
        <f t="shared" si="23"/>
        <v>405</v>
      </c>
    </row>
    <row r="53" spans="3:14">
      <c r="D53" t="s">
        <v>505</v>
      </c>
      <c r="E53" s="33">
        <f>SUM(E51:E52)</f>
        <v>4275</v>
      </c>
      <c r="F53" s="33">
        <f t="shared" ref="F53:I53" si="24">SUM(F51:F52)</f>
        <v>3870</v>
      </c>
      <c r="G53" s="33">
        <f t="shared" si="24"/>
        <v>3465</v>
      </c>
      <c r="H53" s="33">
        <f t="shared" si="24"/>
        <v>3060</v>
      </c>
      <c r="I53" s="33">
        <f t="shared" si="24"/>
        <v>2655</v>
      </c>
    </row>
    <row r="55" spans="3:14">
      <c r="D55" t="s">
        <v>189</v>
      </c>
      <c r="E55" s="33">
        <f>E23-E53-SUM(E31:E36)</f>
        <v>-1757.5</v>
      </c>
      <c r="F55" s="33">
        <f t="shared" ref="F55:N55" si="25">F23-F53-SUM(F31:F36)</f>
        <v>-1915</v>
      </c>
      <c r="G55" s="33">
        <f t="shared" si="25"/>
        <v>-1510</v>
      </c>
      <c r="H55" s="33">
        <f t="shared" si="25"/>
        <v>-247.5</v>
      </c>
      <c r="I55" s="33">
        <f t="shared" si="25"/>
        <v>157.5</v>
      </c>
      <c r="J55" s="33">
        <f t="shared" si="25"/>
        <v>2812.5</v>
      </c>
      <c r="K55" s="33">
        <f t="shared" si="25"/>
        <v>2812.5</v>
      </c>
      <c r="L55" s="33">
        <f t="shared" si="25"/>
        <v>2812.5</v>
      </c>
      <c r="M55" s="33">
        <f t="shared" si="25"/>
        <v>2812.5</v>
      </c>
      <c r="N55" s="33">
        <f t="shared" si="25"/>
        <v>2812.5</v>
      </c>
    </row>
    <row r="57" spans="3:14">
      <c r="D57" s="36" t="s">
        <v>190</v>
      </c>
      <c r="E57" s="75">
        <f>IRR(E55:N55)</f>
        <v>0.18009903283343598</v>
      </c>
    </row>
    <row r="58" spans="3:14">
      <c r="D58" s="36" t="s">
        <v>510</v>
      </c>
      <c r="E58" s="139">
        <f>NPV(0.18,E55:N55)</f>
        <v>1.8735826318785043</v>
      </c>
    </row>
    <row r="61" spans="3:14">
      <c r="C61" s="2" t="s">
        <v>506</v>
      </c>
      <c r="D61" s="4" t="s">
        <v>188</v>
      </c>
      <c r="E61" s="36" t="s">
        <v>70</v>
      </c>
      <c r="F61" s="36" t="s">
        <v>71</v>
      </c>
      <c r="G61" s="36" t="s">
        <v>72</v>
      </c>
      <c r="H61" s="36" t="s">
        <v>73</v>
      </c>
      <c r="I61" s="36" t="s">
        <v>74</v>
      </c>
      <c r="J61" s="36" t="s">
        <v>75</v>
      </c>
      <c r="K61" s="36" t="s">
        <v>76</v>
      </c>
      <c r="L61" s="36" t="s">
        <v>77</v>
      </c>
      <c r="M61" s="36" t="s">
        <v>78</v>
      </c>
      <c r="N61" s="36" t="s">
        <v>79</v>
      </c>
    </row>
    <row r="62" spans="3:14">
      <c r="C62" s="283" t="s">
        <v>499</v>
      </c>
      <c r="D62" t="s">
        <v>504</v>
      </c>
      <c r="E62" s="284">
        <f>(T4/2)/5</f>
        <v>1125</v>
      </c>
      <c r="F62" s="284">
        <f>E62</f>
        <v>1125</v>
      </c>
      <c r="G62" s="284">
        <f>F62</f>
        <v>1125</v>
      </c>
      <c r="H62" s="284">
        <f>G62</f>
        <v>1125</v>
      </c>
      <c r="I62" s="284">
        <f>H62</f>
        <v>1125</v>
      </c>
    </row>
    <row r="63" spans="3:14">
      <c r="C63" t="s">
        <v>507</v>
      </c>
      <c r="D63" t="s">
        <v>502</v>
      </c>
      <c r="E63" s="284">
        <f>0.18*SUM(E62:I62)</f>
        <v>1012.5</v>
      </c>
      <c r="F63" s="284">
        <f>0.18*SUM(F62:J62)</f>
        <v>810</v>
      </c>
      <c r="G63" s="284">
        <f>0.18*SUM(G62:K62)</f>
        <v>607.5</v>
      </c>
      <c r="H63" s="284">
        <f t="shared" ref="H63" si="26">0.18*SUM(H62:L62)</f>
        <v>405</v>
      </c>
      <c r="I63" s="284">
        <f t="shared" ref="I63" si="27">0.18*SUM(I62:M62)</f>
        <v>202.5</v>
      </c>
    </row>
    <row r="64" spans="3:14">
      <c r="C64" t="s">
        <v>503</v>
      </c>
      <c r="D64" t="s">
        <v>509</v>
      </c>
      <c r="E64" s="284">
        <f>T4/2</f>
        <v>5625</v>
      </c>
    </row>
    <row r="65" spans="3:14">
      <c r="C65" t="s">
        <v>508</v>
      </c>
      <c r="D65" t="s">
        <v>505</v>
      </c>
      <c r="E65" s="33">
        <f>SUM(E62:E64)</f>
        <v>7762.5</v>
      </c>
      <c r="F65" s="33">
        <f t="shared" ref="F65:I65" si="28">SUM(F62:F64)</f>
        <v>1935</v>
      </c>
      <c r="G65" s="33">
        <f t="shared" si="28"/>
        <v>1732.5</v>
      </c>
      <c r="H65" s="33">
        <f t="shared" si="28"/>
        <v>1530</v>
      </c>
      <c r="I65" s="33">
        <f t="shared" si="28"/>
        <v>1327.5</v>
      </c>
    </row>
    <row r="67" spans="3:14">
      <c r="D67" t="s">
        <v>189</v>
      </c>
      <c r="E67" s="33">
        <f>E23-E65-SUM(E31:E36)</f>
        <v>-5245</v>
      </c>
      <c r="F67" s="33">
        <f t="shared" ref="F67:N67" si="29">F23-F65-SUM(F31:F36)</f>
        <v>20</v>
      </c>
      <c r="G67" s="33">
        <f t="shared" si="29"/>
        <v>222.5</v>
      </c>
      <c r="H67" s="33">
        <f t="shared" si="29"/>
        <v>1282.5</v>
      </c>
      <c r="I67" s="33">
        <f t="shared" si="29"/>
        <v>1485</v>
      </c>
      <c r="J67" s="33">
        <f t="shared" si="29"/>
        <v>2812.5</v>
      </c>
      <c r="K67" s="33">
        <f t="shared" si="29"/>
        <v>2812.5</v>
      </c>
      <c r="L67" s="33">
        <f t="shared" si="29"/>
        <v>2812.5</v>
      </c>
      <c r="M67" s="33">
        <f t="shared" si="29"/>
        <v>2812.5</v>
      </c>
      <c r="N67" s="33">
        <f t="shared" si="29"/>
        <v>2812.5</v>
      </c>
    </row>
    <row r="69" spans="3:14">
      <c r="D69" s="36" t="s">
        <v>190</v>
      </c>
      <c r="E69" s="75">
        <f>IRR(E67:N67)</f>
        <v>0.2172207095042209</v>
      </c>
    </row>
    <row r="70" spans="3:14">
      <c r="D70" s="36" t="s">
        <v>510</v>
      </c>
      <c r="E70" s="139">
        <f>NPV(0.18,E67:N67)</f>
        <v>859.92443008950579</v>
      </c>
    </row>
  </sheetData>
  <mergeCells count="15">
    <mergeCell ref="U20:V20"/>
    <mergeCell ref="U13:V13"/>
    <mergeCell ref="U14:V14"/>
    <mergeCell ref="R14:S14"/>
    <mergeCell ref="R15:S15"/>
    <mergeCell ref="R16:S16"/>
    <mergeCell ref="R17:S17"/>
    <mergeCell ref="R18:S18"/>
    <mergeCell ref="R19:S19"/>
    <mergeCell ref="R20:S20"/>
    <mergeCell ref="U15:V15"/>
    <mergeCell ref="U18:V18"/>
    <mergeCell ref="U16:V16"/>
    <mergeCell ref="U17:V17"/>
    <mergeCell ref="U19:V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8" ma:contentTypeDescription="Create a new document." ma:contentTypeScope="" ma:versionID="495cd79217b99afa72b9ee5eaa6991a8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163074be616c017a06b81a72cc3842b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AB057-9D13-4DF2-93DD-66E508A3A4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E07E79-4F2F-46EF-BE32-D5512F1515B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b03a10c-e680-488a-a254-8023a7ccc6c6"/>
    <ds:schemaRef ds:uri="http://purl.org/dc/elements/1.1/"/>
    <ds:schemaRef ds:uri="http://schemas.microsoft.com/office/2006/metadata/properties"/>
    <ds:schemaRef ds:uri="34d5811f-6acc-4182-8edc-27b6ef9b9fc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9A3D53B-FFA2-4E9E-A85C-C4BE4F9D34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Aggregation</vt:lpstr>
      <vt:lpstr>SensitivityAnalysis</vt:lpstr>
      <vt:lpstr>Summary tables</vt:lpstr>
      <vt:lpstr>Artisanal Catches</vt:lpstr>
      <vt:lpstr>GHG Reduction Output 1.1</vt:lpstr>
      <vt:lpstr>Eco Analysis Infrastructure</vt:lpstr>
      <vt:lpstr>Output 2.1 Costs</vt:lpstr>
      <vt:lpstr>Output2.2 Costs</vt:lpstr>
      <vt:lpstr>Aquaculture Package 1</vt:lpstr>
      <vt:lpstr>Aquaculture Package 2</vt:lpstr>
      <vt:lpstr>Aquaculture Package 3</vt:lpstr>
      <vt:lpstr>Aquaculture Package 4</vt:lpstr>
      <vt:lpstr>Eco Analysis Infrastructure v2 </vt:lpstr>
      <vt:lpstr>Price</vt:lpstr>
      <vt:lpstr>SensitivityAnalysis!Print_Area</vt:lpstr>
    </vt:vector>
  </TitlesOfParts>
  <Company>FAO of the 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Boc (DPIA)</dc:creator>
  <cp:lastModifiedBy>Alacevich </cp:lastModifiedBy>
  <dcterms:created xsi:type="dcterms:W3CDTF">2021-05-23T08:19:06Z</dcterms:created>
  <dcterms:modified xsi:type="dcterms:W3CDTF">2022-04-06T12:27:13Z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