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C:\Users\LEHELR\AppData\Local\Microsoft\Windows\INetCache\Content.Outlook\IAAZ9MUS\"/>
    </mc:Choice>
  </mc:AlternateContent>
  <bookViews>
    <workbookView xWindow="0" yWindow="0" windowWidth="12735" windowHeight="3810" activeTab="1"/>
  </bookViews>
  <sheets>
    <sheet name="Summary" sheetId="5" r:id="rId1"/>
    <sheet name="Detailed Budget" sheetId="1" r:id="rId2"/>
    <sheet name="Notes and Assumptions" sheetId="2" r:id="rId3"/>
    <sheet name="Output2.1" sheetId="3" r:id="rId4"/>
    <sheet name="Output2.2" sheetId="4" r:id="rId5"/>
  </sheets>
  <externalReferences>
    <externalReference r:id="rId6"/>
    <externalReference r:id="rId7"/>
    <externalReference r:id="rId8"/>
    <externalReference r:id="rId9"/>
    <externalReference r:id="rId10"/>
    <externalReference r:id="rId11"/>
    <externalReference r:id="rId12"/>
  </externalReferences>
  <definedNames>
    <definedName name="__pc1" hidden="1">{#N/A,#N/A,FALSE,"Benefits 01-06"}</definedName>
    <definedName name="__pc2" hidden="1">{#N/A,#N/A,FALSE,"Benefits 01-06"}</definedName>
    <definedName name="_1_0__123Grap" hidden="1">#REF!</definedName>
    <definedName name="_123_Grap" hidden="1">#REF!</definedName>
    <definedName name="_123_grapy_p" hidden="1">#REF!</definedName>
    <definedName name="_2_0__123Grap" hidden="1">#REF!</definedName>
    <definedName name="_xlnm._FilterDatabase" localSheetId="1" hidden="1">'Detailed Budget'!$A$3:$U$180</definedName>
    <definedName name="_xlnm._FilterDatabase" localSheetId="2" hidden="1">'Notes and Assumptions'!$A$1:$AP$296</definedName>
    <definedName name="_ftnref1">#REF!</definedName>
    <definedName name="_ftnref2">#REF!</definedName>
    <definedName name="_Key1" hidden="1">#REF!</definedName>
    <definedName name="_Key2" hidden="1">[1]SUDBASE!#REF!</definedName>
    <definedName name="_Order1" hidden="1">0</definedName>
    <definedName name="_Order2" hidden="1">0</definedName>
    <definedName name="_pc1" hidden="1">{#N/A,#N/A,FALSE,"Benefits 01-06"}</definedName>
    <definedName name="_pc2" hidden="1">{#N/A,#N/A,FALSE,"Benefits 01-06"}</definedName>
    <definedName name="_Regression_Out" hidden="1">#REF!</definedName>
    <definedName name="_Regression_X" hidden="1">#REF!</definedName>
    <definedName name="_Regression_Y" hidden="1">#REF!</definedName>
    <definedName name="_Sort" hidden="1">#REF!</definedName>
    <definedName name="ACCOUNT">[2]ACCOUNT!$B$4:$B$96</definedName>
    <definedName name="ACCOUNT_LOOKUP">[2]ACCOUNT!$C$4:$F$96</definedName>
    <definedName name="ACCT_EQUIP">[2]ACCOUNT!$B$56:$B$61</definedName>
    <definedName name="ACCT_GRANTS">[2]ACCOUNT!$B$62:$B$65</definedName>
    <definedName name="ACCT_IA">[2]ACCOUNT!$B$14:$B$23</definedName>
    <definedName name="ACCT_LIST">'[2]ACCT LIST'!$E$7:$E$99</definedName>
    <definedName name="ACCT_OTHER">[2]ACCOUNT!$B$66:$B$92</definedName>
    <definedName name="ACCT_PROF">[2]ACCOUNT!$B$24:$B$38</definedName>
    <definedName name="ACCT_TRAVEL">[2]ACCOUNT!$B$39:$B$55</definedName>
    <definedName name="ACTIVITY_FULL">[2]ACTIVITY!$E$7:$F$671</definedName>
    <definedName name="ACTIVITY_ID_FULL">[2]ACTIVITY!$E$7:$E$671</definedName>
    <definedName name="ACTIVITY_LIST">'[2]Version Details'!$E$33:$E$132</definedName>
    <definedName name="AllT">#REF!</definedName>
    <definedName name="AM">#REF!</definedName>
    <definedName name="Amrita">#REF!</definedName>
    <definedName name="benefit2" hidden="1">{#N/A,#N/A,FALSE,"Benefits 01-06"}</definedName>
    <definedName name="benefit3" hidden="1">{#N/A,#N/A,FALSE,"Benefits 01-06"}</definedName>
    <definedName name="benefits" hidden="1">{#N/A,#N/A,FALSE,"Benefits 01-06"}</definedName>
    <definedName name="BGT">#REF!</definedName>
    <definedName name="BudgetType">'[2]Budget Type'!$A$3:$A$5</definedName>
    <definedName name="CARBON">[2]ACCOUNT!$C$99:$E$102</definedName>
    <definedName name="Categories">OFFSET('[3]Title Lists'!$F$2,0,0,COUNTA('[3]Title Lists'!$F:$F)-1,1)</definedName>
    <definedName name="CCENTER">[2]CCENTER!$D$7:$D$259</definedName>
    <definedName name="CCENTER_ID">[2]CCENTER!$D$7:$F$259</definedName>
    <definedName name="CIT">#REF!</definedName>
    <definedName name="COFIN_LIST">'[2]Version Details'!$J$33:$J$132</definedName>
    <definedName name="COMPANY">#N/A</definedName>
    <definedName name="Components">#REF!</definedName>
    <definedName name="COMPT">#REF!</definedName>
    <definedName name="ContT">#REF!</definedName>
    <definedName name="copy">#N/A</definedName>
    <definedName name="COSTC">[2]COSTC!$D$7:$D$41</definedName>
    <definedName name="COSTC_ID">[2]COSTC!$D$7:$F$41</definedName>
    <definedName name="CT">#REF!</definedName>
    <definedName name="CURR_ID">[2]RATES!$C$8:$C$47</definedName>
    <definedName name="CUSTOMER">#N/A</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#REF!</definedName>
    <definedName name="DATA40">#REF!</definedName>
    <definedName name="DATA41">#REF!</definedName>
    <definedName name="DATA42">#REF!</definedName>
    <definedName name="DATA5">#REF!</definedName>
    <definedName name="DATA6">#REF!</definedName>
    <definedName name="DATA7">#REF!</definedName>
    <definedName name="DATA8">#REF!</definedName>
    <definedName name="DATA9">#REF!</definedName>
    <definedName name="DATAA">#REF!</definedName>
    <definedName name="DATAELEVEN">#REF!</definedName>
    <definedName name="DATATEN">#REF!</definedName>
    <definedName name="db" hidden="1">{"Yr1",#N/A,FALSE,"Budget Detail";"Yr2",#N/A,FALSE,"Budget Detail";"Yr3",#N/A,FALSE,"Budget Detail";"Yr4",#N/A,FALSE,"Budget Detail";"Yr5",#N/A,FALSE,"Budget Detail";"Total",#N/A,FALSE,"Budget Detail"}</definedName>
    <definedName name="Discount">[4]Quotation!$L$2</definedName>
    <definedName name="Duplicate">#REF!</definedName>
    <definedName name="EV__LASTREFTIME__" hidden="1">39622.6580902778</definedName>
    <definedName name="EV__LASTREFTIME___1" hidden="1">39696.5797569444</definedName>
    <definedName name="EXCLUDE">'[2]Version Details'!$O$23:$P$30</definedName>
    <definedName name="falg" hidden="1">{"Yr1",#N/A,FALSE,"Budget Detail";"Yr2",#N/A,FALSE,"Budget Detail";"Yr3",#N/A,FALSE,"Budget Detail";"Yr4",#N/A,FALSE,"Budget Detail";"Yr5",#N/A,FALSE,"Budget Detail";"Total",#N/A,FALSE,"Budget Detail"}</definedName>
    <definedName name="flag" hidden="1">{"Yr1",#N/A,FALSE,"Budget Detail";"Yr2",#N/A,FALSE,"Budget Detail";"Yr3",#N/A,FALSE,"Budget Detail";"Yr4",#N/A,FALSE,"Budget Detail";"Yr5",#N/A,FALSE,"Budget Detail";"Total",#N/A,FALSE,"Budget Detail"}</definedName>
    <definedName name="FLEX_LIST">'[2]Version Details'!$H$33:$H$132</definedName>
    <definedName name="Florence">#REF!</definedName>
    <definedName name="FR_RATE">[2]FRINGE!$G$6:$G$117</definedName>
    <definedName name="FR_TARGET">[2]FRINGE!$D$6:$D$117</definedName>
    <definedName name="FR_TYPE">[2]FRINGE!$C$6:$C$117</definedName>
    <definedName name="Funding">OFFSET('[3]Title Lists'!$H$2,0,0,COUNTA('[3]Title Lists'!$H:$H)-1,1)</definedName>
    <definedName name="FUNDING_TYPE">'[2]Version Details'!$C$5</definedName>
    <definedName name="GCF_Classification">[5]Lists!$D$5:$D$15</definedName>
    <definedName name="Grant2" hidden="1">{#N/A,#N/A,FALSE,"Grant to date"}</definedName>
    <definedName name="HireList">#REF!</definedName>
    <definedName name="HireList1">#REF!</definedName>
    <definedName name="HireList2">#REF!</definedName>
    <definedName name="IDC">'[2]Version Details'!$E$22</definedName>
    <definedName name="IDC_2">'[2]Version Details'!$J$22</definedName>
    <definedName name="IDC_MIN">[2]RATES!$G$5</definedName>
    <definedName name="IDC_TYPE">'[2]Version Details'!$D$22</definedName>
    <definedName name="Implementing_Partners">[5]Lists!$F$5:$F$14</definedName>
    <definedName name="INCLUDE">'[2]Version Details'!$Q$23:$R$30</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"01/21/2021 09:38:24"</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JJJJ" hidden="1">{"Yr1",#N/A,FALSE,"Budget Detail";"Yr2",#N/A,FALSE,"Budget Detail";"Yr3",#N/A,FALSE,"Budget Detail";"Yr4",#N/A,FALSE,"Budget Detail";"Yr5",#N/A,FALSE,"Budget Detail";"Total",#N/A,FALSE,"Budget Detail"}</definedName>
    <definedName name="jokiyh" hidden="1">{"Yr1",#N/A,FALSE,"Budget Detail";"Yr2",#N/A,FALSE,"Budget Detail";"Yr3",#N/A,FALSE,"Budget Detail";"Yr4",#N/A,FALSE,"Budget Detail";"Yr5",#N/A,FALSE,"Budget Detail";"Total",#N/A,FALSE,"Budget Detail"}</definedName>
    <definedName name="LabourRate">#N/A</definedName>
    <definedName name="LOCATION">'[2]Version Details'!$B$15:$B$20</definedName>
    <definedName name="m">#REF!</definedName>
    <definedName name="MET">#REF!</definedName>
    <definedName name="monitor">#REF!</definedName>
    <definedName name="MONTH">[2]PERIOD!$B$3:$B$14</definedName>
    <definedName name="NICRA">[2]RATES!$G$6</definedName>
    <definedName name="NIT">#REF!</definedName>
    <definedName name="NT">#REF!</definedName>
    <definedName name="Outputs">#REF!</definedName>
    <definedName name="PASC_LOOKUP">[2]PASC!$B$8:$S$121</definedName>
    <definedName name="PERIOD">[2]PERIOD!$B$3:$C$14</definedName>
    <definedName name="pig" hidden="1">{"Yr1",#N/A,FALSE,"Budget Detail";"Yr2",#N/A,FALSE,"Budget Detail";"Yr3",#N/A,FALSE,"Budget Detail";"Yr4",#N/A,FALSE,"Budget Detail";"Yr5",#N/A,FALSE,"Budget Detail";"Total",#N/A,FALSE,"Budget Detail"}</definedName>
    <definedName name="PMUT">#REF!</definedName>
    <definedName name="Portia">#REF!</definedName>
    <definedName name="PriceList">[6]PriceList!$A$2:$I$2549</definedName>
    <definedName name="_xlnm.Print_Area" localSheetId="1">'Detailed Budget'!$A$1:$AG$187</definedName>
    <definedName name="_xlnm.Print_Area" localSheetId="2">'Notes and Assumptions'!$C$1:$AN$308</definedName>
    <definedName name="_xlnm.Print_Area">#REF!</definedName>
    <definedName name="PRINT_AREA_MI">#REF!</definedName>
    <definedName name="PROJECT">[2]PROJECT!$D$7:$D$1943</definedName>
    <definedName name="PROJECT_NAME">'[2]Version Details'!$C$2</definedName>
    <definedName name="PROJECT_NUM">'[2]Version Details'!$N$2</definedName>
    <definedName name="PT">#REF!</definedName>
    <definedName name="Quoted_By">#N/A</definedName>
    <definedName name="RateReport">[2]RATES!$C$7:$G$47</definedName>
    <definedName name="RATES">'[2]Version Details'!$B$15:$L$20</definedName>
    <definedName name="ref">#REF!</definedName>
    <definedName name="RESNO">[2]RESNO!$D$7:$D$4287</definedName>
    <definedName name="RESNO_LOOKUP">[2]RESNO!$E$7:$F$4287</definedName>
    <definedName name="Review" hidden="1">{#N/A,#N/A,FALSE,"Benefits 01-06"}</definedName>
    <definedName name="rfa" hidden="1">{"Yr1",#N/A,FALSE,"Budget Detail";"Yr2",#N/A,FALSE,"Budget Detail";"Yr3",#N/A,FALSE,"Budget Detail";"Yr4",#N/A,FALSE,"Budget Detail";"Yr5",#N/A,FALSE,"Budget Detail";"Total",#N/A,FALSE,"Budget Detail"}</definedName>
    <definedName name="RPT_CURR">'[2]Version Details'!$C$9</definedName>
    <definedName name="RPT_RATE">'[2]Version Details'!$C$10</definedName>
    <definedName name="RPTAccountMap">[2]AccountMap!$B$4:$E$97</definedName>
    <definedName name="RPTActivityMap">[2]ActivityMap!$B$4:$D$103</definedName>
    <definedName name="RPTWorkOrderMap">'[2]Outcome Map'!$B$4:$D$103</definedName>
    <definedName name="RT">#REF!</definedName>
    <definedName name="Slicer_Budget_Categories">#N/A</definedName>
    <definedName name="Slicer_Component">#N/A</definedName>
    <definedName name="Slicer_Output">#N/A</definedName>
    <definedName name="STAFF">#REF!</definedName>
    <definedName name="STAFF_RATES">#REF!</definedName>
    <definedName name="START_MONTH">'[2]Version Details'!$C$6</definedName>
    <definedName name="START_PERIOD">'[2]Version Details'!$N$6</definedName>
    <definedName name="START_YEAR">'[2]Version Details'!$C$7</definedName>
    <definedName name="StockOnHand">#REF!</definedName>
    <definedName name="StockOnHand1">#REF!</definedName>
    <definedName name="SV311P" hidden="1">#REF!</definedName>
    <definedName name="TEST1">#REF!</definedName>
    <definedName name="TEST2">#REF!</definedName>
    <definedName name="TEST3">#REF!</definedName>
    <definedName name="TEST4">#REF!</definedName>
    <definedName name="TEST5">#REF!</definedName>
    <definedName name="TESTHKEY">#REF!</definedName>
    <definedName name="TESTKEYS">#REF!</definedName>
    <definedName name="TESTVKEY">#REF!</definedName>
    <definedName name="THFTJ" hidden="1">{#N/A,#N/A,FALSE,"Benefits 01-06"}</definedName>
    <definedName name="Total">#N/A</definedName>
    <definedName name="TT">#REF!</definedName>
    <definedName name="VERSION">[2]VERSION!$D$7:$D$170</definedName>
    <definedName name="VERSION_NAME">'[2]Version Details'!$C$3</definedName>
    <definedName name="VERSION_NUM">'[2]Version Details'!$N$3</definedName>
    <definedName name="vRate">#N/A</definedName>
    <definedName name="vRate1">#N/A</definedName>
    <definedName name="WORKORD_FULL">[2]WORKORD!$E$7:$F$2180</definedName>
    <definedName name="WORKORD_ID_FULL">[2]WORKORD!$E$7:$E$2180</definedName>
    <definedName name="WORKORD_LIST">'[2]Version Details'!$B$33:$B$132</definedName>
    <definedName name="WP_Choice">[7]Index!$A$21:$A$22</definedName>
    <definedName name="wrn.All._.Grant._.Forms." hidden="1">{"Form DD",#N/A,FALSE,"DD";"EE",#N/A,FALSE,"EE";"Indirects",#N/A,FALSE,"DD"}</definedName>
    <definedName name="wrn.Benifits." hidden="1">{#N/A,#N/A,FALSE,"Benefits 01-06"}</definedName>
    <definedName name="wrn.cdra._.Total._.budget.2" hidden="1">{"Yr1",#N/A,FALSE,"Budget Detail";"Yr2",#N/A,FALSE,"Budget Detail";"Yr3",#N/A,FALSE,"Budget Detail";"Yr4",#N/A,FALSE,"Budget Detail";"Yr5",#N/A,FALSE,"Budget Detail";"Total",#N/A,FALSE,"Budget Detail"}</definedName>
    <definedName name="wrn.cdra._.total._.Budget.5" hidden="1">{"Yr1",#N/A,FALSE,"Budget Detail";"Yr2",#N/A,FALSE,"Budget Detail";"Yr3",#N/A,FALSE,"Budget Detail";"Yr4",#N/A,FALSE,"Budget Detail";"Yr5",#N/A,FALSE,"Budget Detail";"Total",#N/A,FALSE,"Budget Detail"}</definedName>
    <definedName name="wrn.CRDA._.Total._.Budget." hidden="1">{"Yr1",#N/A,FALSE,"Budget Detail";"Yr2",#N/A,FALSE,"Budget Detail";"Yr3",#N/A,FALSE,"Budget Detail";"Yr4",#N/A,FALSE,"Budget Detail";"Yr5",#N/A,FALSE,"Budget Detail";"Total",#N/A,FALSE,"Budget Detail"}</definedName>
    <definedName name="wrn.crda._.Total._.budget.1" hidden="1">{"Yr1",#N/A,FALSE,"Budget Detail";"Yr2",#N/A,FALSE,"Budget Detail";"Yr3",#N/A,FALSE,"Budget Detail";"Yr4",#N/A,FALSE,"Budget Detail";"Yr5",#N/A,FALSE,"Budget Detail";"Total",#N/A,FALSE,"Budget Detail"}</definedName>
    <definedName name="wrn.crda._.Total._.budget.3" hidden="1">{"Yr1",#N/A,FALSE,"Budget Detail";"Yr2",#N/A,FALSE,"Budget Detail";"Yr3",#N/A,FALSE,"Budget Detail";"Yr4",#N/A,FALSE,"Budget Detail";"Yr5",#N/A,FALSE,"Budget Detail";"Total",#N/A,FALSE,"Budget Detail"}</definedName>
    <definedName name="wrn.crda._.Total._.Budget.4" hidden="1">{"Yr1",#N/A,FALSE,"Budget Detail";"Yr2",#N/A,FALSE,"Budget Detail";"Yr3",#N/A,FALSE,"Budget Detail";"Yr4",#N/A,FALSE,"Budget Detail";"Yr5",#N/A,FALSE,"Budget Detail";"Total",#N/A,FALSE,"Budget Detail"}</definedName>
    <definedName name="wrn.Grant._.to._.dat." hidden="1">{#N/A,#N/A,FALSE,"Grant to date"}</definedName>
    <definedName name="wrn.Summary._.1._.Year." hidden="1">{"One Year",#N/A,FALSE,"Summary"}</definedName>
    <definedName name="YEARS">'[2]Version Details'!$C$8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8" i="1" l="1"/>
  <c r="L18" i="1"/>
  <c r="K18" i="1"/>
  <c r="J18" i="1"/>
  <c r="M9" i="1"/>
  <c r="L9" i="1"/>
  <c r="K9" i="1"/>
  <c r="J9" i="1"/>
  <c r="AC244" i="2" l="1"/>
  <c r="K119" i="1"/>
  <c r="Y86" i="2" l="1"/>
  <c r="Y11" i="2"/>
  <c r="AC199" i="2" l="1"/>
  <c r="AC205" i="2"/>
  <c r="AC207" i="2"/>
  <c r="AC210" i="2"/>
  <c r="AC218" i="2"/>
  <c r="AC222" i="2"/>
  <c r="AC229" i="2"/>
  <c r="AC235" i="2"/>
  <c r="AC236" i="2"/>
  <c r="AC237" i="2"/>
  <c r="AC240" i="2"/>
  <c r="AC247" i="2"/>
  <c r="AC256" i="2"/>
  <c r="AC254" i="2"/>
  <c r="M13" i="1" l="1"/>
  <c r="L13" i="1"/>
  <c r="K13" i="1"/>
  <c r="J13" i="1"/>
  <c r="O21" i="1"/>
  <c r="AA289" i="2"/>
  <c r="AA262" i="2"/>
  <c r="AA261" i="2"/>
  <c r="AA231" i="2"/>
  <c r="AA214" i="2"/>
  <c r="Y96" i="2"/>
  <c r="AA96" i="2" s="1"/>
  <c r="AA97" i="2"/>
  <c r="AA95" i="2"/>
  <c r="AA94" i="2"/>
  <c r="Y88" i="2"/>
  <c r="AA88" i="2" s="1"/>
  <c r="AA90" i="2"/>
  <c r="AA89" i="2"/>
  <c r="AA87" i="2"/>
  <c r="M46" i="1"/>
  <c r="L46" i="1"/>
  <c r="AA15" i="2"/>
  <c r="AA14" i="2"/>
  <c r="AA13" i="2"/>
  <c r="K15" i="1"/>
  <c r="J15" i="1"/>
  <c r="AA6" i="2"/>
  <c r="AA4" i="2"/>
  <c r="AA5" i="2"/>
  <c r="K6" i="1"/>
  <c r="J6" i="1"/>
  <c r="AA272" i="2"/>
  <c r="AA271" i="2"/>
  <c r="L157" i="1"/>
  <c r="J157" i="1"/>
  <c r="P157" i="1" s="1"/>
  <c r="AA270" i="2"/>
  <c r="L155" i="1"/>
  <c r="J155" i="1"/>
  <c r="P155" i="1" s="1"/>
  <c r="AA267" i="2"/>
  <c r="P152" i="1"/>
  <c r="M145" i="1"/>
  <c r="J145" i="1"/>
  <c r="AA260" i="2"/>
  <c r="P142" i="1"/>
  <c r="AA257" i="2"/>
  <c r="P145" i="1" l="1"/>
  <c r="O140" i="1"/>
  <c r="N140" i="1"/>
  <c r="M140" i="1"/>
  <c r="L140" i="1"/>
  <c r="P140" i="1" s="1"/>
  <c r="O139" i="1"/>
  <c r="N139" i="1"/>
  <c r="M139" i="1"/>
  <c r="L139" i="1"/>
  <c r="Y255" i="2"/>
  <c r="AA255" i="2" s="1"/>
  <c r="Y252" i="2"/>
  <c r="AA252" i="2" s="1"/>
  <c r="O137" i="1"/>
  <c r="N137" i="1"/>
  <c r="M137" i="1"/>
  <c r="L137" i="1"/>
  <c r="K137" i="1"/>
  <c r="L138" i="1"/>
  <c r="M138" i="1" s="1"/>
  <c r="N138" i="1" s="1"/>
  <c r="O138" i="1" s="1"/>
  <c r="AA219" i="2"/>
  <c r="N103" i="1"/>
  <c r="J103" i="1"/>
  <c r="P103" i="1"/>
  <c r="K97" i="1"/>
  <c r="P97" i="1" s="1"/>
  <c r="AA213" i="2"/>
  <c r="P90" i="1"/>
  <c r="Y206" i="2"/>
  <c r="AA206" i="2" s="1"/>
  <c r="P138" i="1" l="1"/>
  <c r="AS138" i="1" s="1"/>
  <c r="Y197" i="2"/>
  <c r="AA103" i="2"/>
  <c r="P63" i="1"/>
  <c r="AA264" i="2"/>
  <c r="L147" i="1"/>
  <c r="P174" i="1" l="1"/>
  <c r="P147" i="1"/>
  <c r="W146" i="1"/>
  <c r="P146" i="1"/>
  <c r="X54" i="1"/>
  <c r="X53" i="1"/>
  <c r="P54" i="1"/>
  <c r="M56" i="1"/>
  <c r="L56" i="1"/>
  <c r="M55" i="1"/>
  <c r="L55" i="1"/>
  <c r="M49" i="1"/>
  <c r="L49" i="1"/>
  <c r="M47" i="1"/>
  <c r="L47" i="1"/>
  <c r="K5" i="1"/>
  <c r="J5" i="1"/>
  <c r="H14" i="5" l="1"/>
  <c r="H34" i="5" s="1"/>
  <c r="H52" i="5" s="1"/>
  <c r="P55" i="1"/>
  <c r="H12" i="5"/>
  <c r="H32" i="5" s="1"/>
  <c r="H50" i="5" s="1"/>
  <c r="X55" i="1"/>
  <c r="W147" i="1"/>
  <c r="P85" i="1" l="1"/>
  <c r="Y99" i="2" l="1"/>
  <c r="AA99" i="2" s="1"/>
  <c r="O58" i="1"/>
  <c r="N58" i="1"/>
  <c r="M58" i="1"/>
  <c r="L58" i="1"/>
  <c r="K58" i="1"/>
  <c r="P58" i="1" l="1"/>
  <c r="AA86" i="2"/>
  <c r="L45" i="1"/>
  <c r="K45" i="1"/>
  <c r="Y258" i="2" l="1"/>
  <c r="M45" i="1"/>
  <c r="N45" i="1"/>
  <c r="AA28" i="2"/>
  <c r="N30" i="1"/>
  <c r="M30" i="1"/>
  <c r="L30" i="1"/>
  <c r="K30" i="1"/>
  <c r="K65" i="1"/>
  <c r="J65" i="1"/>
  <c r="O79" i="1"/>
  <c r="N79" i="1"/>
  <c r="M79" i="1"/>
  <c r="L79" i="1"/>
  <c r="K79" i="1"/>
  <c r="J79" i="1"/>
  <c r="O32" i="1"/>
  <c r="J32" i="1"/>
  <c r="X174" i="1"/>
  <c r="P53" i="1"/>
  <c r="X48" i="1"/>
  <c r="P48" i="1"/>
  <c r="X46" i="1"/>
  <c r="P46" i="1"/>
  <c r="X16" i="1"/>
  <c r="P16" i="1"/>
  <c r="X15" i="1"/>
  <c r="P15" i="1"/>
  <c r="K14" i="1"/>
  <c r="J14" i="1"/>
  <c r="X7" i="1"/>
  <c r="P7" i="1"/>
  <c r="X6" i="1"/>
  <c r="P6" i="1"/>
  <c r="H13" i="5"/>
  <c r="P45" i="1" l="1"/>
  <c r="P30" i="1"/>
  <c r="X14" i="1"/>
  <c r="P47" i="1"/>
  <c r="X47" i="1"/>
  <c r="X49" i="1"/>
  <c r="P49" i="1"/>
  <c r="P14" i="1"/>
  <c r="X5" i="1"/>
  <c r="P56" i="1"/>
  <c r="X56" i="1"/>
  <c r="P5" i="1"/>
  <c r="H8" i="5" l="1"/>
  <c r="H27" i="5" s="1"/>
  <c r="H45" i="5" s="1"/>
  <c r="H5" i="5"/>
  <c r="H24" i="5" s="1"/>
  <c r="H42" i="5" s="1"/>
  <c r="Y23" i="2"/>
  <c r="AA23" i="2" s="1"/>
  <c r="M25" i="1"/>
  <c r="L25" i="1"/>
  <c r="K25" i="1"/>
  <c r="J25" i="1"/>
  <c r="J34" i="1" s="1"/>
  <c r="AA17" i="2"/>
  <c r="AA8" i="2"/>
  <c r="AA3" i="1"/>
  <c r="AB3" i="1" s="1"/>
  <c r="AC3" i="1" s="1"/>
  <c r="AD3" i="1" s="1"/>
  <c r="AA2" i="1"/>
  <c r="AB2" i="1" s="1"/>
  <c r="AC2" i="1" s="1"/>
  <c r="AD2" i="1" s="1"/>
  <c r="H10" i="5" l="1"/>
  <c r="H7" i="5"/>
  <c r="P25" i="1"/>
  <c r="H15" i="5" l="1"/>
  <c r="O39" i="1"/>
  <c r="O59" i="1" s="1"/>
  <c r="J39" i="1"/>
  <c r="J59" i="1" s="1"/>
  <c r="Y65" i="2"/>
  <c r="Y64" i="2"/>
  <c r="M17" i="1"/>
  <c r="L17" i="1"/>
  <c r="K17" i="1"/>
  <c r="J17" i="1"/>
  <c r="M8" i="1"/>
  <c r="L8" i="1"/>
  <c r="K8" i="1"/>
  <c r="J8" i="1"/>
  <c r="N21" i="1"/>
  <c r="M21" i="1"/>
  <c r="L21" i="1"/>
  <c r="P41" i="1"/>
  <c r="O12" i="1"/>
  <c r="O23" i="1" s="1"/>
  <c r="N12" i="1"/>
  <c r="M12" i="1"/>
  <c r="L12" i="1"/>
  <c r="P18" i="1" l="1"/>
  <c r="V18" i="1" s="1"/>
  <c r="P9" i="1"/>
  <c r="V9" i="1" s="1"/>
  <c r="N116" i="1"/>
  <c r="K116" i="1"/>
  <c r="J115" i="1"/>
  <c r="P116" i="1" l="1"/>
  <c r="Z110" i="2"/>
  <c r="AA7" i="2"/>
  <c r="AA9" i="2"/>
  <c r="AA10" i="2"/>
  <c r="AA11" i="2"/>
  <c r="AA12" i="2"/>
  <c r="AA16" i="2"/>
  <c r="AA18" i="2"/>
  <c r="AA19" i="2"/>
  <c r="AA20" i="2"/>
  <c r="AA21" i="2"/>
  <c r="AA22" i="2"/>
  <c r="AA24" i="2"/>
  <c r="AA25" i="2"/>
  <c r="AA26" i="2"/>
  <c r="AA27" i="2"/>
  <c r="AA29" i="2"/>
  <c r="AA30" i="2"/>
  <c r="AA31" i="2"/>
  <c r="AA3" i="2"/>
  <c r="J4" i="1"/>
  <c r="AB2" i="2" l="1"/>
  <c r="AA254" i="2"/>
  <c r="AA277" i="2"/>
  <c r="Y69" i="2"/>
  <c r="AA274" i="2"/>
  <c r="AA269" i="2"/>
  <c r="AA273" i="2"/>
  <c r="J158" i="1"/>
  <c r="P179" i="1"/>
  <c r="AA284" i="2"/>
  <c r="K169" i="1"/>
  <c r="L169" i="1" s="1"/>
  <c r="K168" i="1"/>
  <c r="M169" i="1" l="1"/>
  <c r="N169" i="1" s="1"/>
  <c r="O169" i="1" s="1"/>
  <c r="L168" i="1"/>
  <c r="M168" i="1" s="1"/>
  <c r="N168" i="1" s="1"/>
  <c r="O168" i="1" s="1"/>
  <c r="AA268" i="2"/>
  <c r="J134" i="1"/>
  <c r="AA247" i="2"/>
  <c r="AA245" i="2"/>
  <c r="J126" i="1"/>
  <c r="AA232" i="2"/>
  <c r="Y221" i="2"/>
  <c r="AA221" i="2" s="1"/>
  <c r="AA210" i="2"/>
  <c r="Y204" i="2"/>
  <c r="Y203" i="2"/>
  <c r="AA203" i="2" s="1"/>
  <c r="P84" i="1"/>
  <c r="AA196" i="2"/>
  <c r="AA294" i="2"/>
  <c r="AA293" i="2"/>
  <c r="AA292" i="2"/>
  <c r="AA291" i="2"/>
  <c r="AA290" i="2"/>
  <c r="AA288" i="2"/>
  <c r="AA287" i="2"/>
  <c r="AA286" i="2"/>
  <c r="AA285" i="2"/>
  <c r="AA283" i="2"/>
  <c r="AA282" i="2"/>
  <c r="AA281" i="2"/>
  <c r="AA280" i="2"/>
  <c r="AA279" i="2"/>
  <c r="AA278" i="2"/>
  <c r="AA258" i="2"/>
  <c r="AA251" i="2"/>
  <c r="AA266" i="2"/>
  <c r="AA265" i="2"/>
  <c r="AA263" i="2"/>
  <c r="AA259" i="2"/>
  <c r="AA250" i="2"/>
  <c r="AA249" i="2"/>
  <c r="AA248" i="2"/>
  <c r="AA246" i="2"/>
  <c r="AA244" i="2"/>
  <c r="AA243" i="2"/>
  <c r="AA242" i="2"/>
  <c r="AA241" i="2"/>
  <c r="AA240" i="2"/>
  <c r="AA239" i="2"/>
  <c r="AA238" i="2"/>
  <c r="AA237" i="2"/>
  <c r="AA236" i="2"/>
  <c r="AA256" i="2"/>
  <c r="AA235" i="2"/>
  <c r="AA253" i="2"/>
  <c r="AA234" i="2"/>
  <c r="AA233" i="2"/>
  <c r="AA229" i="2"/>
  <c r="AA230" i="2"/>
  <c r="AA228" i="2"/>
  <c r="AA227" i="2"/>
  <c r="AA226" i="2"/>
  <c r="AA225" i="2"/>
  <c r="AA224" i="2"/>
  <c r="AA223" i="2"/>
  <c r="AA222" i="2"/>
  <c r="AA217" i="2"/>
  <c r="AA216" i="2"/>
  <c r="AA220" i="2"/>
  <c r="AA218" i="2"/>
  <c r="AA215" i="2"/>
  <c r="AA212" i="2"/>
  <c r="AA209" i="2"/>
  <c r="AA208" i="2"/>
  <c r="AA211" i="2"/>
  <c r="AA207" i="2"/>
  <c r="AA205" i="2"/>
  <c r="AA204" i="2"/>
  <c r="AA202" i="2"/>
  <c r="AA201" i="2"/>
  <c r="AA200" i="2"/>
  <c r="AA199" i="2"/>
  <c r="AA197" i="2"/>
  <c r="AA195" i="2"/>
  <c r="AA179" i="2"/>
  <c r="AA150" i="2"/>
  <c r="P65" i="1"/>
  <c r="W141" i="2"/>
  <c r="AA138" i="2" s="1"/>
  <c r="W110" i="2"/>
  <c r="W124" i="2"/>
  <c r="P42" i="1"/>
  <c r="AA40" i="2"/>
  <c r="AB276" i="2" l="1"/>
  <c r="AB198" i="2"/>
  <c r="AA108" i="2"/>
  <c r="P168" i="1"/>
  <c r="P169" i="1"/>
  <c r="AA105" i="2"/>
  <c r="AA104" i="2"/>
  <c r="AA102" i="2"/>
  <c r="AA101" i="2"/>
  <c r="AA100" i="2"/>
  <c r="AA98" i="2"/>
  <c r="AA93" i="2"/>
  <c r="AA92" i="2"/>
  <c r="AA91" i="2"/>
  <c r="AA85" i="2"/>
  <c r="Y76" i="2"/>
  <c r="Y75" i="2"/>
  <c r="Y74" i="2"/>
  <c r="Y73" i="2"/>
  <c r="Y72" i="2"/>
  <c r="Y71" i="2"/>
  <c r="Y70" i="2"/>
  <c r="Y84" i="2"/>
  <c r="Y83" i="2"/>
  <c r="Y82" i="2"/>
  <c r="Y81" i="2"/>
  <c r="Y80" i="2"/>
  <c r="Y54" i="2"/>
  <c r="Y63" i="2"/>
  <c r="Y62" i="2"/>
  <c r="Y61" i="2"/>
  <c r="Y60" i="2"/>
  <c r="Y59" i="2"/>
  <c r="Y58" i="2"/>
  <c r="Y57" i="2"/>
  <c r="Y56" i="2"/>
  <c r="Y55" i="2"/>
  <c r="Y50" i="2"/>
  <c r="Y49" i="2"/>
  <c r="Y48" i="2"/>
  <c r="Y47" i="2"/>
  <c r="Y46" i="2"/>
  <c r="Y45" i="2"/>
  <c r="Y44" i="2"/>
  <c r="AA39" i="2"/>
  <c r="AA37" i="2"/>
  <c r="AA38" i="2"/>
  <c r="AA52" i="2" l="1"/>
  <c r="AA78" i="2"/>
  <c r="AA67" i="2"/>
  <c r="AA42" i="2"/>
  <c r="P121" i="1" l="1"/>
  <c r="P114" i="1"/>
  <c r="P115" i="1"/>
  <c r="P100" i="1"/>
  <c r="K104" i="1"/>
  <c r="P104" i="1" s="1"/>
  <c r="P102" i="1"/>
  <c r="P112" i="1"/>
  <c r="O111" i="1"/>
  <c r="O113" i="1" s="1"/>
  <c r="N111" i="1"/>
  <c r="N113" i="1" s="1"/>
  <c r="M111" i="1"/>
  <c r="L111" i="1"/>
  <c r="P92" i="1"/>
  <c r="P95" i="1"/>
  <c r="S104" i="1" l="1"/>
  <c r="U121" i="1"/>
  <c r="U100" i="1"/>
  <c r="U112" i="1"/>
  <c r="S115" i="1"/>
  <c r="U92" i="1"/>
  <c r="U114" i="1"/>
  <c r="P111" i="1"/>
  <c r="S102" i="1"/>
  <c r="S95" i="1"/>
  <c r="S111" i="1" l="1"/>
  <c r="P137" i="1"/>
  <c r="P143" i="1"/>
  <c r="O136" i="1"/>
  <c r="O160" i="1" s="1"/>
  <c r="O161" i="1" s="1"/>
  <c r="N136" i="1"/>
  <c r="M136" i="1"/>
  <c r="L136" i="1"/>
  <c r="K136" i="1"/>
  <c r="J136" i="1"/>
  <c r="S137" i="1" l="1"/>
  <c r="P136" i="1"/>
  <c r="P98" i="1"/>
  <c r="N39" i="1"/>
  <c r="M39" i="1"/>
  <c r="L39" i="1"/>
  <c r="K39" i="1"/>
  <c r="P79" i="1" l="1"/>
  <c r="S79" i="1" s="1"/>
  <c r="P39" i="1"/>
  <c r="P80" i="1"/>
  <c r="P33" i="1"/>
  <c r="N32" i="1"/>
  <c r="M32" i="1"/>
  <c r="L32" i="1"/>
  <c r="K32" i="1"/>
  <c r="F13" i="5"/>
  <c r="P32" i="1" l="1"/>
  <c r="P22" i="1"/>
  <c r="N91" i="4"/>
  <c r="M91" i="4"/>
  <c r="O87" i="4"/>
  <c r="N87" i="4"/>
  <c r="F5" i="5" l="1"/>
  <c r="H23" i="5" s="1"/>
  <c r="J23" i="1"/>
  <c r="J35" i="1" s="1"/>
  <c r="K123" i="1"/>
  <c r="K87" i="1"/>
  <c r="J150" i="1"/>
  <c r="K133" i="1"/>
  <c r="L133" i="1" s="1"/>
  <c r="K130" i="1"/>
  <c r="M130" i="1" s="1"/>
  <c r="K126" i="1"/>
  <c r="K11" i="1"/>
  <c r="P96" i="1"/>
  <c r="L87" i="1" l="1"/>
  <c r="F7" i="5"/>
  <c r="L126" i="1"/>
  <c r="M126" i="1" s="1"/>
  <c r="N126" i="1" s="1"/>
  <c r="P38" i="1"/>
  <c r="P37" i="1"/>
  <c r="P57" i="1"/>
  <c r="M52" i="1"/>
  <c r="N52" i="1" s="1"/>
  <c r="P52" i="1" s="1"/>
  <c r="L51" i="1"/>
  <c r="K51" i="1"/>
  <c r="K59" i="1" s="1"/>
  <c r="H41" i="5" l="1"/>
  <c r="M51" i="1"/>
  <c r="L59" i="1"/>
  <c r="M87" i="1"/>
  <c r="S57" i="1"/>
  <c r="S52" i="1"/>
  <c r="N51" i="1" l="1"/>
  <c r="M59" i="1"/>
  <c r="N59" i="1" l="1"/>
  <c r="P59" i="1" s="1"/>
  <c r="P51" i="1"/>
  <c r="S51" i="1" s="1"/>
  <c r="T59" i="1"/>
  <c r="T180" i="1"/>
  <c r="T160" i="1"/>
  <c r="T113" i="1"/>
  <c r="T34" i="1"/>
  <c r="U23" i="1"/>
  <c r="J128" i="1"/>
  <c r="J160" i="1" s="1"/>
  <c r="P129" i="1"/>
  <c r="P127" i="1"/>
  <c r="P126" i="1"/>
  <c r="P135" i="1"/>
  <c r="L134" i="1"/>
  <c r="K134" i="1"/>
  <c r="P133" i="1"/>
  <c r="P132" i="1"/>
  <c r="N131" i="1"/>
  <c r="K131" i="1"/>
  <c r="P130" i="1"/>
  <c r="P118" i="1"/>
  <c r="P106" i="1"/>
  <c r="P105" i="1"/>
  <c r="P101" i="1"/>
  <c r="P91" i="1"/>
  <c r="P89" i="1"/>
  <c r="P159" i="1"/>
  <c r="P158" i="1"/>
  <c r="P156" i="1"/>
  <c r="P154" i="1"/>
  <c r="L148" i="1"/>
  <c r="K128" i="1" l="1"/>
  <c r="S154" i="1"/>
  <c r="S106" i="1"/>
  <c r="S129" i="1"/>
  <c r="S156" i="1"/>
  <c r="S118" i="1"/>
  <c r="S135" i="1"/>
  <c r="S158" i="1"/>
  <c r="S133" i="1"/>
  <c r="S89" i="1"/>
  <c r="S91" i="1"/>
  <c r="S132" i="1"/>
  <c r="S101" i="1"/>
  <c r="S130" i="1"/>
  <c r="S126" i="1"/>
  <c r="S159" i="1"/>
  <c r="S105" i="1"/>
  <c r="S127" i="1"/>
  <c r="T161" i="1"/>
  <c r="P131" i="1"/>
  <c r="P134" i="1"/>
  <c r="J164" i="1"/>
  <c r="K164" i="1" s="1"/>
  <c r="J166" i="1"/>
  <c r="K175" i="1"/>
  <c r="L173" i="1"/>
  <c r="J178" i="1"/>
  <c r="K178" i="1" s="1"/>
  <c r="K177" i="1"/>
  <c r="P128" i="1" l="1"/>
  <c r="L177" i="1"/>
  <c r="M177" i="1" s="1"/>
  <c r="N177" i="1" s="1"/>
  <c r="O177" i="1" s="1"/>
  <c r="S131" i="1"/>
  <c r="L178" i="1"/>
  <c r="M178" i="1" s="1"/>
  <c r="N178" i="1" s="1"/>
  <c r="O178" i="1" s="1"/>
  <c r="L164" i="1"/>
  <c r="M164" i="1" s="1"/>
  <c r="N164" i="1" s="1"/>
  <c r="O164" i="1" s="1"/>
  <c r="M173" i="1"/>
  <c r="N173" i="1" s="1"/>
  <c r="O173" i="1" s="1"/>
  <c r="M149" i="1"/>
  <c r="P149" i="1" s="1"/>
  <c r="L175" i="1"/>
  <c r="M175" i="1" s="1"/>
  <c r="N175" i="1" s="1"/>
  <c r="O175" i="1" s="1"/>
  <c r="S134" i="1"/>
  <c r="S128" i="1" l="1"/>
  <c r="P164" i="1"/>
  <c r="P177" i="1"/>
  <c r="Q59" i="1"/>
  <c r="K176" i="1"/>
  <c r="S164" i="1" l="1"/>
  <c r="S177" i="1"/>
  <c r="L176" i="1"/>
  <c r="M176" i="1" s="1"/>
  <c r="N176" i="1" s="1"/>
  <c r="O176" i="1" s="1"/>
  <c r="M28" i="1"/>
  <c r="N20" i="1"/>
  <c r="M20" i="1"/>
  <c r="L20" i="1"/>
  <c r="K20" i="1"/>
  <c r="P175" i="1"/>
  <c r="P173" i="1"/>
  <c r="S175" i="1" l="1"/>
  <c r="U179" i="1"/>
  <c r="N28" i="1"/>
  <c r="P28" i="1" s="1"/>
  <c r="S173" i="1"/>
  <c r="J167" i="1"/>
  <c r="K167" i="1" s="1"/>
  <c r="J165" i="1"/>
  <c r="K165" i="1" s="1"/>
  <c r="K166" i="1"/>
  <c r="P93" i="1"/>
  <c r="G11" i="5" s="1"/>
  <c r="H30" i="5" s="1"/>
  <c r="K4" i="1"/>
  <c r="K23" i="1" s="1"/>
  <c r="L11" i="1"/>
  <c r="M29" i="1"/>
  <c r="N29" i="1" s="1"/>
  <c r="L27" i="1"/>
  <c r="K27" i="1"/>
  <c r="P10" i="1"/>
  <c r="P8" i="1"/>
  <c r="P26" i="1"/>
  <c r="P24" i="1"/>
  <c r="P13" i="1" l="1"/>
  <c r="M27" i="1"/>
  <c r="S28" i="1"/>
  <c r="S24" i="1"/>
  <c r="T22" i="1"/>
  <c r="T23" i="1" s="1"/>
  <c r="T35" i="1" s="1"/>
  <c r="L166" i="1"/>
  <c r="M166" i="1" s="1"/>
  <c r="N166" i="1" s="1"/>
  <c r="O166" i="1" s="1"/>
  <c r="S85" i="1"/>
  <c r="L165" i="1"/>
  <c r="M165" i="1" s="1"/>
  <c r="N165" i="1" s="1"/>
  <c r="O165" i="1" s="1"/>
  <c r="S26" i="1"/>
  <c r="S8" i="1"/>
  <c r="S10" i="1"/>
  <c r="P29" i="1"/>
  <c r="U93" i="1"/>
  <c r="L167" i="1"/>
  <c r="M167" i="1" s="1"/>
  <c r="N167" i="1" s="1"/>
  <c r="O167" i="1" s="1"/>
  <c r="L4" i="1"/>
  <c r="L23" i="1" s="1"/>
  <c r="L31" i="1"/>
  <c r="L34" i="1" s="1"/>
  <c r="M31" i="1"/>
  <c r="N31" i="1"/>
  <c r="O31" i="1"/>
  <c r="O34" i="1" s="1"/>
  <c r="O35" i="1" s="1"/>
  <c r="K31" i="1"/>
  <c r="K34" i="1" s="1"/>
  <c r="K35" i="1" s="1"/>
  <c r="N11" i="1"/>
  <c r="N23" i="1" s="1"/>
  <c r="M11" i="1"/>
  <c r="P20" i="1"/>
  <c r="P19" i="1"/>
  <c r="P17" i="1"/>
  <c r="M34" i="1" l="1"/>
  <c r="L35" i="1"/>
  <c r="N27" i="1"/>
  <c r="N34" i="1" s="1"/>
  <c r="N35" i="1" s="1"/>
  <c r="S29" i="1"/>
  <c r="P167" i="1"/>
  <c r="S17" i="1"/>
  <c r="S19" i="1"/>
  <c r="M4" i="1"/>
  <c r="M23" i="1" s="1"/>
  <c r="M35" i="1" s="1"/>
  <c r="S20" i="1"/>
  <c r="P166" i="1"/>
  <c r="P11" i="1"/>
  <c r="P31" i="1"/>
  <c r="P78" i="1"/>
  <c r="P50" i="1"/>
  <c r="P122" i="1"/>
  <c r="N124" i="1"/>
  <c r="N160" i="1" s="1"/>
  <c r="N161" i="1" s="1"/>
  <c r="M124" i="1"/>
  <c r="M160" i="1" s="1"/>
  <c r="L124" i="1"/>
  <c r="L160" i="1" s="1"/>
  <c r="K124" i="1"/>
  <c r="P120" i="1"/>
  <c r="P117" i="1"/>
  <c r="P139" i="1"/>
  <c r="P125" i="1"/>
  <c r="P141" i="1"/>
  <c r="P144" i="1"/>
  <c r="P148" i="1"/>
  <c r="P151" i="1"/>
  <c r="P170" i="1"/>
  <c r="P171" i="1"/>
  <c r="P172" i="1"/>
  <c r="P176" i="1"/>
  <c r="P178" i="1"/>
  <c r="J163" i="1"/>
  <c r="J162" i="1"/>
  <c r="M88" i="1"/>
  <c r="M113" i="1" s="1"/>
  <c r="P86" i="1"/>
  <c r="K88" i="1"/>
  <c r="K113" i="1" s="1"/>
  <c r="L88" i="1"/>
  <c r="L113" i="1" s="1"/>
  <c r="J88" i="1"/>
  <c r="J113" i="1" s="1"/>
  <c r="P94" i="1"/>
  <c r="P99" i="1"/>
  <c r="J180" i="1" l="1"/>
  <c r="G14" i="5"/>
  <c r="H33" i="5" s="1"/>
  <c r="H51" i="5" s="1"/>
  <c r="M161" i="1"/>
  <c r="P23" i="1"/>
  <c r="P35" i="1"/>
  <c r="P113" i="1"/>
  <c r="J161" i="1"/>
  <c r="L161" i="1"/>
  <c r="P119" i="1"/>
  <c r="K160" i="1"/>
  <c r="P160" i="1" s="1"/>
  <c r="G8" i="5"/>
  <c r="H26" i="5" s="1"/>
  <c r="G9" i="5"/>
  <c r="H29" i="5" s="1"/>
  <c r="G6" i="5"/>
  <c r="H25" i="5" s="1"/>
  <c r="G12" i="5"/>
  <c r="H31" i="5" s="1"/>
  <c r="P27" i="1"/>
  <c r="S167" i="1"/>
  <c r="P34" i="1"/>
  <c r="S13" i="1"/>
  <c r="S84" i="1"/>
  <c r="U78" i="1"/>
  <c r="U81" i="1" s="1"/>
  <c r="P21" i="1"/>
  <c r="S99" i="1"/>
  <c r="S178" i="1"/>
  <c r="U170" i="1"/>
  <c r="S148" i="1"/>
  <c r="S141" i="1"/>
  <c r="S117" i="1"/>
  <c r="U122" i="1"/>
  <c r="U31" i="1"/>
  <c r="U34" i="1" s="1"/>
  <c r="U35" i="1" s="1"/>
  <c r="S11" i="1"/>
  <c r="S166" i="1"/>
  <c r="S94" i="1"/>
  <c r="S176" i="1"/>
  <c r="U168" i="1"/>
  <c r="S144" i="1"/>
  <c r="S125" i="1"/>
  <c r="U120" i="1"/>
  <c r="S86" i="1"/>
  <c r="S172" i="1"/>
  <c r="S151" i="1"/>
  <c r="S139" i="1"/>
  <c r="U50" i="1"/>
  <c r="U59" i="1" s="1"/>
  <c r="P4" i="1"/>
  <c r="S171" i="1"/>
  <c r="S149" i="1"/>
  <c r="P150" i="1"/>
  <c r="P124" i="1"/>
  <c r="P123" i="1"/>
  <c r="P153" i="1"/>
  <c r="P165" i="1"/>
  <c r="P87" i="1"/>
  <c r="K163" i="1"/>
  <c r="K162" i="1"/>
  <c r="P88" i="1"/>
  <c r="H43" i="5" l="1"/>
  <c r="H47" i="5"/>
  <c r="K161" i="1"/>
  <c r="H49" i="5"/>
  <c r="G13" i="5"/>
  <c r="H44" i="5"/>
  <c r="G10" i="5"/>
  <c r="G7" i="5"/>
  <c r="Q34" i="1"/>
  <c r="D6" i="5"/>
  <c r="E6" i="5" s="1"/>
  <c r="S27" i="1"/>
  <c r="S34" i="1" s="1"/>
  <c r="P12" i="1"/>
  <c r="S4" i="1"/>
  <c r="S21" i="1"/>
  <c r="U82" i="1"/>
  <c r="U180" i="1"/>
  <c r="U160" i="1"/>
  <c r="S88" i="1"/>
  <c r="S165" i="1"/>
  <c r="S153" i="1"/>
  <c r="S119" i="1"/>
  <c r="S87" i="1"/>
  <c r="S123" i="1"/>
  <c r="S150" i="1"/>
  <c r="L163" i="1"/>
  <c r="M163" i="1" s="1"/>
  <c r="S124" i="1"/>
  <c r="D8" i="5"/>
  <c r="E8" i="5" s="1"/>
  <c r="K180" i="1"/>
  <c r="L162" i="1"/>
  <c r="P107" i="1"/>
  <c r="P108" i="1"/>
  <c r="P109" i="1"/>
  <c r="P110" i="1"/>
  <c r="P83" i="1"/>
  <c r="O91" i="4"/>
  <c r="P91" i="4"/>
  <c r="M69" i="1" s="1"/>
  <c r="Q91" i="4"/>
  <c r="N69" i="1" s="1"/>
  <c r="R91" i="4"/>
  <c r="O69" i="1" s="1"/>
  <c r="J69" i="1"/>
  <c r="N88" i="4"/>
  <c r="O88" i="4"/>
  <c r="P88" i="4"/>
  <c r="Q88" i="4"/>
  <c r="R88" i="4"/>
  <c r="M88" i="4"/>
  <c r="P87" i="4"/>
  <c r="Q87" i="4"/>
  <c r="R87" i="4"/>
  <c r="M87" i="4"/>
  <c r="P61" i="1"/>
  <c r="P62" i="1"/>
  <c r="P64" i="1"/>
  <c r="P60" i="1"/>
  <c r="P40" i="1"/>
  <c r="P43" i="1"/>
  <c r="P44" i="1"/>
  <c r="P36" i="1"/>
  <c r="J84" i="4"/>
  <c r="R84" i="4" s="1"/>
  <c r="I84" i="4"/>
  <c r="Q84" i="4" s="1"/>
  <c r="H84" i="4"/>
  <c r="P84" i="4" s="1"/>
  <c r="G84" i="4"/>
  <c r="O84" i="4" s="1"/>
  <c r="F84" i="4"/>
  <c r="N84" i="4" s="1"/>
  <c r="E84" i="4"/>
  <c r="M84" i="4" s="1"/>
  <c r="K82" i="4"/>
  <c r="J82" i="4"/>
  <c r="R82" i="4" s="1"/>
  <c r="I82" i="4"/>
  <c r="Q82" i="4" s="1"/>
  <c r="H82" i="4"/>
  <c r="P82" i="4" s="1"/>
  <c r="G82" i="4"/>
  <c r="O82" i="4" s="1"/>
  <c r="F82" i="4"/>
  <c r="N82" i="4" s="1"/>
  <c r="E82" i="4"/>
  <c r="M82" i="4" s="1"/>
  <c r="J81" i="4"/>
  <c r="R81" i="4" s="1"/>
  <c r="I81" i="4"/>
  <c r="Q81" i="4" s="1"/>
  <c r="H81" i="4"/>
  <c r="P81" i="4" s="1"/>
  <c r="G81" i="4"/>
  <c r="O81" i="4" s="1"/>
  <c r="F81" i="4"/>
  <c r="N81" i="4" s="1"/>
  <c r="E81" i="4"/>
  <c r="J77" i="4"/>
  <c r="R77" i="4" s="1"/>
  <c r="I77" i="4"/>
  <c r="Q77" i="4" s="1"/>
  <c r="H77" i="4"/>
  <c r="P77" i="4" s="1"/>
  <c r="G77" i="4"/>
  <c r="O77" i="4" s="1"/>
  <c r="F77" i="4"/>
  <c r="N77" i="4" s="1"/>
  <c r="E77" i="4"/>
  <c r="J74" i="4"/>
  <c r="J75" i="4" s="1"/>
  <c r="R75" i="4" s="1"/>
  <c r="I74" i="4"/>
  <c r="H74" i="4"/>
  <c r="P74" i="4" s="1"/>
  <c r="G74" i="4"/>
  <c r="F74" i="4"/>
  <c r="F75" i="4" s="1"/>
  <c r="N75" i="4" s="1"/>
  <c r="E74" i="4"/>
  <c r="J69" i="4"/>
  <c r="R69" i="4" s="1"/>
  <c r="I69" i="4"/>
  <c r="Q69" i="4" s="1"/>
  <c r="H69" i="4"/>
  <c r="P69" i="4" s="1"/>
  <c r="G69" i="4"/>
  <c r="O69" i="4" s="1"/>
  <c r="F69" i="4"/>
  <c r="E69" i="4"/>
  <c r="M69" i="4" s="1"/>
  <c r="J67" i="4"/>
  <c r="R67" i="4" s="1"/>
  <c r="I67" i="4"/>
  <c r="Q67" i="4" s="1"/>
  <c r="H67" i="4"/>
  <c r="P67" i="4" s="1"/>
  <c r="J65" i="4"/>
  <c r="R65" i="4" s="1"/>
  <c r="I65" i="4"/>
  <c r="H65" i="4"/>
  <c r="J63" i="4"/>
  <c r="R63" i="4" s="1"/>
  <c r="I63" i="4"/>
  <c r="Q63" i="4" s="1"/>
  <c r="H63" i="4"/>
  <c r="P63" i="4" s="1"/>
  <c r="G63" i="4"/>
  <c r="O63" i="4" s="1"/>
  <c r="F63" i="4"/>
  <c r="E63" i="4"/>
  <c r="M63" i="4" s="1"/>
  <c r="R62" i="4"/>
  <c r="Q62" i="4"/>
  <c r="P62" i="4"/>
  <c r="G62" i="4"/>
  <c r="O62" i="4" s="1"/>
  <c r="F62" i="4"/>
  <c r="F67" i="4" s="1"/>
  <c r="N67" i="4" s="1"/>
  <c r="E62" i="4"/>
  <c r="M62" i="4" s="1"/>
  <c r="J58" i="4"/>
  <c r="R58" i="4" s="1"/>
  <c r="I58" i="4"/>
  <c r="Q58" i="4" s="1"/>
  <c r="H58" i="4"/>
  <c r="P58" i="4" s="1"/>
  <c r="M75" i="1" s="1"/>
  <c r="G58" i="4"/>
  <c r="O58" i="4" s="1"/>
  <c r="F58" i="4"/>
  <c r="E58" i="4"/>
  <c r="M58" i="4" s="1"/>
  <c r="J52" i="4"/>
  <c r="R52" i="4" s="1"/>
  <c r="I52" i="4"/>
  <c r="Q52" i="4" s="1"/>
  <c r="H52" i="4"/>
  <c r="P52" i="4" s="1"/>
  <c r="G52" i="4"/>
  <c r="O52" i="4" s="1"/>
  <c r="F52" i="4"/>
  <c r="E52" i="4"/>
  <c r="M52" i="4" s="1"/>
  <c r="J51" i="4"/>
  <c r="J56" i="4" s="1"/>
  <c r="R56" i="4" s="1"/>
  <c r="I51" i="4"/>
  <c r="I56" i="4" s="1"/>
  <c r="Q56" i="4" s="1"/>
  <c r="H51" i="4"/>
  <c r="P51" i="4" s="1"/>
  <c r="G51" i="4"/>
  <c r="O51" i="4" s="1"/>
  <c r="F51" i="4"/>
  <c r="F56" i="4" s="1"/>
  <c r="N56" i="4" s="1"/>
  <c r="E51" i="4"/>
  <c r="J50" i="4"/>
  <c r="I50" i="4"/>
  <c r="Q50" i="4" s="1"/>
  <c r="H50" i="4"/>
  <c r="P50" i="4" s="1"/>
  <c r="G50" i="4"/>
  <c r="G54" i="4" s="1"/>
  <c r="F50" i="4"/>
  <c r="E50" i="4"/>
  <c r="M50" i="4" s="1"/>
  <c r="R49" i="4"/>
  <c r="M49" i="4"/>
  <c r="I49" i="4"/>
  <c r="Q49" i="4" s="1"/>
  <c r="H49" i="4"/>
  <c r="P49" i="4" s="1"/>
  <c r="G49" i="4"/>
  <c r="O49" i="4" s="1"/>
  <c r="F49" i="4"/>
  <c r="N49" i="4" s="1"/>
  <c r="L48" i="4"/>
  <c r="R48" i="4" s="1"/>
  <c r="I48" i="4"/>
  <c r="H48" i="4"/>
  <c r="G48" i="4"/>
  <c r="F48" i="4"/>
  <c r="R47" i="4"/>
  <c r="M47" i="4"/>
  <c r="I47" i="4"/>
  <c r="Q47" i="4" s="1"/>
  <c r="H47" i="4"/>
  <c r="P47" i="4" s="1"/>
  <c r="G47" i="4"/>
  <c r="O47" i="4" s="1"/>
  <c r="F47" i="4"/>
  <c r="N47" i="4" s="1"/>
  <c r="R46" i="4"/>
  <c r="M46" i="4"/>
  <c r="I46" i="4"/>
  <c r="Q46" i="4" s="1"/>
  <c r="H46" i="4"/>
  <c r="P46" i="4" s="1"/>
  <c r="G46" i="4"/>
  <c r="O46" i="4" s="1"/>
  <c r="F46" i="4"/>
  <c r="N46" i="4" s="1"/>
  <c r="K44" i="4"/>
  <c r="J41" i="4"/>
  <c r="R41" i="4" s="1"/>
  <c r="O72" i="1" s="1"/>
  <c r="I41" i="4"/>
  <c r="Q41" i="4" s="1"/>
  <c r="N72" i="1" s="1"/>
  <c r="H41" i="4"/>
  <c r="P41" i="4" s="1"/>
  <c r="M72" i="1" s="1"/>
  <c r="J39" i="4"/>
  <c r="R39" i="4" s="1"/>
  <c r="I39" i="4"/>
  <c r="Q39" i="4" s="1"/>
  <c r="H39" i="4"/>
  <c r="P39" i="4" s="1"/>
  <c r="J37" i="4"/>
  <c r="J38" i="4" s="1"/>
  <c r="R38" i="4" s="1"/>
  <c r="I37" i="4"/>
  <c r="H37" i="4"/>
  <c r="R35" i="4"/>
  <c r="O70" i="1" s="1"/>
  <c r="Q35" i="4"/>
  <c r="N70" i="1" s="1"/>
  <c r="P35" i="4"/>
  <c r="M70" i="1" s="1"/>
  <c r="G35" i="4"/>
  <c r="O35" i="4" s="1"/>
  <c r="L70" i="1" s="1"/>
  <c r="F35" i="4"/>
  <c r="E35" i="4"/>
  <c r="M35" i="4" s="1"/>
  <c r="J70" i="1" s="1"/>
  <c r="K33" i="4"/>
  <c r="R30" i="4"/>
  <c r="M30" i="4"/>
  <c r="I30" i="4"/>
  <c r="Q30" i="4" s="1"/>
  <c r="H30" i="4"/>
  <c r="P30" i="4" s="1"/>
  <c r="G30" i="4"/>
  <c r="O30" i="4" s="1"/>
  <c r="F30" i="4"/>
  <c r="N30" i="4" s="1"/>
  <c r="R29" i="4"/>
  <c r="M29" i="4"/>
  <c r="I29" i="4"/>
  <c r="Q29" i="4" s="1"/>
  <c r="H29" i="4"/>
  <c r="P29" i="4" s="1"/>
  <c r="G29" i="4"/>
  <c r="O29" i="4" s="1"/>
  <c r="F29" i="4"/>
  <c r="R27" i="4"/>
  <c r="Q27" i="4"/>
  <c r="P27" i="4"/>
  <c r="O27" i="4"/>
  <c r="N27" i="4"/>
  <c r="M27" i="4"/>
  <c r="K27" i="4"/>
  <c r="R26" i="4"/>
  <c r="M26" i="4"/>
  <c r="R25" i="4"/>
  <c r="M25" i="4"/>
  <c r="F25" i="4"/>
  <c r="F26" i="4" s="1"/>
  <c r="N26" i="4" s="1"/>
  <c r="R23" i="4"/>
  <c r="Q23" i="4"/>
  <c r="P23" i="4"/>
  <c r="O23" i="4"/>
  <c r="N23" i="4"/>
  <c r="M23" i="4"/>
  <c r="K23" i="4"/>
  <c r="R22" i="4"/>
  <c r="M22" i="4"/>
  <c r="I22" i="4"/>
  <c r="Q22" i="4" s="1"/>
  <c r="H22" i="4"/>
  <c r="P22" i="4" s="1"/>
  <c r="G22" i="4"/>
  <c r="O22" i="4" s="1"/>
  <c r="F22" i="4"/>
  <c r="N22" i="4" s="1"/>
  <c r="R21" i="4"/>
  <c r="Q21" i="4"/>
  <c r="P21" i="4"/>
  <c r="O21" i="4"/>
  <c r="N21" i="4"/>
  <c r="M21" i="4"/>
  <c r="K21" i="4"/>
  <c r="R20" i="4"/>
  <c r="M20" i="4"/>
  <c r="I20" i="4"/>
  <c r="Q20" i="4" s="1"/>
  <c r="H20" i="4"/>
  <c r="P20" i="4" s="1"/>
  <c r="G20" i="4"/>
  <c r="G25" i="4" s="1"/>
  <c r="F20" i="4"/>
  <c r="K18" i="4"/>
  <c r="R16" i="4"/>
  <c r="Q16" i="4"/>
  <c r="M16" i="4"/>
  <c r="H16" i="4"/>
  <c r="P16" i="4" s="1"/>
  <c r="G16" i="4"/>
  <c r="O16" i="4" s="1"/>
  <c r="F16" i="4"/>
  <c r="R15" i="4"/>
  <c r="Q15" i="4"/>
  <c r="M15" i="4"/>
  <c r="H15" i="4"/>
  <c r="P15" i="4" s="1"/>
  <c r="G15" i="4"/>
  <c r="O15" i="4" s="1"/>
  <c r="F15" i="4"/>
  <c r="R13" i="4"/>
  <c r="Q13" i="4"/>
  <c r="P13" i="4"/>
  <c r="O13" i="4"/>
  <c r="N13" i="4"/>
  <c r="M13" i="4"/>
  <c r="K13" i="4"/>
  <c r="R12" i="4"/>
  <c r="Q12" i="4"/>
  <c r="M12" i="4"/>
  <c r="R11" i="4"/>
  <c r="Q11" i="4"/>
  <c r="M11" i="4"/>
  <c r="H11" i="4"/>
  <c r="H12" i="4" s="1"/>
  <c r="P12" i="4" s="1"/>
  <c r="G11" i="4"/>
  <c r="G12" i="4" s="1"/>
  <c r="F11" i="4"/>
  <c r="N11" i="4" s="1"/>
  <c r="R9" i="4"/>
  <c r="Q9" i="4"/>
  <c r="P9" i="4"/>
  <c r="O9" i="4"/>
  <c r="N9" i="4"/>
  <c r="M9" i="4"/>
  <c r="K9" i="4"/>
  <c r="R8" i="4"/>
  <c r="Q8" i="4"/>
  <c r="M8" i="4"/>
  <c r="H8" i="4"/>
  <c r="P8" i="4" s="1"/>
  <c r="G8" i="4"/>
  <c r="O8" i="4" s="1"/>
  <c r="F8" i="4"/>
  <c r="R7" i="4"/>
  <c r="Q7" i="4"/>
  <c r="P7" i="4"/>
  <c r="O7" i="4"/>
  <c r="N7" i="4"/>
  <c r="M7" i="4"/>
  <c r="K7" i="4"/>
  <c r="R6" i="4"/>
  <c r="Q6" i="4"/>
  <c r="M6" i="4"/>
  <c r="H6" i="4"/>
  <c r="P6" i="4" s="1"/>
  <c r="G6" i="4"/>
  <c r="O6" i="4" s="1"/>
  <c r="F6" i="4"/>
  <c r="K4" i="4"/>
  <c r="F25" i="5" l="1"/>
  <c r="F43" i="5" s="1"/>
  <c r="D11" i="5"/>
  <c r="E11" i="5" s="1"/>
  <c r="P161" i="1"/>
  <c r="S87" i="4"/>
  <c r="L69" i="1"/>
  <c r="S91" i="4"/>
  <c r="M77" i="1"/>
  <c r="E25" i="5"/>
  <c r="E43" i="5" s="1"/>
  <c r="S12" i="1"/>
  <c r="S23" i="1" s="1"/>
  <c r="S35" i="1" s="1"/>
  <c r="F26" i="5"/>
  <c r="F44" i="5" s="1"/>
  <c r="E26" i="5"/>
  <c r="E44" i="5" s="1"/>
  <c r="S160" i="1"/>
  <c r="S43" i="1"/>
  <c r="S60" i="1"/>
  <c r="S61" i="1"/>
  <c r="U113" i="1"/>
  <c r="U161" i="1" s="1"/>
  <c r="U182" i="1" s="1"/>
  <c r="S108" i="1"/>
  <c r="S83" i="1"/>
  <c r="S109" i="1"/>
  <c r="M162" i="1"/>
  <c r="N162" i="1" s="1"/>
  <c r="S42" i="1"/>
  <c r="S65" i="1"/>
  <c r="S36" i="1"/>
  <c r="S41" i="1"/>
  <c r="S64" i="1"/>
  <c r="S107" i="1"/>
  <c r="S44" i="1"/>
  <c r="S40" i="1"/>
  <c r="S62" i="1"/>
  <c r="S110" i="1"/>
  <c r="K77" i="1"/>
  <c r="J66" i="4"/>
  <c r="R66" i="4" s="1"/>
  <c r="R60" i="4" s="1"/>
  <c r="M89" i="4"/>
  <c r="J66" i="1" s="1"/>
  <c r="K16" i="4"/>
  <c r="J75" i="1"/>
  <c r="N75" i="1"/>
  <c r="Q51" i="4"/>
  <c r="O75" i="1"/>
  <c r="O11" i="4"/>
  <c r="O48" i="4"/>
  <c r="M48" i="4"/>
  <c r="N74" i="4"/>
  <c r="K76" i="1" s="1"/>
  <c r="S27" i="4"/>
  <c r="N25" i="4"/>
  <c r="L75" i="1"/>
  <c r="N48" i="4"/>
  <c r="O79" i="4"/>
  <c r="P48" i="4"/>
  <c r="M73" i="1" s="1"/>
  <c r="O77" i="1"/>
  <c r="N79" i="4"/>
  <c r="R79" i="4"/>
  <c r="R89" i="4"/>
  <c r="O66" i="1" s="1"/>
  <c r="N89" i="4"/>
  <c r="K66" i="1" s="1"/>
  <c r="P89" i="4"/>
  <c r="M66" i="1" s="1"/>
  <c r="N68" i="1"/>
  <c r="Q48" i="4"/>
  <c r="L77" i="1"/>
  <c r="S82" i="4"/>
  <c r="Q89" i="4"/>
  <c r="N66" i="1" s="1"/>
  <c r="S88" i="4"/>
  <c r="O89" i="4"/>
  <c r="L66" i="1" s="1"/>
  <c r="D12" i="5"/>
  <c r="E12" i="5" s="1"/>
  <c r="Q160" i="1"/>
  <c r="S9" i="4"/>
  <c r="F12" i="4"/>
  <c r="N12" i="4" s="1"/>
  <c r="J68" i="1"/>
  <c r="R37" i="4"/>
  <c r="O71" i="1" s="1"/>
  <c r="H75" i="4"/>
  <c r="P75" i="4" s="1"/>
  <c r="P72" i="4" s="1"/>
  <c r="Q113" i="1"/>
  <c r="L180" i="1"/>
  <c r="K29" i="4"/>
  <c r="N29" i="4"/>
  <c r="S29" i="4" s="1"/>
  <c r="F39" i="4"/>
  <c r="N39" i="4" s="1"/>
  <c r="F41" i="4"/>
  <c r="N41" i="4" s="1"/>
  <c r="I66" i="4"/>
  <c r="Q66" i="4" s="1"/>
  <c r="Q65" i="4"/>
  <c r="S22" i="4"/>
  <c r="R18" i="4"/>
  <c r="G75" i="4"/>
  <c r="O75" i="4" s="1"/>
  <c r="O74" i="4"/>
  <c r="K69" i="1"/>
  <c r="S30" i="4"/>
  <c r="I38" i="4"/>
  <c r="Q38" i="4" s="1"/>
  <c r="Q37" i="4"/>
  <c r="O68" i="1"/>
  <c r="K20" i="4"/>
  <c r="N20" i="4"/>
  <c r="M18" i="4"/>
  <c r="E56" i="4"/>
  <c r="M56" i="4" s="1"/>
  <c r="M51" i="4"/>
  <c r="N77" i="1"/>
  <c r="K81" i="4"/>
  <c r="M81" i="4"/>
  <c r="S81" i="4" s="1"/>
  <c r="M4" i="4"/>
  <c r="S7" i="4"/>
  <c r="S13" i="4"/>
  <c r="N16" i="4"/>
  <c r="S16" i="4" s="1"/>
  <c r="S23" i="4"/>
  <c r="R51" i="4"/>
  <c r="K6" i="4"/>
  <c r="Q4" i="4"/>
  <c r="O20" i="4"/>
  <c r="S21" i="4"/>
  <c r="E37" i="4"/>
  <c r="E39" i="4"/>
  <c r="M39" i="4" s="1"/>
  <c r="O50" i="4"/>
  <c r="H54" i="4"/>
  <c r="P54" i="4" s="1"/>
  <c r="R74" i="4"/>
  <c r="J67" i="1"/>
  <c r="R4" i="4"/>
  <c r="K8" i="4"/>
  <c r="N8" i="4"/>
  <c r="S8" i="4" s="1"/>
  <c r="K15" i="4"/>
  <c r="K22" i="4"/>
  <c r="K46" i="4"/>
  <c r="K47" i="4"/>
  <c r="K48" i="4"/>
  <c r="N51" i="4"/>
  <c r="H56" i="4"/>
  <c r="P56" i="4" s="1"/>
  <c r="O67" i="1"/>
  <c r="N163" i="1"/>
  <c r="G26" i="4"/>
  <c r="O26" i="4" s="1"/>
  <c r="O25" i="4"/>
  <c r="O12" i="4"/>
  <c r="H25" i="4"/>
  <c r="E75" i="4"/>
  <c r="K74" i="4"/>
  <c r="M74" i="4"/>
  <c r="I75" i="4"/>
  <c r="Q75" i="4" s="1"/>
  <c r="Q74" i="4"/>
  <c r="N6" i="4"/>
  <c r="N15" i="4"/>
  <c r="I25" i="4"/>
  <c r="K25" i="4" s="1"/>
  <c r="K30" i="4"/>
  <c r="H38" i="4"/>
  <c r="P38" i="4" s="1"/>
  <c r="P37" i="4"/>
  <c r="S46" i="4"/>
  <c r="S47" i="4"/>
  <c r="K49" i="4"/>
  <c r="S49" i="4"/>
  <c r="K52" i="4"/>
  <c r="N52" i="4"/>
  <c r="S52" i="4" s="1"/>
  <c r="E67" i="4"/>
  <c r="E65" i="4"/>
  <c r="K62" i="4"/>
  <c r="K63" i="4"/>
  <c r="N63" i="4"/>
  <c r="S63" i="4" s="1"/>
  <c r="H66" i="4"/>
  <c r="P66" i="4" s="1"/>
  <c r="P65" i="4"/>
  <c r="O54" i="4"/>
  <c r="G55" i="4"/>
  <c r="O55" i="4" s="1"/>
  <c r="K11" i="4"/>
  <c r="P11" i="4"/>
  <c r="P4" i="4" s="1"/>
  <c r="K58" i="4"/>
  <c r="N58" i="4"/>
  <c r="K77" i="4"/>
  <c r="M77" i="4"/>
  <c r="K84" i="4"/>
  <c r="G41" i="4"/>
  <c r="O41" i="4" s="1"/>
  <c r="K35" i="4"/>
  <c r="G39" i="4"/>
  <c r="O39" i="4" s="1"/>
  <c r="G37" i="4"/>
  <c r="F54" i="4"/>
  <c r="K50" i="4"/>
  <c r="N50" i="4"/>
  <c r="J54" i="4"/>
  <c r="R50" i="4"/>
  <c r="K69" i="4"/>
  <c r="N69" i="4"/>
  <c r="S69" i="4" s="1"/>
  <c r="P79" i="4"/>
  <c r="Q79" i="4"/>
  <c r="S84" i="4"/>
  <c r="N35" i="4"/>
  <c r="K70" i="1" s="1"/>
  <c r="P70" i="1" s="1"/>
  <c r="E41" i="4"/>
  <c r="K51" i="4"/>
  <c r="G56" i="4"/>
  <c r="O56" i="4" s="1"/>
  <c r="G65" i="4"/>
  <c r="G67" i="4"/>
  <c r="O67" i="4" s="1"/>
  <c r="E54" i="4"/>
  <c r="I54" i="4"/>
  <c r="N62" i="4"/>
  <c r="S62" i="4" s="1"/>
  <c r="F37" i="4"/>
  <c r="F65" i="4"/>
  <c r="L73" i="1" l="1"/>
  <c r="O4" i="4"/>
  <c r="R33" i="4"/>
  <c r="Q33" i="4"/>
  <c r="S39" i="4"/>
  <c r="M79" i="4"/>
  <c r="O73" i="1"/>
  <c r="F31" i="5"/>
  <c r="F49" i="5" s="1"/>
  <c r="Q35" i="1"/>
  <c r="P69" i="1"/>
  <c r="AA137" i="2" s="1"/>
  <c r="N73" i="1"/>
  <c r="N18" i="4"/>
  <c r="H55" i="4"/>
  <c r="P55" i="4" s="1"/>
  <c r="M74" i="1" s="1"/>
  <c r="N4" i="4"/>
  <c r="S89" i="4"/>
  <c r="Q23" i="1"/>
  <c r="D5" i="5"/>
  <c r="E5" i="5" s="1"/>
  <c r="D13" i="5"/>
  <c r="G15" i="5"/>
  <c r="H48" i="5"/>
  <c r="N180" i="1"/>
  <c r="P66" i="1"/>
  <c r="E30" i="5"/>
  <c r="E31" i="5"/>
  <c r="S59" i="1"/>
  <c r="S113" i="1"/>
  <c r="S161" i="1" s="1"/>
  <c r="S70" i="1"/>
  <c r="M180" i="1"/>
  <c r="N72" i="4"/>
  <c r="K68" i="1"/>
  <c r="P68" i="1" s="1"/>
  <c r="K12" i="4"/>
  <c r="S50" i="4"/>
  <c r="S11" i="4"/>
  <c r="O44" i="4"/>
  <c r="L76" i="1"/>
  <c r="Q60" i="4"/>
  <c r="P60" i="4"/>
  <c r="S48" i="4"/>
  <c r="M71" i="1"/>
  <c r="S20" i="4"/>
  <c r="O18" i="4"/>
  <c r="N71" i="1"/>
  <c r="M76" i="1"/>
  <c r="S15" i="4"/>
  <c r="S51" i="4"/>
  <c r="J73" i="1"/>
  <c r="K67" i="1"/>
  <c r="P33" i="4"/>
  <c r="Q72" i="4"/>
  <c r="N76" i="1"/>
  <c r="K73" i="1"/>
  <c r="E38" i="4"/>
  <c r="M38" i="4" s="1"/>
  <c r="M37" i="4"/>
  <c r="S77" i="4"/>
  <c r="J77" i="1"/>
  <c r="P77" i="1" s="1"/>
  <c r="O72" i="4"/>
  <c r="K75" i="1"/>
  <c r="P75" i="1" s="1"/>
  <c r="S58" i="4"/>
  <c r="R72" i="4"/>
  <c r="O76" i="1"/>
  <c r="L67" i="1"/>
  <c r="O163" i="1"/>
  <c r="P163" i="1" s="1"/>
  <c r="O162" i="1"/>
  <c r="I55" i="4"/>
  <c r="Q55" i="4" s="1"/>
  <c r="Q54" i="4"/>
  <c r="S35" i="4"/>
  <c r="K56" i="4"/>
  <c r="S12" i="4"/>
  <c r="N65" i="4"/>
  <c r="F66" i="4"/>
  <c r="N66" i="4" s="1"/>
  <c r="N54" i="4"/>
  <c r="F55" i="4"/>
  <c r="N55" i="4" s="1"/>
  <c r="E66" i="4"/>
  <c r="K65" i="4"/>
  <c r="M65" i="4"/>
  <c r="P25" i="4"/>
  <c r="H26" i="4"/>
  <c r="N37" i="4"/>
  <c r="F38" i="4"/>
  <c r="M41" i="4"/>
  <c r="J72" i="1" s="1"/>
  <c r="P72" i="1" s="1"/>
  <c r="K41" i="4"/>
  <c r="R54" i="4"/>
  <c r="J55" i="4"/>
  <c r="R55" i="4" s="1"/>
  <c r="S79" i="4"/>
  <c r="K67" i="4"/>
  <c r="M67" i="4"/>
  <c r="S67" i="4" s="1"/>
  <c r="Q25" i="4"/>
  <c r="I26" i="4"/>
  <c r="Q26" i="4" s="1"/>
  <c r="S56" i="4"/>
  <c r="K39" i="4"/>
  <c r="E55" i="4"/>
  <c r="K54" i="4"/>
  <c r="M54" i="4"/>
  <c r="M75" i="4"/>
  <c r="S75" i="4" s="1"/>
  <c r="K75" i="4"/>
  <c r="O65" i="4"/>
  <c r="G66" i="4"/>
  <c r="O66" i="4" s="1"/>
  <c r="K37" i="4"/>
  <c r="O37" i="4"/>
  <c r="G38" i="4"/>
  <c r="O38" i="4" s="1"/>
  <c r="S6" i="4"/>
  <c r="S74" i="4"/>
  <c r="R44" i="4" l="1"/>
  <c r="P44" i="4"/>
  <c r="AB33" i="2"/>
  <c r="AB296" i="2" s="1"/>
  <c r="E49" i="5"/>
  <c r="E48" i="5"/>
  <c r="T69" i="1"/>
  <c r="S4" i="4"/>
  <c r="F9" i="5"/>
  <c r="H28" i="5" s="1"/>
  <c r="H35" i="5" s="1"/>
  <c r="E13" i="5"/>
  <c r="F30" i="5"/>
  <c r="D7" i="5"/>
  <c r="E23" i="5"/>
  <c r="E41" i="5" s="1"/>
  <c r="S163" i="1"/>
  <c r="T66" i="1"/>
  <c r="S68" i="1"/>
  <c r="S72" i="1"/>
  <c r="S77" i="1"/>
  <c r="P162" i="1"/>
  <c r="S75" i="1"/>
  <c r="J71" i="1"/>
  <c r="J76" i="1"/>
  <c r="P76" i="1" s="1"/>
  <c r="L74" i="1"/>
  <c r="P73" i="1"/>
  <c r="S25" i="4"/>
  <c r="L71" i="1"/>
  <c r="N67" i="1"/>
  <c r="K74" i="1"/>
  <c r="O74" i="1"/>
  <c r="O81" i="1" s="1"/>
  <c r="S37" i="4"/>
  <c r="N60" i="4"/>
  <c r="Q44" i="4"/>
  <c r="N74" i="1"/>
  <c r="O180" i="1"/>
  <c r="P180" i="1" s="1"/>
  <c r="M55" i="4"/>
  <c r="S55" i="4" s="1"/>
  <c r="K55" i="4"/>
  <c r="Q18" i="4"/>
  <c r="N38" i="4"/>
  <c r="K71" i="1" s="1"/>
  <c r="K38" i="4"/>
  <c r="M72" i="4"/>
  <c r="O60" i="4"/>
  <c r="S65" i="4"/>
  <c r="N44" i="4"/>
  <c r="S72" i="4"/>
  <c r="O33" i="4"/>
  <c r="S54" i="4"/>
  <c r="M44" i="4"/>
  <c r="P26" i="4"/>
  <c r="S26" i="4" s="1"/>
  <c r="K26" i="4"/>
  <c r="S41" i="4"/>
  <c r="M33" i="4"/>
  <c r="M66" i="4"/>
  <c r="S66" i="4" s="1"/>
  <c r="K66" i="4"/>
  <c r="P18" i="4" l="1"/>
  <c r="K81" i="1"/>
  <c r="L81" i="1"/>
  <c r="N81" i="1"/>
  <c r="F48" i="5"/>
  <c r="T81" i="1"/>
  <c r="T82" i="1" s="1"/>
  <c r="T182" i="1" s="1"/>
  <c r="O82" i="1"/>
  <c r="S18" i="4"/>
  <c r="F10" i="5"/>
  <c r="F15" i="5" s="1"/>
  <c r="E7" i="5"/>
  <c r="F23" i="5"/>
  <c r="S76" i="1"/>
  <c r="S73" i="1"/>
  <c r="S162" i="1"/>
  <c r="S180" i="1" s="1"/>
  <c r="P71" i="1"/>
  <c r="J74" i="1"/>
  <c r="J81" i="1" s="1"/>
  <c r="S44" i="4"/>
  <c r="M67" i="1"/>
  <c r="M81" i="1" s="1"/>
  <c r="M60" i="4"/>
  <c r="S60" i="4"/>
  <c r="S38" i="4"/>
  <c r="S33" i="4" s="1"/>
  <c r="N33" i="4"/>
  <c r="P81" i="1" l="1"/>
  <c r="F41" i="5"/>
  <c r="J82" i="1"/>
  <c r="M82" i="1"/>
  <c r="P67" i="1"/>
  <c r="O182" i="1"/>
  <c r="N82" i="1"/>
  <c r="K82" i="1"/>
  <c r="D14" i="5"/>
  <c r="E14" i="5" s="1"/>
  <c r="L82" i="1"/>
  <c r="H46" i="5"/>
  <c r="H53" i="5" s="1"/>
  <c r="S71" i="1"/>
  <c r="P74" i="1"/>
  <c r="P82" i="1" l="1"/>
  <c r="P182" i="1" s="1"/>
  <c r="J182" i="1"/>
  <c r="L182" i="1"/>
  <c r="K182" i="1"/>
  <c r="N182" i="1"/>
  <c r="E33" i="5"/>
  <c r="M182" i="1"/>
  <c r="S74" i="1"/>
  <c r="S67" i="1"/>
  <c r="P1" i="1" l="1"/>
  <c r="E51" i="5"/>
  <c r="D56" i="5"/>
  <c r="F33" i="5"/>
  <c r="D57" i="5" s="1"/>
  <c r="S81" i="1"/>
  <c r="S82" i="1" s="1"/>
  <c r="S182" i="1" s="1"/>
  <c r="D9" i="5"/>
  <c r="E9" i="5" s="1"/>
  <c r="Q81" i="1"/>
  <c r="D58" i="5" l="1"/>
  <c r="F51" i="5"/>
  <c r="D10" i="5"/>
  <c r="D15" i="5" s="1"/>
  <c r="E28" i="5"/>
  <c r="E35" i="5" s="1"/>
  <c r="Q82" i="1"/>
  <c r="D59" i="5" l="1"/>
  <c r="E46" i="5"/>
  <c r="E53" i="5" s="1"/>
  <c r="D62" i="5" s="1"/>
  <c r="E10" i="5"/>
  <c r="E15" i="5" s="1"/>
  <c r="F28" i="5"/>
  <c r="F35" i="5" s="1"/>
  <c r="D60" i="5" l="1"/>
  <c r="D61" i="5" s="1"/>
  <c r="F46" i="5"/>
  <c r="F53" i="5" s="1"/>
  <c r="K186" i="1" l="1"/>
  <c r="M183" i="1"/>
  <c r="L186" i="1"/>
  <c r="P183" i="1"/>
  <c r="Q183" i="1" l="1"/>
  <c r="J184" i="1"/>
  <c r="N185" i="1"/>
  <c r="J185" i="1"/>
  <c r="J183" i="1"/>
  <c r="O185" i="1"/>
  <c r="L184" i="1"/>
  <c r="J186" i="1"/>
  <c r="O184" i="1"/>
  <c r="L183" i="1"/>
  <c r="M184" i="1"/>
  <c r="K185" i="1"/>
  <c r="O183" i="1"/>
  <c r="M186" i="1"/>
  <c r="L185" i="1"/>
  <c r="P184" i="1"/>
  <c r="N186" i="1"/>
  <c r="M185" i="1"/>
  <c r="N184" i="1"/>
  <c r="P185" i="1"/>
  <c r="O186" i="1"/>
  <c r="K183" i="1"/>
  <c r="P186" i="1"/>
  <c r="N183" i="1"/>
  <c r="K184" i="1"/>
</calcChain>
</file>

<file path=xl/comments1.xml><?xml version="1.0" encoding="utf-8"?>
<comments xmlns="http://schemas.openxmlformats.org/spreadsheetml/2006/main">
  <authors>
    <author>GCF Finance</author>
  </authors>
  <commentList>
    <comment ref="X17" authorId="0" shapeId="0">
      <text>
        <r>
          <rPr>
            <b/>
            <sz val="14"/>
            <color indexed="81"/>
            <rFont val="Tahoma"/>
            <family val="2"/>
          </rPr>
          <t>GCF Finance:30.03.2022</t>
        </r>
        <r>
          <rPr>
            <sz val="14"/>
            <color indexed="81"/>
            <rFont val="Tahoma"/>
            <family val="2"/>
          </rPr>
          <t xml:space="preserve">
As per BN A2 comment above, please provide breakdown of the unit cost USD6 000 in the BN description</t>
        </r>
      </text>
    </comment>
  </commentList>
</comments>
</file>

<file path=xl/sharedStrings.xml><?xml version="1.0" encoding="utf-8"?>
<sst xmlns="http://schemas.openxmlformats.org/spreadsheetml/2006/main" count="2472" uniqueCount="823">
  <si>
    <t>Budget summary (from detailed table)</t>
  </si>
  <si>
    <t>TOTAL</t>
  </si>
  <si>
    <t>GCF</t>
  </si>
  <si>
    <t>MoA</t>
  </si>
  <si>
    <t>MoFWRNAM</t>
  </si>
  <si>
    <t xml:space="preserve">FAO </t>
  </si>
  <si>
    <t>Output 1.1</t>
  </si>
  <si>
    <t>Output 1.2</t>
  </si>
  <si>
    <t>Component 1</t>
  </si>
  <si>
    <t>Output 2.1</t>
  </si>
  <si>
    <t>Output 2.2</t>
  </si>
  <si>
    <t>Component 2</t>
  </si>
  <si>
    <t>Output 3.1</t>
  </si>
  <si>
    <t>Output 3.2</t>
  </si>
  <si>
    <t>Component 3</t>
  </si>
  <si>
    <t>PMC</t>
  </si>
  <si>
    <t>Budget summary (in USD)</t>
  </si>
  <si>
    <t>Component</t>
  </si>
  <si>
    <t>Output</t>
  </si>
  <si>
    <t>Indicative cost</t>
  </si>
  <si>
    <t>GCF financing</t>
  </si>
  <si>
    <t>Co-financing</t>
  </si>
  <si>
    <t>million USD ($)</t>
  </si>
  <si>
    <t>Amount</t>
  </si>
  <si>
    <t>Financial Instrument</t>
  </si>
  <si>
    <t>Name of Institutions</t>
  </si>
  <si>
    <t>Strengthening restoration capacity and community management of artisanal fisheries habitats</t>
  </si>
  <si>
    <r>
      <t xml:space="preserve">Output 1.1 </t>
    </r>
    <r>
      <rPr>
        <sz val="9"/>
        <color theme="1"/>
        <rFont val="Arial"/>
        <family val="2"/>
      </rPr>
      <t xml:space="preserve">Mangrove ecosystems sustainably restored in fisheries priority areas </t>
    </r>
  </si>
  <si>
    <t>Grants</t>
  </si>
  <si>
    <t>In-kind</t>
  </si>
  <si>
    <r>
      <t>Output 1.2</t>
    </r>
    <r>
      <rPr>
        <sz val="9"/>
        <color theme="1"/>
        <rFont val="Arial"/>
        <family val="2"/>
      </rPr>
      <t xml:space="preserve"> Local communities equipped for sustainable ecosystem management</t>
    </r>
  </si>
  <si>
    <t>Climate resilient fisheries infrastructure and aquaculture development</t>
  </si>
  <si>
    <r>
      <t>Output 2.1</t>
    </r>
    <r>
      <rPr>
        <sz val="9"/>
        <color theme="1"/>
        <rFont val="Arial"/>
        <family val="2"/>
      </rPr>
      <t xml:space="preserve"> Fisheries communities are equipped with climate-proofed and improved critical small scale fisheries infrastructure (artisanal fish landing sites) and with climate-smart fish processing equipment (solar dryers and improved ovens)</t>
    </r>
  </si>
  <si>
    <r>
      <t>Output 2.2</t>
    </r>
    <r>
      <rPr>
        <sz val="9"/>
        <color theme="1"/>
        <rFont val="Arial"/>
        <family val="2"/>
      </rPr>
      <t xml:space="preserve"> Aquaculture activities introduced as adaptation measures for livelihood improvement of 2,800 smallholder rural households </t>
    </r>
  </si>
  <si>
    <t xml:space="preserve">MoFWRNAM </t>
  </si>
  <si>
    <t>Improved climate change adaptive capacities</t>
  </si>
  <si>
    <r>
      <t>Output 3.1</t>
    </r>
    <r>
      <rPr>
        <sz val="9"/>
        <color theme="1"/>
        <rFont val="Arial"/>
        <family val="2"/>
      </rPr>
      <t xml:space="preserve"> Public services strengthened to  facilitate local communities capacity to prepare for and respond to climate change risks</t>
    </r>
  </si>
  <si>
    <r>
      <t>Output 3.2</t>
    </r>
    <r>
      <rPr>
        <sz val="9"/>
        <color theme="1"/>
        <rFont val="Arial"/>
        <family val="2"/>
      </rPr>
      <t xml:space="preserve"> Local communities, groups and HHs capacities to implement market-driven adaptation measures  are strengthened</t>
    </r>
  </si>
  <si>
    <t>Project management and implementation</t>
  </si>
  <si>
    <r>
      <t>Indicative total cost</t>
    </r>
    <r>
      <rPr>
        <sz val="9"/>
        <color rgb="FF808080"/>
        <rFont val="Arial"/>
        <family val="2"/>
      </rPr>
      <t xml:space="preserve"> </t>
    </r>
    <r>
      <rPr>
        <b/>
        <sz val="9"/>
        <color rgb="FF24634F"/>
        <rFont val="Arial"/>
        <family val="2"/>
      </rPr>
      <t>(USD)</t>
    </r>
  </si>
  <si>
    <t>Budget summary (in million USD)</t>
  </si>
  <si>
    <r>
      <t>Output 1.1</t>
    </r>
    <r>
      <rPr>
        <sz val="9"/>
        <color theme="1"/>
        <rFont val="Arial"/>
        <family val="2"/>
      </rPr>
      <t xml:space="preserve"> Mangrove ecosystems sustainably restored in fisheries priority areas</t>
    </r>
  </si>
  <si>
    <r>
      <t>Output 2.1</t>
    </r>
    <r>
      <rPr>
        <sz val="9"/>
        <color theme="1"/>
        <rFont val="Arial"/>
        <family val="2"/>
      </rPr>
      <t xml:space="preserve"> Fisheries communities are equipped  with climate-proofed and improved critical small scale fisheries infrastructure (artisanal fish landing sites) and with climate-smart fish processing equipment (solar dryers and improved ovens)</t>
    </r>
  </si>
  <si>
    <t>Budget Parameters</t>
  </si>
  <si>
    <t>total pmc</t>
  </si>
  <si>
    <t>total gcf pmc</t>
  </si>
  <si>
    <t>pmc gcf ratio</t>
  </si>
  <si>
    <t>total budget</t>
  </si>
  <si>
    <t>total gcf grant</t>
  </si>
  <si>
    <t>grant ratio</t>
  </si>
  <si>
    <t>pmc ratio</t>
  </si>
  <si>
    <t>Annex 4 Detailed budget plan</t>
  </si>
  <si>
    <t>FP v11 (14 Apr 2022)</t>
  </si>
  <si>
    <t>per year</t>
  </si>
  <si>
    <t>per working day</t>
  </si>
  <si>
    <t>per comm</t>
  </si>
  <si>
    <r>
      <t xml:space="preserve">Project/Programme Title: </t>
    </r>
    <r>
      <rPr>
        <sz val="14"/>
        <color theme="1"/>
        <rFont val="Calibri"/>
        <family val="2"/>
        <scheme val="minor"/>
      </rPr>
      <t>Climate Resilient Fishery Initiative for Livelihood Improvement in the Gambia (PROREFISH Gambia)</t>
    </r>
  </si>
  <si>
    <t>Ref</t>
  </si>
  <si>
    <t>Activity</t>
  </si>
  <si>
    <t>Sub-activity</t>
  </si>
  <si>
    <t>Financing Source</t>
  </si>
  <si>
    <t>Executing
 Entity</t>
  </si>
  <si>
    <t xml:space="preserve">Budget Account Description </t>
  </si>
  <si>
    <t xml:space="preserve">Financial instrument </t>
  </si>
  <si>
    <t>Notes and Assumptions*</t>
  </si>
  <si>
    <t>Amount Year 1 (USD)</t>
  </si>
  <si>
    <t>Amount Year 2 (USD)</t>
  </si>
  <si>
    <t>Amount Year 3 (USD)</t>
  </si>
  <si>
    <t>Amount Year 4 (USD)</t>
  </si>
  <si>
    <t>Amount Year 5 (USD)</t>
  </si>
  <si>
    <t>Amount Year 6 (USD)</t>
  </si>
  <si>
    <t>Total (USD)</t>
  </si>
  <si>
    <t>V6 Budget</t>
  </si>
  <si>
    <t>MoA/IFAD</t>
  </si>
  <si>
    <t>ANR</t>
  </si>
  <si>
    <r>
      <rPr>
        <b/>
        <sz val="11"/>
        <rFont val="Calibri"/>
        <family val="2"/>
        <scheme val="minor"/>
      </rPr>
      <t xml:space="preserve">Component 1 </t>
    </r>
    <r>
      <rPr>
        <sz val="11"/>
        <rFont val="Calibri"/>
        <family val="2"/>
        <scheme val="minor"/>
      </rPr>
      <t>Strengthening restoration capacity and community management of artisanal fisheries habitats</t>
    </r>
  </si>
  <si>
    <t>Output 1.1 Mangrove ecosystems sustainably restored in fisheries priority areas</t>
  </si>
  <si>
    <t>1.1.1.1 Select planting sites within targeted mangrove areas</t>
  </si>
  <si>
    <t>FAO</t>
  </si>
  <si>
    <t>International consultants</t>
  </si>
  <si>
    <t>Grant</t>
  </si>
  <si>
    <t>A1</t>
  </si>
  <si>
    <t>1.1.1.2 Supporting the sensitization and training of communities surrounding the mangrove reforestation  sites on mangrove conservation and sustainable utilization of resources</t>
  </si>
  <si>
    <t>Local consultants</t>
  </si>
  <si>
    <t>A2</t>
  </si>
  <si>
    <t>NEW TCP Cofin</t>
  </si>
  <si>
    <t>Top up by TCP 3</t>
  </si>
  <si>
    <t>Local consultant supporting the sensitization campaigns (2 months PY1 and 3 months in PY3)</t>
  </si>
  <si>
    <t>FAO expertise</t>
  </si>
  <si>
    <t>A3</t>
  </si>
  <si>
    <t>10 days per year  for a FAO forestry specialist (STAFF)</t>
  </si>
  <si>
    <t xml:space="preserve">Professional/ Contractual Services </t>
  </si>
  <si>
    <t>A4</t>
  </si>
  <si>
    <t xml:space="preserve">LoA with local NGO to raise awareness and mobilize  communities </t>
  </si>
  <si>
    <t xml:space="preserve">1.1.1.3 Mobilise local communities (identify and train planting teams) and determine planting plan </t>
  </si>
  <si>
    <t>Training, workshops, and conference</t>
  </si>
  <si>
    <t>A5</t>
  </si>
  <si>
    <t>Week-long consultation, identification of planting teams and training with each of 10 identified communities @ 4,000 USD/community covering venue, material and food and transport (50 participants per training)</t>
  </si>
  <si>
    <t>A6</t>
  </si>
  <si>
    <t>NEW - broken down</t>
  </si>
  <si>
    <t>National expert on mangrove forest providing training to communities at 12 days per community (@250USD/day)</t>
  </si>
  <si>
    <t>1.1.1.4 Equip participating communities with restoration toolkits in each reforestation area</t>
  </si>
  <si>
    <t>Equipment</t>
  </si>
  <si>
    <t>A7</t>
  </si>
  <si>
    <t>Procurement, transport and installation of equipment and planting material for community nurseries at each site @ 3,000 USD/community</t>
  </si>
  <si>
    <t>1.1.1.5 Community-led planting campaigns</t>
  </si>
  <si>
    <t>A8</t>
  </si>
  <si>
    <t>1.1.1.6 Seedling survival monitoring and replacing of dead plants as needed</t>
  </si>
  <si>
    <t>A9</t>
  </si>
  <si>
    <t>Activity 1.1.2 Support assisted natural regeneration (ANR) on 1,250 ha of moderately degraded mangroves in key fisheries hotspots</t>
  </si>
  <si>
    <t>1.1.2.1 Identify ANR sites and site-specific ANR measures within targeted mangrove areas</t>
  </si>
  <si>
    <t>A10</t>
  </si>
  <si>
    <t>1.1.2.2 Supporting the sensitization and training of communities surrounding the mangrove ANR sites on mangrove conservation and sustainable utilization of resources</t>
  </si>
  <si>
    <t>A11</t>
  </si>
  <si>
    <t>A12</t>
  </si>
  <si>
    <t>A13</t>
  </si>
  <si>
    <t xml:space="preserve">1.1.2.3 Mobilise local communities (identify, train and equip work teams) and determine work plan </t>
  </si>
  <si>
    <t>A14</t>
  </si>
  <si>
    <t>Week-long consultation, identification of planting teams and training with each of 10 identified communities @ 4,000 USD/community including refresher (at least 30 participants per training)</t>
  </si>
  <si>
    <t>A15</t>
  </si>
  <si>
    <t>National community facilitator at 12 days per community (@250USD/day)</t>
  </si>
  <si>
    <t>1.1.2.4 Equip participating communities with restoration toolkits in each ANR area</t>
  </si>
  <si>
    <t>A16</t>
  </si>
  <si>
    <t>CHECK</t>
  </si>
  <si>
    <t>A17</t>
  </si>
  <si>
    <t>1.1.2.6 Monitor, evaluate and replace dead plants</t>
  </si>
  <si>
    <t>A18</t>
  </si>
  <si>
    <t>1.1.2.7 Joint planning and execution of mangrove restoration</t>
  </si>
  <si>
    <t>Staff cost</t>
  </si>
  <si>
    <t>A19</t>
  </si>
  <si>
    <t>Total Output 1.1</t>
  </si>
  <si>
    <t>Output 1.2 Local communities equipped for sustainable ecosystem management</t>
  </si>
  <si>
    <t xml:space="preserve">Activity 1.2.1 Capacity development for local communities </t>
  </si>
  <si>
    <t>1.2.1.1 Provide trainings on mangrove monitoring, conservation and sustainable resource use</t>
  </si>
  <si>
    <t>A20</t>
  </si>
  <si>
    <t xml:space="preserve">Trainings during field visits to other succesful mangrove restoration sites within Gambia (for renting halls, material, communication) @ USD 3,500/community (at least 20 participants per community) including visit and exchanges at 50 USD per participant </t>
  </si>
  <si>
    <t>A21</t>
  </si>
  <si>
    <t>National facilitator at 6 days per community (@250USD/day)</t>
  </si>
  <si>
    <t>1.2.1.2 Establish  community forest management committees (CFMCs) at each intervention site</t>
  </si>
  <si>
    <t>A22</t>
  </si>
  <si>
    <t>Trainings, facilitated organisation and minor inputs (stationery, ledgers, etc.) for the creation of community forest management committees @ USD 1,000/site</t>
  </si>
  <si>
    <t>Activity 1.2.2 Support the establishment of community forest status (where applicable) for the interventions sites and the transfer of tenure to the local communities.</t>
  </si>
  <si>
    <t>1.2.2.1 Review forest situation, determine boundaries and establish community forest status</t>
  </si>
  <si>
    <t>A23</t>
  </si>
  <si>
    <t xml:space="preserve">1.2.2.2 Prepare and enact forest tenure agreements </t>
  </si>
  <si>
    <t>A24</t>
  </si>
  <si>
    <t>1.2.2.3 Conduct awareness raising workshops for communities on rights and obligations</t>
  </si>
  <si>
    <t>A25</t>
  </si>
  <si>
    <t>Week-long awareness raising events in the local communities on rights and obligations under the tenure agreements @ 3,500 USD/community (at least 50 participants per community)</t>
  </si>
  <si>
    <t>A26</t>
  </si>
  <si>
    <t>National awareness and communication specialist at 12 days per community (@250USD/day)</t>
  </si>
  <si>
    <t>Activity 1.2.3 Provide technical support to the execution of the mangrove restoration activities and ensuring environmental and social safeguards</t>
  </si>
  <si>
    <t>1.2.3.1 Supervision and extension for fisheries activities</t>
  </si>
  <si>
    <t>Staff Cost</t>
  </si>
  <si>
    <t>A27</t>
  </si>
  <si>
    <t xml:space="preserve">1.2.3.2 Provision of capacity development to local communities on NRM / Mangrove forestry  </t>
  </si>
  <si>
    <t>A28</t>
  </si>
  <si>
    <t>EDITED</t>
  </si>
  <si>
    <t>72 months total</t>
  </si>
  <si>
    <t>A29</t>
  </si>
  <si>
    <t>Total Output 1.2</t>
  </si>
  <si>
    <t>Total Component 1</t>
  </si>
  <si>
    <t>Component 2 Climate resilient fisheries infrastructure and aquaculture development</t>
  </si>
  <si>
    <t>Output 2.1 Fisheries communities are equipped  with climate-proofed and improved critical small scale fisheries infrastructure (artisanal fish landing sites) and with climate-smart fish processing equipment (solar dryers and improved ovens)</t>
  </si>
  <si>
    <t>Activity 2.1.1 Environmental and Social Impact Assessment (ESIA), detailed design and supervision for all sites</t>
  </si>
  <si>
    <t xml:space="preserve">2.1.1.1 Conduct Environmental and Social Impact Assessment (ESIA) for construction works at all fish landing sites. </t>
  </si>
  <si>
    <t xml:space="preserve">Professional/Contractual Services </t>
  </si>
  <si>
    <t>B1</t>
  </si>
  <si>
    <t>2.1.1.2 Detailed design of all construction works</t>
  </si>
  <si>
    <t>2.1.1.3 Supervision of construction works</t>
  </si>
  <si>
    <t>2.1.1.4 Provision of capacity development on environmental and social safeguards for artisanal fisherfolk, including on their role in implementing the Environmental and Social Management Framework (ESMF)</t>
  </si>
  <si>
    <t>B2</t>
  </si>
  <si>
    <r>
      <t xml:space="preserve">Activity 2.1.2 Expand the </t>
    </r>
    <r>
      <rPr>
        <b/>
        <sz val="11"/>
        <rFont val="Calibri"/>
        <family val="2"/>
        <scheme val="minor"/>
      </rPr>
      <t>Banjul</t>
    </r>
    <r>
      <rPr>
        <sz val="11"/>
        <rFont val="Calibri"/>
        <family val="2"/>
        <scheme val="minor"/>
      </rPr>
      <t xml:space="preserve"> landing site to accommodate loss of capacity at other climate impacted sites (Package 1)</t>
    </r>
  </si>
  <si>
    <t>2.1.2.1 Mobilisation and dredging
2.1.2.2 Piling works
2.1.2.3 Installation of 4 new pontoons for fish landing
2.1.2.4 Installation of shore facilities for fish handling</t>
  </si>
  <si>
    <t>Construction cost</t>
  </si>
  <si>
    <t>B3</t>
  </si>
  <si>
    <r>
      <t xml:space="preserve">Activity 2.1.3 Introduce climate-proofed equipment for fish smoking and drying at the </t>
    </r>
    <r>
      <rPr>
        <b/>
        <sz val="11"/>
        <rFont val="Calibri"/>
        <family val="2"/>
        <scheme val="minor"/>
      </rPr>
      <t>Brufut</t>
    </r>
    <r>
      <rPr>
        <sz val="11"/>
        <rFont val="Calibri"/>
        <family val="2"/>
        <scheme val="minor"/>
      </rPr>
      <t xml:space="preserve">, </t>
    </r>
    <r>
      <rPr>
        <b/>
        <sz val="11"/>
        <rFont val="Calibri"/>
        <family val="2"/>
        <scheme val="minor"/>
      </rPr>
      <t>Tanji, Gunjur</t>
    </r>
    <r>
      <rPr>
        <sz val="11"/>
        <rFont val="Calibri"/>
        <family val="2"/>
        <scheme val="minor"/>
      </rPr>
      <t xml:space="preserve"> and </t>
    </r>
    <r>
      <rPr>
        <b/>
        <sz val="11"/>
        <rFont val="Calibri"/>
        <family val="2"/>
        <scheme val="minor"/>
      </rPr>
      <t>Sanyang</t>
    </r>
    <r>
      <rPr>
        <sz val="11"/>
        <rFont val="Calibri"/>
        <family val="2"/>
        <scheme val="minor"/>
      </rPr>
      <t xml:space="preserve"> landing sites (Package 2)</t>
    </r>
  </si>
  <si>
    <t>2.1.3.1 Installation of improved fish smoking units 
2.1.3.2  Installation of improved solar fish driers
2.1.3.3 Installation of solar-powered sea water fish rinsing lines</t>
  </si>
  <si>
    <t>B4</t>
  </si>
  <si>
    <r>
      <t xml:space="preserve">Activity 2.1.4 Develop flood-proofing measures and introduce climate-proofed equipment for fish smoking and drying at the </t>
    </r>
    <r>
      <rPr>
        <b/>
        <sz val="11"/>
        <rFont val="Calibri"/>
        <family val="2"/>
        <scheme val="minor"/>
      </rPr>
      <t>Kartong</t>
    </r>
    <r>
      <rPr>
        <sz val="11"/>
        <rFont val="Calibri"/>
        <family val="2"/>
        <scheme val="minor"/>
      </rPr>
      <t xml:space="preserve"> landing site (Package 3)</t>
    </r>
  </si>
  <si>
    <t xml:space="preserve">2.1.4.1 Platform level raising works
2.1.4.2 Piling works and installation of floating pontoons
2.1.4.3 Installation of improved solar fish driers
2.1.4.4  Installation of improved fish smoking units
2.1.4.5  Installation of solar-powered sea water fish rinsing lines  </t>
  </si>
  <si>
    <t>B5</t>
  </si>
  <si>
    <t>2.1.5.1 Road level raising works
2.1.5.2 Piling works and installation of floating pontoons</t>
  </si>
  <si>
    <t>B6</t>
  </si>
  <si>
    <t>Activity 2.1.6 Capacity development for the Community Fisheries Centres (CFCs)</t>
  </si>
  <si>
    <t>2.1.6.1 Trainings on equipment and technologies use, on organisational arrangements for equitable use and for user fee collection, on maintenance and repairs</t>
  </si>
  <si>
    <t>B7</t>
  </si>
  <si>
    <t>B8</t>
  </si>
  <si>
    <t>One National fisheries and one capacity develpoment specialists at one month contract for each jetty/landing site (@2500USD/month each)</t>
  </si>
  <si>
    <t>2.1.6.2 Provision of capacity development for post harvest equipment management and maintenance</t>
  </si>
  <si>
    <t>B9</t>
  </si>
  <si>
    <t>TOP up TCP 1/2</t>
  </si>
  <si>
    <t>30 days per year  for a FAO fisheires post harvest specialist (STAFF) in Y3 and Y4</t>
  </si>
  <si>
    <t>B10</t>
  </si>
  <si>
    <t>Local consultant technical specialist in post harvest management supporting the training (8 months PY3 and 12 months in PY4)</t>
  </si>
  <si>
    <t>B11</t>
  </si>
  <si>
    <t>Lumpsum for venues, logistics and other expenses related to the training</t>
  </si>
  <si>
    <t>B12</t>
  </si>
  <si>
    <t>International expert on fisheries post harvest handling (25 days @ 500 USD/ day in PY3 and PY4)</t>
  </si>
  <si>
    <t xml:space="preserve">2.1.6.3 Capacity development for the CFCs - organisational, O&amp;M and marketing </t>
  </si>
  <si>
    <t>B13</t>
  </si>
  <si>
    <t>Activity 2.1.7 Introduce energy efficient technologies for fish handling and processing in 10 mangrove management communities</t>
  </si>
  <si>
    <t>B14</t>
  </si>
  <si>
    <t>B15</t>
  </si>
  <si>
    <t>2.1.7.3 Install additional equipment</t>
  </si>
  <si>
    <t>B16</t>
  </si>
  <si>
    <t>Estimated cost of additional equipment of USD 20,000 per community involved in mangrove restoration activities (exact equipment will be determined during implementation through technical analysis and consultation with the beneficiaties, and will include FTT ovens and associated building, solar panels, improved cooking ovens, water access equipment, etc.)</t>
  </si>
  <si>
    <t>B17</t>
  </si>
  <si>
    <t>30days per year  for a FAO fisheires post harvest specialist (STAFF) in Y3 and Y4</t>
  </si>
  <si>
    <t>B18</t>
  </si>
  <si>
    <t>Local consultant technical specialist in improved equipment (8 months Y3 and 12 months in Y4)</t>
  </si>
  <si>
    <t>B19</t>
  </si>
  <si>
    <t>International expert on fish processing equipment (25 days @ 500 USD/ day in PY3 and PY4)</t>
  </si>
  <si>
    <t>B20</t>
  </si>
  <si>
    <t>B21</t>
  </si>
  <si>
    <t xml:space="preserve">One national consultant energy efficiency specialist training CFCs contracted for 10 days per jetty/landing site (@250USD/day) </t>
  </si>
  <si>
    <t>Total Output 2.1</t>
  </si>
  <si>
    <t xml:space="preserve">Output 2.2 Aquaculture activities introduced as adaptation measures for livelihood improvement of 2,800 smallholder rural households </t>
  </si>
  <si>
    <t>2.2.1.1 Upscale the fingerling production capacity (additional ponds, scale-up inputs – feed, hormones)</t>
  </si>
  <si>
    <t>B22</t>
  </si>
  <si>
    <t>2.2.1.2 Develop a training centre and a demonstration pond</t>
  </si>
  <si>
    <t>B23</t>
  </si>
  <si>
    <t>2.2.2.1 Provide additional inputs for the full operationalisation of existing units</t>
  </si>
  <si>
    <t>B24</t>
  </si>
  <si>
    <t>B25</t>
  </si>
  <si>
    <t>2.2.2.2 Finance the creation of two additional, youth-led units</t>
  </si>
  <si>
    <t>B26</t>
  </si>
  <si>
    <t>2.2.2.3 Provide training and quality control for fish feed production, including business aspects</t>
  </si>
  <si>
    <t>B27</t>
  </si>
  <si>
    <t>Activity 2.2.3 Integrate catfish production in fish tanks in 30 communal vegetable gardens (aquaculture package 1)</t>
  </si>
  <si>
    <t xml:space="preserve">2.2.3.1 Construction and infrastructure works </t>
  </si>
  <si>
    <t>B28</t>
  </si>
  <si>
    <t>B29</t>
  </si>
  <si>
    <t>Activity 2.2.4 Introduce integrated rice-fish culture in 300 ha of new irrigated schemes (aquaculture package 2)</t>
  </si>
  <si>
    <t>2.2.4.1 Contribute to the works of developing new irrigated schemes (top-up for additional cost of works)</t>
  </si>
  <si>
    <t>B30</t>
  </si>
  <si>
    <t>B31</t>
  </si>
  <si>
    <t>Activity 2.2.5 Fund the development of fish culture in 60 earthen ponds (aquaculture package 3)</t>
  </si>
  <si>
    <t>2.2.5.1 Improve water access and provide lining for 10 existing ponds and execute the works and provide equipment for 50 new ponds</t>
  </si>
  <si>
    <t>B32</t>
  </si>
  <si>
    <t>2.2.5.3 Provide technical training and supervision for fish pond aquaculture, and negotiation skills to the beneficiaries</t>
  </si>
  <si>
    <t>Activity 2.2.6 Promote sustainable clam and oyster culture in 40 communities (aquaculture package 4)</t>
  </si>
  <si>
    <t>2.2.6.1 Train 30 women’s groups in clam and cockle culture on mudflats and Train 10 women’s groups in oyster culture and negotiation skills</t>
  </si>
  <si>
    <t>B33</t>
  </si>
  <si>
    <t>2.2.6.2  Provide necessary inputs for clam rearing on mudflats (cultivation beds), canoes, necessary materials and motorized canoes</t>
  </si>
  <si>
    <t>Activity 2.2.7 Provide technical support to the execution of the aquaculture activities and ensuring environmental and social safeguards</t>
  </si>
  <si>
    <t xml:space="preserve">2.2.7.1 MoFWRNAM’s provision of supervision and extension expertise for aquaculture activities </t>
  </si>
  <si>
    <t>B34</t>
  </si>
  <si>
    <t xml:space="preserve">2.2.7.2 Provision of technical assistance and guidance of aquaculture activities by a dedicated Specialist for the full implementation period of the project </t>
  </si>
  <si>
    <t>B35</t>
  </si>
  <si>
    <t>2.2.7.3 Supervise environmental and social safeguards and monitor implementation of the Environmental and Social Management Framework</t>
  </si>
  <si>
    <t>B36</t>
  </si>
  <si>
    <t>Total Output 2.2</t>
  </si>
  <si>
    <t>Total Component 2</t>
  </si>
  <si>
    <t>Component 3 Improved climate change adaptive capacities</t>
  </si>
  <si>
    <t>Output 3.1 Public services strengthened to facilitate local communities capacity to prepare for and respond to climate change risks</t>
  </si>
  <si>
    <t>Activity 3.1.1 Strengthen the sectoral institutions and policies and develop additional capacity to respond to climate risks</t>
  </si>
  <si>
    <t>3.1.1.1 Short-term specialised trainings on climate risks, climate analysis and mainstreaming climate change in national policies and strategies</t>
  </si>
  <si>
    <t>C1</t>
  </si>
  <si>
    <t>3.1.1.2 Develop updated curricula on fisheries, aquaculture and ecosystem management, integrating climate change, in partnership with local education institutions</t>
  </si>
  <si>
    <t>C2</t>
  </si>
  <si>
    <t>C3</t>
  </si>
  <si>
    <t>3.1.1.3 Design climate change content for Diploma/Advanced Diploma training for fisheries technicians</t>
  </si>
  <si>
    <t>C4</t>
  </si>
  <si>
    <t xml:space="preserve">3.1.1.4 Support for climate related sectoral studies and subsequent revision of national policies and strategies </t>
  </si>
  <si>
    <t>C5</t>
  </si>
  <si>
    <t>C6</t>
  </si>
  <si>
    <t>3.1.1.5 Organize institutional collaborations and facilitate interaction and decision making through policy and knowledge sharing opportunities</t>
  </si>
  <si>
    <t>C7</t>
  </si>
  <si>
    <t>C8</t>
  </si>
  <si>
    <t xml:space="preserve">One national consultant faciliator to support dialogues and conferences for 1 month / year for four years (@2500USD/month) </t>
  </si>
  <si>
    <t>C9</t>
  </si>
  <si>
    <t xml:space="preserve">Activity 3.1.2 Improve public sector capacities to monitor the fisheries sector and its associated ecosystems and integrate climate risks </t>
  </si>
  <si>
    <t xml:space="preserve">3.1.2.1 Organise a Frame Survey with a strong climate vulnerability assessment component </t>
  </si>
  <si>
    <t xml:space="preserve">Staff Cost </t>
  </si>
  <si>
    <t>C10</t>
  </si>
  <si>
    <t>C11</t>
  </si>
  <si>
    <t>3.1.2.2 Support the expansion of monitoring capacities for Gambia river water parameters</t>
  </si>
  <si>
    <t>C12</t>
  </si>
  <si>
    <t>C13</t>
  </si>
  <si>
    <t>C14</t>
  </si>
  <si>
    <t>C15</t>
  </si>
  <si>
    <t>C16</t>
  </si>
  <si>
    <t>Edited</t>
  </si>
  <si>
    <t>Annual outcome survey in Y1, Y2, Y4, and Y6 (where not full fledged survey is carriede out)</t>
  </si>
  <si>
    <t>C17</t>
  </si>
  <si>
    <t>3.1.2.3 Strengthen major coastal CFCs capacities to monitor and report fishing efforts and catches</t>
  </si>
  <si>
    <t>C18</t>
  </si>
  <si>
    <t>3.1.2.4 Establish regular monitoring mechanism for mangrove forest cover and train relevant government staff</t>
  </si>
  <si>
    <t>C19</t>
  </si>
  <si>
    <t>C20</t>
  </si>
  <si>
    <t>C21</t>
  </si>
  <si>
    <t>National forestry consultant trainer at 2500 USD / month for 2 months in Y1 and Y5</t>
  </si>
  <si>
    <t>C22</t>
  </si>
  <si>
    <t>3.1.2.5 Organize trainings and on the job learning  opportunities for national institutions on georeferenced monitoring</t>
  </si>
  <si>
    <t>C23</t>
  </si>
  <si>
    <t>C24</t>
  </si>
  <si>
    <t>3.1.3.1 Prepare the feasibility study and technical parameters for the system</t>
  </si>
  <si>
    <t>C25</t>
  </si>
  <si>
    <t>3.1.3.2 Set-up and testing the system</t>
  </si>
  <si>
    <t>C26</t>
  </si>
  <si>
    <t>3.1.3.3 Registration of fisher folk and other VC actors</t>
  </si>
  <si>
    <t>C27</t>
  </si>
  <si>
    <t>3.1.3.4 National roll-out</t>
  </si>
  <si>
    <t>C28</t>
  </si>
  <si>
    <t>C29</t>
  </si>
  <si>
    <t>3.1.3.5 Continuous operationation of the e-extension system</t>
  </si>
  <si>
    <t>C30</t>
  </si>
  <si>
    <t>Total Output 3.1</t>
  </si>
  <si>
    <t>Output 3.2 Local communities, groups and HHs capacities to implement market-driven adaptation measures  are strengthened</t>
  </si>
  <si>
    <t>Activity 3.2.1 Capacity development for field fisheries and forestry officers to support fisheries, aquaculture and mangrove investment</t>
  </si>
  <si>
    <t>3.2.1.1 Trainings on aquaculture production (facilities and logistics)</t>
  </si>
  <si>
    <t>C31</t>
  </si>
  <si>
    <t xml:space="preserve">3.2.1.2 Provision of expertise for trainings on fisheries and aquaculture </t>
  </si>
  <si>
    <t>C32</t>
  </si>
  <si>
    <t>C33</t>
  </si>
  <si>
    <t>NEW</t>
  </si>
  <si>
    <t xml:space="preserve">3.2.1.3 Trainings on mangrove monitoring, restoration and sustainable management </t>
  </si>
  <si>
    <t>C34</t>
  </si>
  <si>
    <t>C35</t>
  </si>
  <si>
    <t>3.2.1.4 Provision of technical equipment for effective monitoring of implementation</t>
  </si>
  <si>
    <t>C36</t>
  </si>
  <si>
    <t xml:space="preserve">Activity 3.2.2 Support to private investment, value addition and integration with other sectors </t>
  </si>
  <si>
    <t xml:space="preserve">3.2.2.1 Organise yearly Invest in Fisheries roundtables with private and public participation </t>
  </si>
  <si>
    <t>C37</t>
  </si>
  <si>
    <t xml:space="preserve">3.2.2.2 Support the organisation of fisheries actors into cooperatives/producer organisations </t>
  </si>
  <si>
    <t>C38</t>
  </si>
  <si>
    <r>
      <t>3.2.2.3 Train artisanal fish processors on quality standards, marketing, export rules, etc.</t>
    </r>
    <r>
      <rPr>
        <sz val="8"/>
        <rFont val="Calibri"/>
        <family val="2"/>
        <scheme val="minor"/>
      </rPr>
      <t> </t>
    </r>
  </si>
  <si>
    <t>C39</t>
  </si>
  <si>
    <t xml:space="preserve">3.2.2.4 Promote partnerships between fisheries actors and the tourism sector </t>
  </si>
  <si>
    <t>C40</t>
  </si>
  <si>
    <t>C41</t>
  </si>
  <si>
    <t>C42</t>
  </si>
  <si>
    <t xml:space="preserve">3.2.2.5 Organize platforms of discussion between artisanal fisherfolks and private entrepreneurs (processors, markets, ...)  including development of productive alliances </t>
  </si>
  <si>
    <t>C43</t>
  </si>
  <si>
    <t>C44</t>
  </si>
  <si>
    <t>C45</t>
  </si>
  <si>
    <t>C46</t>
  </si>
  <si>
    <t xml:space="preserve">3.2.2.6 Providing training (technical and entrepreneurial) to youth groups in production of fish feed </t>
  </si>
  <si>
    <t>Internationall consultants</t>
  </si>
  <si>
    <t>C47</t>
  </si>
  <si>
    <t>C48</t>
  </si>
  <si>
    <t>C49</t>
  </si>
  <si>
    <t xml:space="preserve">3.2.2.7 Faciltating evidence based dialogue and sensitization on financial inclusion (including RuralInvest or other tools to support financial institutions) </t>
  </si>
  <si>
    <t>C50</t>
  </si>
  <si>
    <t>C51</t>
  </si>
  <si>
    <t>C52</t>
  </si>
  <si>
    <t>3.2.2.8 Providing capacity development to artisanal fisheries actors on development of entrepreneurial and business opportunities within the value chain including negotiation skills</t>
  </si>
  <si>
    <t>C53</t>
  </si>
  <si>
    <t>C54</t>
  </si>
  <si>
    <t>C55</t>
  </si>
  <si>
    <t>C56</t>
  </si>
  <si>
    <t>C57</t>
  </si>
  <si>
    <t>C58</t>
  </si>
  <si>
    <t>C59</t>
  </si>
  <si>
    <t>3.2.2.9 Supervise and ensure environment and social safeguards</t>
  </si>
  <si>
    <t>C60</t>
  </si>
  <si>
    <t xml:space="preserve">Activity 3.2.3 Support to gender and youth empowerment through the application of the Household Methodology </t>
  </si>
  <si>
    <t xml:space="preserve">3.2.3.1 Household Methodology  Training of trainers </t>
  </si>
  <si>
    <t>C61</t>
  </si>
  <si>
    <t>C62</t>
  </si>
  <si>
    <t>3.2.3.2 Household Methodology large scale training</t>
  </si>
  <si>
    <t>C63</t>
  </si>
  <si>
    <t>kick off training on household methodology via LOA Facilitated trainings and meetings via LoA in PY3</t>
  </si>
  <si>
    <t>C64</t>
  </si>
  <si>
    <t>2 months gender specialist local  consultant to facilitate kick off training on household methodology</t>
  </si>
  <si>
    <t>3.2.3.3 Facilitation of Household Methodology meetings with the project beneficiaries, sensitization of community gatekeepers prior to Household Methodology facilitated meetings on gender and community-led support measures against SEAH and GBV</t>
  </si>
  <si>
    <t>C65</t>
  </si>
  <si>
    <t>C66</t>
  </si>
  <si>
    <t>increased +95.6k</t>
  </si>
  <si>
    <t>Activity 3.2.4 Implement a functional literacy and numeracy programme targeted to project female beneficiaries</t>
  </si>
  <si>
    <t>C67</t>
  </si>
  <si>
    <t>3.2.4.2 Training of trainers (younger, literate women in the community)</t>
  </si>
  <si>
    <t>C68</t>
  </si>
  <si>
    <t>C69</t>
  </si>
  <si>
    <t>3.2.4.3 Functional literacy and numeracy classes</t>
  </si>
  <si>
    <t>Contract</t>
  </si>
  <si>
    <t>C70</t>
  </si>
  <si>
    <t>3.2.5.1 Training of professionals from executing agencies, including strengthening of FAO GRM in handling SEAH and GBV incidents</t>
  </si>
  <si>
    <t>C71</t>
  </si>
  <si>
    <t>C72</t>
  </si>
  <si>
    <t>3.2.5.2 Training of professionals along referral pathways</t>
  </si>
  <si>
    <t>C73</t>
  </si>
  <si>
    <t>C74</t>
  </si>
  <si>
    <t>3.2.5.3 Establishment and operationalization of referral pathways</t>
  </si>
  <si>
    <t>C75</t>
  </si>
  <si>
    <t xml:space="preserve">3.2.5.4 Communication of GBV and referral pathways to public </t>
  </si>
  <si>
    <t>C76</t>
  </si>
  <si>
    <t>Total Output 3.2</t>
  </si>
  <si>
    <t>Total Component 3</t>
  </si>
  <si>
    <t>Project Management Component</t>
  </si>
  <si>
    <t>Core project implementation unit team</t>
  </si>
  <si>
    <t>National Project Coordinator (CTA)</t>
  </si>
  <si>
    <t>D1</t>
  </si>
  <si>
    <t>Financial and Administrative Specialist</t>
  </si>
  <si>
    <t>D2</t>
  </si>
  <si>
    <t>ESS and Gender Specialist</t>
  </si>
  <si>
    <t>D3</t>
  </si>
  <si>
    <t>Monitoring and Evaluation (M&amp;E) Specialist</t>
  </si>
  <si>
    <t>D4</t>
  </si>
  <si>
    <t>Administration</t>
  </si>
  <si>
    <t>D5</t>
  </si>
  <si>
    <t>Driver</t>
  </si>
  <si>
    <t>D6</t>
  </si>
  <si>
    <t>Project governance and coordination (PSC and TAC)</t>
  </si>
  <si>
    <t>D7</t>
  </si>
  <si>
    <t>D8</t>
  </si>
  <si>
    <t>Project inception workshop</t>
  </si>
  <si>
    <t>D9</t>
  </si>
  <si>
    <t>PMIU Equipment</t>
  </si>
  <si>
    <t>Vehicle</t>
  </si>
  <si>
    <t>D10</t>
  </si>
  <si>
    <t>Office equipment</t>
  </si>
  <si>
    <t>D11</t>
  </si>
  <si>
    <t>M&amp;E System provision</t>
  </si>
  <si>
    <t>D12</t>
  </si>
  <si>
    <t>M&amp;E georeferenced equipment</t>
  </si>
  <si>
    <t>D13</t>
  </si>
  <si>
    <t>Setting a system for Georeferenced monitoring of project investments and follow-up in PY2</t>
  </si>
  <si>
    <t>KM and Communication provision (incl. on ESS)</t>
  </si>
  <si>
    <t>Audit and financial management</t>
  </si>
  <si>
    <t>D14</t>
  </si>
  <si>
    <t>Environmental audit</t>
  </si>
  <si>
    <t>Recurrent costs (utilities, fuel, per diems, etc.)</t>
  </si>
  <si>
    <t>D15</t>
  </si>
  <si>
    <t>Participation of MoFWRNAM in project M&amp;E</t>
  </si>
  <si>
    <t>D16</t>
  </si>
  <si>
    <t xml:space="preserve">Total PM Component </t>
  </si>
  <si>
    <t>Total Amount</t>
  </si>
  <si>
    <t>Total</t>
  </si>
  <si>
    <t>Total Amount GCF</t>
  </si>
  <si>
    <t>Total Amount MoFWRNAM</t>
  </si>
  <si>
    <t>A</t>
  </si>
  <si>
    <t>Detailed Budget Notes</t>
  </si>
  <si>
    <t>Unit</t>
  </si>
  <si>
    <t>No// of units, items,days</t>
  </si>
  <si>
    <t>Price per unit</t>
  </si>
  <si>
    <t>Total (USD$)</t>
  </si>
  <si>
    <t>Comp1</t>
  </si>
  <si>
    <t>x</t>
  </si>
  <si>
    <t>International consultant @ 500 USD/day for identification of precise planting sites and reforestation/ANR measures (indicatively 5 days per 100 ha) of degraded mangropve areas in key fisheries hotspots.</t>
  </si>
  <si>
    <t>person/day</t>
  </si>
  <si>
    <t>TCP</t>
  </si>
  <si>
    <t>p/month</t>
  </si>
  <si>
    <t>40 days per year  for a FAO forestry specialist (STAFF)</t>
  </si>
  <si>
    <t>contract</t>
  </si>
  <si>
    <t>Community</t>
  </si>
  <si>
    <t>DONE</t>
  </si>
  <si>
    <t>Procurement, transport and installation of equipment and planting material for community  mangrove restoration kits  at each site @ 3,000 USD/community (including indicatively 5 Spades, 5 hoes, 10 pair of rubber boots, 10 pair of protective gloves, 40 crates for propagule storage,  wheelbarrows, 10 buckets, 1 large water basin and 1 small storage facility)</t>
  </si>
  <si>
    <t>ha</t>
  </si>
  <si>
    <t>International consultant @ 500 USD/day for identification of precise planting sites and reforestation/ANR measures (indicatively 5 days per 100 ha) in key fisheries hotspots</t>
  </si>
  <si>
    <t>Procurement, transport and installation of equipment and planting material for community nurseries at each site @ 3,000 USD/community (including indicatively 5 Spades, 5 hoes, 10 pair of rubber boots, 10 pair of protective gloves, 40 crates for propagule storage,  wheelbarrows, 10 buckets, 1 large water basin and 1 small storage facility)</t>
  </si>
  <si>
    <t>Estimated co-financing from MoA/IFAD in terms of staff cost and other inputs for joint planning, coordination, knowledge sharing, monitoring</t>
  </si>
  <si>
    <t>staff/ lumpsum</t>
  </si>
  <si>
    <t>CFMC</t>
  </si>
  <si>
    <t>Implementation of corresponding funded activities via contract service with procured party to be indentified according to FAO manual 507 and 502 for mangrove restoration @ USD 3,500/community</t>
  </si>
  <si>
    <t>Estimated in-kind co-financing from MoFWRNAM in terms of staff costs, logistics, use of facilities and other inputs for implementation of activities and supervision</t>
  </si>
  <si>
    <t>Staff costs for the specialist supporting the implementation of component 1 - USD 1,700/month for 6 years</t>
  </si>
  <si>
    <t>Lumpsum</t>
  </si>
  <si>
    <t>Comp 2</t>
  </si>
  <si>
    <t xml:space="preserve">ESIA, detailed design and supervision for all sites  (in '000 USD)     </t>
  </si>
  <si>
    <t>Q3</t>
  </si>
  <si>
    <t>Q4</t>
  </si>
  <si>
    <t>Q1</t>
  </si>
  <si>
    <t>Q2</t>
  </si>
  <si>
    <t>ESIA study (USD20,000 per quarter commencing from Q3 2023 to Q3 2024)</t>
  </si>
  <si>
    <t>Lumpsum/Quarter</t>
  </si>
  <si>
    <t>Detailed design (USD40,000 per quarter commencing from Q3 2023 to Q1 2024)</t>
  </si>
  <si>
    <t>And supervision (USD36,000 per quarter commencing Q1, 2024 until Q2, 2026)</t>
  </si>
  <si>
    <t xml:space="preserve">B2 </t>
  </si>
  <si>
    <t xml:space="preserve">Construction Cost relating to Banjul Jetty </t>
  </si>
  <si>
    <t xml:space="preserve">Activity 2.1.1 - Package 1 (in '000 USD)     </t>
  </si>
  <si>
    <t xml:space="preserve">Banjul </t>
  </si>
  <si>
    <t xml:space="preserve">Mobilisation and dredging                          </t>
  </si>
  <si>
    <t>Lumpsum/ activity</t>
  </si>
  <si>
    <t>Piling works</t>
  </si>
  <si>
    <t xml:space="preserve">Floating jetties </t>
  </si>
  <si>
    <t xml:space="preserve">Buildings </t>
  </si>
  <si>
    <t>Liquid waste treatment</t>
  </si>
  <si>
    <t>Equipment and ancillaries</t>
  </si>
  <si>
    <t xml:space="preserve"> </t>
  </si>
  <si>
    <t>Physical contingency related to Banjul jetty, covering risks and uncertainties associated to construction works</t>
  </si>
  <si>
    <t xml:space="preserve">Construction Cost relating to Brufut, Tanji, Gunjur and Sanyang landing sites </t>
  </si>
  <si>
    <t xml:space="preserve">Activity 2.1.1 - Package 2 (in '000 USD)     </t>
  </si>
  <si>
    <t xml:space="preserve">Brufut </t>
  </si>
  <si>
    <t xml:space="preserve">Fish smoking sheds                                           </t>
  </si>
  <si>
    <t>Solar-powered seawater line</t>
  </si>
  <si>
    <t>Fish drying platform</t>
  </si>
  <si>
    <t>Physical contingency related to Brufut landing site, covering risks and uncertainties associated to construction works</t>
  </si>
  <si>
    <t>Tanji</t>
  </si>
  <si>
    <t>Fish smoking sheds</t>
  </si>
  <si>
    <t>Physical contingency related to Tanji landing site, covering risks and uncertainties associated to construction works</t>
  </si>
  <si>
    <t>Sanyang</t>
  </si>
  <si>
    <t>Fish drying platforms (2 no)</t>
  </si>
  <si>
    <t>Physical contingency related to Sanyang landing site, covering risks and uncertainties associated to construction works</t>
  </si>
  <si>
    <t>Gunjur</t>
  </si>
  <si>
    <t xml:space="preserve">Upgrade of FTT ovens </t>
  </si>
  <si>
    <r>
      <t>Construction Cost relating to Kartong landing site</t>
    </r>
    <r>
      <rPr>
        <b/>
        <strike/>
        <sz val="11"/>
        <rFont val="Calibri"/>
        <family val="2"/>
        <scheme val="minor"/>
      </rPr>
      <t xml:space="preserve"> </t>
    </r>
  </si>
  <si>
    <t xml:space="preserve">Activity 2.1.1 - Package 3 (in '000 USD)     </t>
  </si>
  <si>
    <t>Kartong</t>
  </si>
  <si>
    <t>Mobilisation</t>
  </si>
  <si>
    <t>Pontoons</t>
  </si>
  <si>
    <t>Rainsing of road and platform level</t>
  </si>
  <si>
    <t>Solar-powered brackish water fish rinsing line</t>
  </si>
  <si>
    <t>Physical contingency related to Kartong landing site, covering risks and uncertainties associated to construction works</t>
  </si>
  <si>
    <r>
      <t>Construction Cost relating to Bintang landing site</t>
    </r>
    <r>
      <rPr>
        <b/>
        <strike/>
        <sz val="11"/>
        <rFont val="Calibri"/>
        <family val="2"/>
        <scheme val="minor"/>
      </rPr>
      <t xml:space="preserve"> </t>
    </r>
  </si>
  <si>
    <t>Bintang</t>
  </si>
  <si>
    <r>
      <t xml:space="preserve">Mobilisation                                        </t>
    </r>
    <r>
      <rPr>
        <b/>
        <sz val="10"/>
        <rFont val="Tahoma"/>
        <family val="2"/>
      </rPr>
      <t xml:space="preserve">    </t>
    </r>
  </si>
  <si>
    <t>Rainsing of road level</t>
  </si>
  <si>
    <t>Physical contingency related to Bintang landing site, covering risks and uncertainties associated to construction works</t>
  </si>
  <si>
    <t>Training</t>
  </si>
  <si>
    <t>lumpsum</t>
  </si>
  <si>
    <t>International expert on fisheries post harvest handling (25 days @ 500 USD/ day in Y3 and Y4)</t>
  </si>
  <si>
    <t>Estimated in-kind co-financing from MoFWRNAM in terms of staff costs, use of facilities, and other input costs (on average 75,000 USD/site over multiple years)</t>
  </si>
  <si>
    <t>staff/years (lumpsum)</t>
  </si>
  <si>
    <t>National consultant @ 250 USD/day for community consultations and site-specific verifications for identifying the specific equipment needs (10 days/community)</t>
  </si>
  <si>
    <t xml:space="preserve">Estimated cost of equipment of USD 25,000 per community involved in mangrove restoration activities (exact equipment will be determined during implementation through technical analysis and consultation with the beneficiaties.,Indicatively,. Each community receiving a package indicatively composed of 5 FTT ovens and associated building (@4,000 USD each); 5 solar panels at 300USD each; 15 cooking ovens at 100 USD each and 1 water access equipment at 2000 USD each) </t>
  </si>
  <si>
    <t>inputs/year (lumpsum)</t>
  </si>
  <si>
    <t>Martin</t>
  </si>
  <si>
    <t>Construction costs for a training facility and one demonstration pond</t>
  </si>
  <si>
    <t>Scale-up inputs (200,000 units of fingerlings at 10 cents USD per fingerling for a total value of 20,000 USD)</t>
  </si>
  <si>
    <t>fingerlings ('000)</t>
  </si>
  <si>
    <t>Fish feed (20,000 Kg of Fish feed at 1USD/Kg for a total amount of 20,000 USD)</t>
  </si>
  <si>
    <t>Kg</t>
  </si>
  <si>
    <t>inputs (lumpsum)</t>
  </si>
  <si>
    <t xml:space="preserve">MoA/IFAD cofinancing contribution to Contruction Cost for Aquaculture package 1 (Integrated fish production in communal vegetable gardens) </t>
  </si>
  <si>
    <t>Activity 2.2.3 Aquaculture package 1 (Integrated fish production in communal vegetable gardens)</t>
  </si>
  <si>
    <t>Aquaculture Package 1 - Integration of fish tanks in communal vegetable gardens</t>
  </si>
  <si>
    <t>Unit cost
(USD)</t>
  </si>
  <si>
    <t>1A. Integration in existing gardens</t>
  </si>
  <si>
    <t>Garden</t>
  </si>
  <si>
    <t>Infrastructure and equipment</t>
  </si>
  <si>
    <t>Fish tanks</t>
  </si>
  <si>
    <t>tank</t>
  </si>
  <si>
    <t>Fish tank shelter</t>
  </si>
  <si>
    <t>shelter</t>
  </si>
  <si>
    <t>Fish smoking ovens</t>
  </si>
  <si>
    <t>oven</t>
  </si>
  <si>
    <t>Oven shelter</t>
  </si>
  <si>
    <t>Start-up kits (including inputs for 2 cycles)</t>
  </si>
  <si>
    <t>Fingerlings (500 catfish/tank/cycle)</t>
  </si>
  <si>
    <t>unit</t>
  </si>
  <si>
    <t>Feed (700g fish, FCR 1.2)</t>
  </si>
  <si>
    <t>kg</t>
  </si>
  <si>
    <t>Tools</t>
  </si>
  <si>
    <t>set</t>
  </si>
  <si>
    <t>Trainings</t>
  </si>
  <si>
    <t>Aquaculture training</t>
  </si>
  <si>
    <t>session</t>
  </si>
  <si>
    <t>Fish smoking training</t>
  </si>
  <si>
    <t>1B. Integration in new gardens</t>
  </si>
  <si>
    <t>MoA/IFAD cofinancing contribution to Contruction Cost for Aquaculture package 2 (Integrated rice-fish culture)</t>
  </si>
  <si>
    <t>Activity 2.2.4 Aquaculture package 2 (Integrated rice-fish culture)</t>
  </si>
  <si>
    <t>Aquaculture Package 2 - Introduction of integrated rice-fish culture</t>
  </si>
  <si>
    <t>Unit cost 
(USD)</t>
  </si>
  <si>
    <t>2. Integration rice-fish culture in new rice schemes</t>
  </si>
  <si>
    <t>Works</t>
  </si>
  <si>
    <t>Additional works (mechanical, incl. required studies</t>
  </si>
  <si>
    <t>Suplimentary feed (330g fish, FCF 1.5, only 50% of needs)</t>
  </si>
  <si>
    <t>Activity 2.2.5 Aquaculture package 3 (Fish culture in ponds)</t>
  </si>
  <si>
    <t>Aquaculture package 3 - Fish culture in earthen ponds</t>
  </si>
  <si>
    <t>Unit cost (USD)</t>
  </si>
  <si>
    <t>3A. Development of new ponds (10 clusters of 5 ponds each = 50 ponds)</t>
  </si>
  <si>
    <t>cluster</t>
  </si>
  <si>
    <t>Work, infrastructure and equipment</t>
  </si>
  <si>
    <t>Borehole drilling</t>
  </si>
  <si>
    <t>Water pumps, controllers, inverters &amp; auxilliaries</t>
  </si>
  <si>
    <t>Solar Photovoltaic Panels support, cables, grounding SDB Panel</t>
  </si>
  <si>
    <t>Overhead tank</t>
  </si>
  <si>
    <t>Pond digging (400 m^2/each</t>
  </si>
  <si>
    <t>m^2</t>
  </si>
  <si>
    <t>Pond lining</t>
  </si>
  <si>
    <t>pond</t>
  </si>
  <si>
    <t>Draining and filling pipes</t>
  </si>
  <si>
    <t>Fingerlings (3 tilapia/m^2)</t>
  </si>
  <si>
    <t>Feed (500g fish, FCR 1.5)</t>
  </si>
  <si>
    <t>Aquaculture training (2 sessions/clucter)</t>
  </si>
  <si>
    <t>3B. Rehabilitating and climate proofing existing ponds (existing clusters of 2 ponds)</t>
  </si>
  <si>
    <t>Water access improvements (add, drilling, piping, etc)</t>
  </si>
  <si>
    <t>Activity 2.2.6 Aquaculture package 4 (Sustainable clam and oyster culture)</t>
  </si>
  <si>
    <t>Aquaculture 4 - Promotion of sustainable clam and oyster culture</t>
  </si>
  <si>
    <t>4A - Improved clams and cockles harvesting (groups of 30 women)</t>
  </si>
  <si>
    <t>group</t>
  </si>
  <si>
    <t xml:space="preserve">Equipment </t>
  </si>
  <si>
    <t>Canoe</t>
  </si>
  <si>
    <t>Clams and cockles cultivation beds</t>
  </si>
  <si>
    <t>Culture training (3 sessions per group)</t>
  </si>
  <si>
    <t>4B - Oyster rearing (groups of 10 women)</t>
  </si>
  <si>
    <t>Motorized canoe</t>
  </si>
  <si>
    <t>Artificial substrate for oysters (roof tiles, poles, ropes) (per woman)</t>
  </si>
  <si>
    <t>lot</t>
  </si>
  <si>
    <t>Oyster rearing training (3 sessions per group)</t>
  </si>
  <si>
    <t>Estimated in-kind co-financing from MoFWRNAM in terms of staff costs, logistics, use of facilities and other inputs for implementation support of aquaculture development activities @ 100,000 USD/year</t>
  </si>
  <si>
    <t>lumpsum/year</t>
  </si>
  <si>
    <t>Comp 3</t>
  </si>
  <si>
    <t xml:space="preserve"> civil servants in relevant ministries for each training</t>
  </si>
  <si>
    <t>Contract service with specialised international technical assistance for curricula development @ 20,000 USD</t>
  </si>
  <si>
    <t xml:space="preserve">Contract </t>
  </si>
  <si>
    <t>Teaching and lab equipment for the partner educational institutions, estimated @ 40,000 USD over 2 years (including 1 Hatchery equipment: 10,000 USD; - Water purifier: 5,000 USD; and glass wear and lab equipment: 5,000 USD)</t>
  </si>
  <si>
    <t>lumpsum / technician/year</t>
  </si>
  <si>
    <t xml:space="preserve">International consultant @ 500 USD/day for 20 days for Y1-Y4 to support for climate related sectoral studies and subsequent revision of national policies and strategies </t>
  </si>
  <si>
    <t xml:space="preserve">National consultant @ 250 USD/day for 30 days for Y1-Y4 to support for climate related sectoral studies and subsequent revision of national policies and strategies </t>
  </si>
  <si>
    <t>Conferences and seminars for policy dialogue at national and district level - topics to  be determined in due course and depending on the project results as well as on the issues emerging from the implementation of the activities. Evidence coming from project M&amp;E and analysis of annual outcome assessment - for at least 60 participants between private sector and artisanal fisherfolks</t>
  </si>
  <si>
    <t>lumpsum / year</t>
  </si>
  <si>
    <t>producers and private sector</t>
  </si>
  <si>
    <t>Estimated in-kind co-financing of MoFWRNAM in terms of staff costs and logistics for the Frame Survey data collection</t>
  </si>
  <si>
    <t>Estimated in-kind co-financing of MoFWRNAM in terms of staff costs and logistics for validation and dissemination of the Frame Survey results</t>
  </si>
  <si>
    <t>Contract service with procured party for organising the CC-inclusive Frame Survey</t>
  </si>
  <si>
    <t>One CTD (CTD: Conductivity, Temperature, Dissolved oxygen) to measure temperature oxygen, conductivity at 24,500 USD for increased monitoring capacity and other oceanograohic parameters</t>
  </si>
  <si>
    <t>Lumpsum/ equipment</t>
  </si>
  <si>
    <t>lumsum/station</t>
  </si>
  <si>
    <t>outcome survey</t>
  </si>
  <si>
    <t xml:space="preserve">Lumpsum for 1 initial survey (50,000) and 2 surveys @ 100,000 each. The three surveys (initial, mid-term, final) cover the project scope and the full set of project indicators </t>
  </si>
  <si>
    <t>Survey</t>
  </si>
  <si>
    <t xml:space="preserve">Estimated in-kind co-financing from MoFWRNAM in terms of staff costs to support the CFCs </t>
  </si>
  <si>
    <t>Lumpsum/ year</t>
  </si>
  <si>
    <t>Contract service with procured party  for mixed (remote sensing and direct observation) on CC-induced mangrove degradation @ 20,000 USD/ study (40 days of international consultancy @ 500 USD/day)</t>
  </si>
  <si>
    <t>CFC leaders</t>
  </si>
  <si>
    <t>Equipment (computers, tablets, etc.) for 10 CFCs @ 2,000 USD/CFC</t>
  </si>
  <si>
    <t xml:space="preserve">artisanal fisherfolks representatives of local communities </t>
  </si>
  <si>
    <t>Contract service with procured party for feasibility study @ 54,500 USD. The contract covers provision of technical services related to the design of the e-extension system for fisheries and aquaculture.</t>
  </si>
  <si>
    <t xml:space="preserve">Contract with service provider to raise awareness of fisherfolks communities to register fisher folk and other value chain actors @ 10,000 USD/year, including production and dissemination of communication material and expertise as required in all relevant locations where e-extension will be operational. </t>
  </si>
  <si>
    <t>Lumpsum / year</t>
  </si>
  <si>
    <t>Estimated in-kind co-financing from MoFWRNAM in terms of staff costs, logisitics to support continous operation of the system @ 30,000 USD/year</t>
  </si>
  <si>
    <t>Staff/ lumpsum/ year</t>
  </si>
  <si>
    <t xml:space="preserve">trainings on aquaculture for civil servants and local communities including refreshers @5,000 USD each (logistics, venue, material ..) for at least 50 fisheires officers each </t>
  </si>
  <si>
    <t>fisheries officers</t>
  </si>
  <si>
    <t>Three week-long trainings on aquaculture for field fisheries officers - international consultant @500USD/day (15 days in Y1) - for at least 100 fisheires officers</t>
  </si>
  <si>
    <t>Three week-long trainings on aquaculture for field fisheries officers - national consultant @2,500USD/month (1m in Y1; 2m in Y2; 2m in Y5)</t>
  </si>
  <si>
    <t>forestry officers</t>
  </si>
  <si>
    <t>Equipment for georeferencing (100 tablets with connectivity for extension agents @150 USD/ each, and 25 laptops for groups of extension workers @1,000 USD each)</t>
  </si>
  <si>
    <t>Set</t>
  </si>
  <si>
    <t>Extension agents</t>
  </si>
  <si>
    <t>M&amp;E equipment</t>
  </si>
  <si>
    <t>Yearly two-day national roundtable @ 10,000 USD/event (MoFWRNAM co-financing)</t>
  </si>
  <si>
    <t>Roundtable</t>
  </si>
  <si>
    <t xml:space="preserve">Four regional trainings on social organisation/registration in cooperatives @ 500 USD/training (MoFWRNAM co-financing) for at least 30 coop leaders involved in artisanal fisheiries each </t>
  </si>
  <si>
    <t>Regional Training</t>
  </si>
  <si>
    <t xml:space="preserve">for at least 30 coope leaders involved in artisanal fisheiries </t>
  </si>
  <si>
    <t xml:space="preserve">Ten regional trainings on quality standards, export rules, etc. @ 2,000 USD/training (MoFWRNAM co-financing) for at least 40 artisanal fisherfolks each </t>
  </si>
  <si>
    <t>at least 40 artisanal fisherfolks</t>
  </si>
  <si>
    <t>International consultant @ 500 USD/day for 25 days for developing integration strategy</t>
  </si>
  <si>
    <t>National consultant @ 250 USD/day for 30 days for Y1-Y4 for facilitating partnerships</t>
  </si>
  <si>
    <t>International value chain specialist @500USD/day for 5 years</t>
  </si>
  <si>
    <t>National consultant @ 250 USD/day for 55 days for Y1-Y4 for facilitating partnerships</t>
  </si>
  <si>
    <t>Start up package to rural alliances (lumpsum for laptop (1,000 USD), solar panel (300 USD), registry and miscellanea (USD 200) for a total of 1,500 USD per alliance</t>
  </si>
  <si>
    <t>alliance</t>
  </si>
  <si>
    <t xml:space="preserve">lumpsum </t>
  </si>
  <si>
    <t xml:space="preserve">International consultant @ 500 USD/day for 60 days for fish feed processing and small enterprise development </t>
  </si>
  <si>
    <t>National consultant @ 250 USD/day for 35 days for Y1-Y4 for facilitating partnerships</t>
  </si>
  <si>
    <t>Event</t>
  </si>
  <si>
    <t xml:space="preserve">youth groups in production of fish feed </t>
  </si>
  <si>
    <t>One value chain study including end market assessment per year in Years 1, 2, 3 and 5 respectively</t>
  </si>
  <si>
    <t>Study</t>
  </si>
  <si>
    <t>One local value chain specialist (250 USD/day) to coach groups of producers on effective negotiation, establishment of alliance with processors, assessment of business opporutnities</t>
  </si>
  <si>
    <t>National value chain specialist supporting the organization of the event contracted for 2 months per event (including design, organization and reporting)</t>
  </si>
  <si>
    <t>artisanal producers</t>
  </si>
  <si>
    <t>National fisheries quality standards specialist supporting the organization of the training, contracted for 1 months per training (including design, organization and reporting)</t>
  </si>
  <si>
    <t>community leaders / coop leaders</t>
  </si>
  <si>
    <t>National cooperative and social mobilization specialist, supporting the organization of the training, contracted for 1 months per training (including design, organization and reporting)</t>
  </si>
  <si>
    <t>Contract for service provision to kick-off training on household methodology in Y3</t>
  </si>
  <si>
    <t>2 months each for one gender specialist and one capacity develpoemnt specialist local  consultants to facilitate kick off training on household methodology</t>
  </si>
  <si>
    <t>Facilitated trainings and meetings on Household Methodology via contract service  with procured party to be indentified according to FAO manual 507 and 502. the cost includes expertise and training (venue, logistics, material, evaluation…)  (variable: 100,000 USD Y1; 200,000 USD in Y2 and 3; 100,000 USD in Y4; 50,000 USD in Y6)</t>
  </si>
  <si>
    <t>Contract for communication in Y1 and Y3</t>
  </si>
  <si>
    <t>Staff costs for the administrative support @ 500 USD/month</t>
  </si>
  <si>
    <t>Staff costs for the driver @ 500 USD/month</t>
  </si>
  <si>
    <t>Estimated in-kind co-financing from MoFWRNAM for the organisation of the PSC and TAC @ 40,000 USD/year (staff time)</t>
  </si>
  <si>
    <t>lumpsum staff</t>
  </si>
  <si>
    <t>Estimated in-kind co-financing from MoFWRNAM for the organisation of the PSC and TAC @ 40,000 USD/year (facilities, offices)</t>
  </si>
  <si>
    <t>Estimated in-kind co-financing from MoFWRNAM for the organisation of project inception workshop @ 25,000 USD</t>
  </si>
  <si>
    <t>Workshop</t>
  </si>
  <si>
    <t>One vehicle @ 30,000 USD for the PMIU</t>
  </si>
  <si>
    <t>vehicle</t>
  </si>
  <si>
    <t>Office equipment  @ 15,000 USD for the PMIU (including 9 laptop @1,000 USD, 1 Printer @700 USD, desk, chair, closet set lumpsum for 5,300 USD)</t>
  </si>
  <si>
    <t>M&amp;E system (software @10,000 USD, plus operation cost and maintenance for 3,600 USD per year)</t>
  </si>
  <si>
    <t>Setting a system for Georeferenced monitoring of project investments and follow-up in Y2</t>
  </si>
  <si>
    <t>Provision for contracted services for knowledge management and communication @ 5,000 USD/year</t>
  </si>
  <si>
    <t>Yearly audit and support to financial management @ 10,000 USD/year</t>
  </si>
  <si>
    <t>Yearly environmental audit as part of ESMF @ 2,000 USD/year</t>
  </si>
  <si>
    <t>PMIU recurrent costs @ 1,000 USD/month</t>
  </si>
  <si>
    <t>lumpsum / month</t>
  </si>
  <si>
    <t>D17</t>
  </si>
  <si>
    <t>Estimated in-kind co-financing from MoFWRNAM in terms of staff costs and logistics participating in project M&amp;E</t>
  </si>
  <si>
    <t>lumpsum/ staff</t>
  </si>
  <si>
    <t>(in '000 USD)</t>
  </si>
  <si>
    <t>Site</t>
  </si>
  <si>
    <t>Main Activity</t>
  </si>
  <si>
    <t>ESIA STUDY</t>
  </si>
  <si>
    <t>DETAILED DESIGN</t>
  </si>
  <si>
    <t>AND SUPERVISION</t>
  </si>
  <si>
    <t>Banjul Jetty</t>
  </si>
  <si>
    <r>
      <t xml:space="preserve">MOBILISATION AND DREDGING                           </t>
    </r>
    <r>
      <rPr>
        <b/>
        <sz val="11"/>
        <color theme="1"/>
        <rFont val="Calibri"/>
        <family val="2"/>
        <scheme val="minor"/>
      </rPr>
      <t>PACKAGE 1</t>
    </r>
  </si>
  <si>
    <t>PILING WORKS</t>
  </si>
  <si>
    <t>FLOATING JETTIES</t>
  </si>
  <si>
    <t xml:space="preserve">BUILDINGS </t>
  </si>
  <si>
    <t>LIQUID WASTE TREATMENT</t>
  </si>
  <si>
    <t>EQUIPMENT AND ANCILLARIES</t>
  </si>
  <si>
    <t>CONTINGENCIES</t>
  </si>
  <si>
    <t>Brufut</t>
  </si>
  <si>
    <r>
      <t xml:space="preserve">FISH SMOKING SHEDS                                           </t>
    </r>
    <r>
      <rPr>
        <b/>
        <sz val="11"/>
        <color theme="1"/>
        <rFont val="Calibri"/>
        <family val="2"/>
        <scheme val="minor"/>
      </rPr>
      <t xml:space="preserve"> PACKAGE 2</t>
    </r>
  </si>
  <si>
    <t>SOLAR-POWERED SEAWATER LINE</t>
  </si>
  <si>
    <t>FISH DRYING PLATFORM</t>
  </si>
  <si>
    <t>FISH SMOKING SHEDS</t>
  </si>
  <si>
    <t>FISH DRYING PLATFORMS (2 No)</t>
  </si>
  <si>
    <t>UPGRADE OF FTT OVENS</t>
  </si>
  <si>
    <r>
      <t xml:space="preserve">MOBILISATION                                        </t>
    </r>
    <r>
      <rPr>
        <b/>
        <sz val="10"/>
        <rFont val="Tahoma"/>
        <family val="2"/>
      </rPr>
      <t xml:space="preserve">    PACKAGE 3</t>
    </r>
  </si>
  <si>
    <t>PONTOONS</t>
  </si>
  <si>
    <t>RAINSING OF ROAD LEVEL</t>
  </si>
  <si>
    <t>MOBILISATION</t>
  </si>
  <si>
    <t>RAINSING OF ROAD AND PLATFORM LEVEL</t>
  </si>
  <si>
    <t>SOLAR-POWERED BRACKISH WATER FISH RINSING LINE</t>
  </si>
  <si>
    <t>TRAININGS</t>
  </si>
  <si>
    <t>Unit cost (US$)</t>
  </si>
  <si>
    <t>Aquaculture packages</t>
  </si>
  <si>
    <t xml:space="preserve">1A. Integration in existing gardens </t>
  </si>
  <si>
    <t>Start-up kits (incl. inputs for 2 cycles)</t>
  </si>
  <si>
    <t>Feed (700 g fish, FCR 1.2)</t>
  </si>
  <si>
    <t xml:space="preserve">1B. Integration in new gardens </t>
  </si>
  <si>
    <t>Additional works (mechanical, incl. required studies)</t>
  </si>
  <si>
    <t>Fingerlings (3000 tilapia/ha/cycle)</t>
  </si>
  <si>
    <t>Suplimentary feed (330 g fish, FCR 1.5, only 50% of needs)</t>
  </si>
  <si>
    <t>Aquaculture Package 3 - Fish culture in earthen ponds</t>
  </si>
  <si>
    <t>Water pumps, controllers, inverters &amp; auxiliaries</t>
  </si>
  <si>
    <t>Pond digging (400 m2/each)</t>
  </si>
  <si>
    <t>m2</t>
  </si>
  <si>
    <t xml:space="preserve">Draining and filling pipes </t>
  </si>
  <si>
    <t>Fingerlings (3 tilapia/m2)</t>
  </si>
  <si>
    <t>Feed (500 g fish, FCR 1.5)</t>
  </si>
  <si>
    <t>Aquaculture training (2 sessions/cluster)</t>
  </si>
  <si>
    <t>Water access improvements (add. drilling, piping, etc.)</t>
  </si>
  <si>
    <t xml:space="preserve">Artificial substrate for oysters (roof tiles, poles, ropes) (per woman) </t>
  </si>
  <si>
    <t>IFAD</t>
  </si>
  <si>
    <t>Rehab</t>
  </si>
  <si>
    <t>New</t>
  </si>
  <si>
    <r>
      <t xml:space="preserve">Activity 2.1.5 Develop flood-proofing measures at the </t>
    </r>
    <r>
      <rPr>
        <b/>
        <sz val="11"/>
        <rFont val="Calibri"/>
        <family val="2"/>
        <scheme val="minor"/>
      </rPr>
      <t>Bintang</t>
    </r>
    <r>
      <rPr>
        <sz val="11"/>
        <rFont val="Calibri"/>
        <family val="2"/>
        <scheme val="minor"/>
      </rPr>
      <t xml:space="preserve"> landing site (Package 4)</t>
    </r>
  </si>
  <si>
    <t>2.1.7.2 Provide and install the necessary equipment</t>
  </si>
  <si>
    <t>2.1.7.4 Capacity development for the artisanal fisherfolk in the mangrove communities (technical, O&amp;M, and organizational including negotiation skills)</t>
  </si>
  <si>
    <t>2.2.4.3 Provide start-up kits to the beneficiaries  (tools and inputs)</t>
  </si>
  <si>
    <t>2.2.4.4 Provide technical training and supervision for the beneficiaries of integrated rice-fish production and negotiation skills</t>
  </si>
  <si>
    <t>2.2.5.2  Provide start-up kits to the beneficiaries (tools and inputs)</t>
  </si>
  <si>
    <t>3.2.4.1 Identification of participants and definition of approach  (including TRY women groups involved in oyster production)</t>
  </si>
  <si>
    <t xml:space="preserve">Activity 3.2.5: Train executing-agency personnel on gender in general, SEAH, and establish and operationalize referral pathways for GBV </t>
  </si>
  <si>
    <t>Total Amount MoA</t>
  </si>
  <si>
    <t xml:space="preserve">Total Amount FAO </t>
  </si>
  <si>
    <t>1.2.3.3 Supervise and ensure the correct application of  environment and social safeguards  (ESS)</t>
  </si>
  <si>
    <t>1.1.2.5 Community-led Assisted Natural Regeneration (ANR) campaigns</t>
  </si>
  <si>
    <t>2.1.7.1 Identify site specific priority needs of the mangrove communities  to reduce firewood use and fish losses</t>
  </si>
  <si>
    <t xml:space="preserve">2.2.3.3 Provide training and supervision for fish production and smoking, and use of  water with fish excrements as fertilizer in horticulture and negotiation skills </t>
  </si>
  <si>
    <t>Local consultant supporting the sensitization campaigns (2 months Y1 and 3 months in Y3)</t>
  </si>
  <si>
    <t>Week-long consultation, identification of planting teams and training with each of 10 identified communities @ 4,000 USD/community covering venue, material and food and transport (50 participants per training, including Venue @500USD, food@10USD/ p/day, material 500USD)</t>
  </si>
  <si>
    <t>National expert on mangrove forest providing training to communities engaged for 24 days in Year 1, 21 days in year 2 and 3 and 14 days in year 4 at USD250 a day</t>
  </si>
  <si>
    <t>Procured party via Contract serivce  with procured party to be indentified according to FAO manual 507 and 502 mobilizing unskilled labor (@10USD/day)  for replanting @ 1,000 USD/ha for 1,100 ha</t>
  </si>
  <si>
    <t>National consultant @ 250 USD/day for post-restoration monitoring, evaluation and corrective measures -  20 days in Y3, 30 days in Y 4-6 (indicatively 5 days per 100 ha)</t>
  </si>
  <si>
    <t xml:space="preserve">Contract for provision of technical service (eg, with local NGO) to raise awareness and mobilize  communities </t>
  </si>
  <si>
    <t>Week-long consultation, identification of planting teams and training with each of 10 identified communities @ 4,000 USD/community including refresher (at least 30 participants per training, including: venue 550USD, food 1800 USD, material 1650 USD)</t>
  </si>
  <si>
    <t>National community facilitator forestry expert engaged for 24 days in Year 1, 21 days in year 2 and 3 and 14 days in year 4 at USD250 a day amongst the 10 communities (@250USD/day)</t>
  </si>
  <si>
    <t>Procured party via contract service with procured party to be indentified according to FAOmanual 507 and 502  mobilizing unskilled labor at 10USD / day for ANR measures @ 500 USD/ha for 1,250 ha</t>
  </si>
  <si>
    <t>National consultant @ 250 USD/day for post-restoration monitoring, evaluation and corrective measures -  20 days in Y3, 35 days in Y 4-5 and 34 days in Y6 (indicatively 5 days per 100 ha)</t>
  </si>
  <si>
    <t xml:space="preserve">Trainings during field visits to other succesful mangrove restoration sites within Gambia (for renting halls, material, communication) @ USD 3,500/community (at least 25 participants per community) including visit and exchanges at 50 USD per day/participant (2 days), venue 200USD, food 300 USD, material 500 USD. </t>
  </si>
  <si>
    <t>Trainings, facilitated organisation and minor inputs (stationery, ledgers, etc.) for the creation of community forest management committees @ USD 1,000/site for about 10 CFMC representatives each (venue 100USD, food 150 USD, material 750USD) - facilitation cost covered by the technical expert in charge of Component 1</t>
  </si>
  <si>
    <t>National consultant @ 250 USD/day for forest status review (indicatively 15 days on Y2, 30 days in Y 3-5)</t>
  </si>
  <si>
    <t>Week-long awareness raising events in the local communities for 15 community leaders on rights and obligations under the tenure agreements @ 1,750 USD/community (Venue 550USD, food @900USD, material 300 USD)</t>
  </si>
  <si>
    <t>National awareness and communication specialist at 10 days Y2, 20 days each in Y3-5 (@250USD/day)</t>
  </si>
  <si>
    <t xml:space="preserve">Contractual Services: Provision for ESS measures for a total of 35,000 USD </t>
  </si>
  <si>
    <t xml:space="preserve">Specialised contractors acquired per FAO Procurement Policy: ESIA estimated at USD 100,000 (including mitigation measures); detailed design @ USD 120,000; and supervision costs @ USD 360,000 </t>
  </si>
  <si>
    <t>PY1</t>
  </si>
  <si>
    <t>PY2</t>
  </si>
  <si>
    <t>PY3</t>
  </si>
  <si>
    <t>PY4</t>
  </si>
  <si>
    <t>Staff costs contracted by the project for the specialist supporting the implementation of output 2.1 - USD 1,700/month for 6 years</t>
  </si>
  <si>
    <t>Trainings on equipment and technologies use, on organisational arrangements for equitable use and for user fee collection, on maintenance and repairs, etc. @ USD 25,000 for Banjul jetty and for the six Landing sites supported by Activity 2.1.1 (including 1 refresher training for all ) - (25 participants for 5 days training 5 times for each community (total of 125 individuals / community)  - venue 2500USD, lodging 8,750USD, food 7500 USD, material 6250 USD)</t>
  </si>
  <si>
    <t>International expert contracted by the project on fish processing equipment (25 days @ 500 USD/ day in PY3 and PY4)</t>
  </si>
  <si>
    <t>Week-long training on the use of the installed equipment, testing, maintenance, and on organisational arrangements for equitable use @ 2,500 USD/community covering venue, catering, material for 25 partcipants in each jetty/landing site (venue 500 USD, food 1500USD, material 500USD)</t>
  </si>
  <si>
    <t>Scale-up inputs (fingerlings, feed and other inputs) for the first two years of the project @ 50,000 USD in total (indicatively including: 2 buildings @ 12,500 USD each, hatchery equipment 2,000 USD, plum,bing material 1000 USD, 2 basins @2,500 USD each, fans and lights 4,000 USD, digging of 10 ponds for 900 USD each + plumbing material for 400 USD each)</t>
  </si>
  <si>
    <t xml:space="preserve">Installation of new equipment for two units (including construction cost and start-up inputs) @ 40,000 USD/unit (indicatively including construction building for 30,250 USD, water supply for 1,000 USD, storage tank for 1,000 USD, power connnection for 1,000 USD, gutters for rainwater harvesitng 1,750 USD, equipment for fish feed processing 5,000 USD). </t>
  </si>
  <si>
    <t>Quality control visits with embeded implementation support / training for the four units @ 2,500 USD/unit</t>
  </si>
  <si>
    <t>Staff costs for the specialist hired by the project supporting the implementation of output 2.2 - USD 1,700/month for 6 years</t>
  </si>
  <si>
    <t xml:space="preserve">Provision for ESS measures for a total of 75,000 USD (7.4 month per year at 2,000 USD/month) through expertise hired by project </t>
  </si>
  <si>
    <t xml:space="preserve">Week-long specialised training on Climate Change (CC) and fisheries topics @ 20,000 USD/training for the first training and then 15,000 USD/ training one in Y3 and one in Y5 (including trainer costs) - for at least 25participants from relevant ministries for each training. Training cost include 5 refreshers in total. in Y1 it indicatively includes: venue 1,875 USD, lodging 5,000 USD, food 7,500 USD, material 5,625 USD; in Y3 and Y5 the same except for material 625 USD). </t>
  </si>
  <si>
    <t>Contribution to training costs of technicians for longer term advanced training on CC, fisheries and aquaculture @ 1,000 USD/year/technician (for 30 technicians)</t>
  </si>
  <si>
    <t xml:space="preserve">National and local workshops/trainings @ 2,500 USD/training to line ministries and agencies to better analyse and include climate risks in national policy and decision making processes relevant for the fisheries and aquaculture sector and increase the technical capacity of line ministries’ staff - for at least 20 participants from fisheries departments. Training costs include Venue (500 USD), food (1,000 USD), and material for participants (1,000 USD). </t>
  </si>
  <si>
    <t>Four national workshops/trainings on improved monitoring of CC impacts on fisheries and mangroves @ 10,000 USD/training covering the transport, logistics, material, venue - at least 50 civil servants in relevant ministries for each training. Training costs will include venue (1,000 USD), food/ catering (3,750 USD) and Material for participants (5,250 USD)</t>
  </si>
  <si>
    <t xml:space="preserve">Lumpsum for three stations (devices in the river, stationary sensors to measure water river parameters - lifestreaming - the hydrology dept has already three funcitoning this is to double the capacity), including for each station: four PH meters (at 250 USD each), three GPS (at 500 USD each), 6 computers (at 1,000 USD each) </t>
  </si>
  <si>
    <t>Annual outcome survey covering the project logframe's indicator in Y1, Y2, Y4, and Y6 (where not full fledged survey is carried out)</t>
  </si>
  <si>
    <t>Four national trainings for Community fisheries centres (CFCs) @ 2,500 USD/training covering logistics, material, venue, etc.  For at least 10 CFC leaders for each training (indicatively including 500 USD for venue, 1500 USD for food, 500  USD for material</t>
  </si>
  <si>
    <t>International georeferenced monitoring specialist specifically mobilized for the project  @500USD/day for 20 days (in Y1 and Y3) providing training and coaching to local civil servants from line ministries</t>
  </si>
  <si>
    <t>Training costs on georeferencing monitoring for civil servants (30 people) and local communities (30 representatives) at 2,500 USD per training (for a total of 6 trainings), including 1 refreshers training for each category on Y3 (indicative costs for the five day course include venue 400 USD, food 1,500 USD, material 600 USD)</t>
  </si>
  <si>
    <t>Contract service with procured party to provide equipment, installation, setting up and testing of e-extension system (estimated value 150,000 USD) - indictive cost of the contract includes 5 experts @2,000/ month for 12 months, modules develpoment for e-extension app for 20,000 USD, 5 computers @1,000 USD each, 1 server system @5,000 USD each, 5 devices for data collection @100 USD each)</t>
  </si>
  <si>
    <t xml:space="preserve">Contract service with procured party for start-up operational support of the e-extension system @ 30,000 USD. The contract covers to the start-up operational support of the  e-extension system, including roll out and initial testing. </t>
  </si>
  <si>
    <t xml:space="preserve">Contract service with procured party for data collection, analysis and repackaging into messages for target audience @ 1,000 USD/month corresponding to 12,000 USD per year (or per contract). The contracts include provision of techical services related to data collection, analysis and repackaging into messages for target audience. </t>
  </si>
  <si>
    <t>Four week-long trainings on mangrove restoration and management for field forestry officers @ 5,000 USD/training - for at least 100 forestry officers (cost include venue 750 USD, food 1,875 USD, material 2,375 USD)</t>
  </si>
  <si>
    <t xml:space="preserve">Monitoring and implementation equipment for 160 field fisheries and forestry officers @ 1,000 USD/officer (including tablets 100 USD + laptop 900 USD) 20,000 lumpsum for refurbishment in Y5 </t>
  </si>
  <si>
    <t>Fisheries actors (Producers and tourism sector entrepreneurs) dialogues organized on regular basis in Years 2, 3, 4 and 5 in the areas of production /  processing (lumpsum contract including faciltation and material @ 5,000 USD/event) for at least 60 producers and private sector representatives each - Event costs include venue 500 USD, food 1,500 USD, material 3,000 USD</t>
  </si>
  <si>
    <r>
      <t xml:space="preserve">Budget for business dialogues in Years 2, 3, 4 and 5 (venue, material, transport and logisitcs) for 60  </t>
    </r>
    <r>
      <rPr>
        <strike/>
        <sz val="11"/>
        <rFont val="Calibri"/>
        <family val="2"/>
        <scheme val="minor"/>
      </rPr>
      <t xml:space="preserve"> </t>
    </r>
    <r>
      <rPr>
        <sz val="11"/>
        <rFont val="Calibri"/>
        <family val="2"/>
        <scheme val="minor"/>
      </rPr>
      <t xml:space="preserve">local producers / processors and end market / private sector representatives to establish partnerships / alliances , facilitated by national consultant budgeted separately.  Event costs include venue 500 USD, food 1,500 USD, material 3,000 USD </t>
    </r>
  </si>
  <si>
    <t>Yearly training to youth groups (30 individuals per group) in production of fish feed @ 5,000 USD/event in Year 2, 3, 4 and 5 respectively.  Event costs include venue 500 USD, food 1,500 USD, material 3,000 USD</t>
  </si>
  <si>
    <t>Yearly awareness raising events (covering logistics, material, venue…) on tools for more inclusive financial products and services @ 2,500 USD/event, involving financial institutions at national and district level  Event costs include venue 400 USD, food 1,500 USD, material 600 USD</t>
  </si>
  <si>
    <t>Staff costs for the specialist recruted by the project supporting the implementation of component 3 - USD 1,700/month for 6 years</t>
  </si>
  <si>
    <t>Yearly two-day national roundtable @ 5,000 USD/event for investment in Fisheries value chain (including venue, logistics, catering, material) - for at least 50 private sector actors (event costs include venue 1,000 USD, food 2,000 USD, material 2,000 USD)</t>
  </si>
  <si>
    <t>Twelve in-depth regional trainings on quality standards, export rules, etc. @ 2,500 USD/training, including venue, logistics, material - for at least 30 artisanal producers sector actors - (indicative costs for the course include venue 400 USD, food 1,500, material 600)</t>
  </si>
  <si>
    <t>Four in-depth regional trainings on social organisation/registration in cooperatives @ 2,500 USD/training, including venue, logistics, material - for at least 30 community leaders involved in artisanal fisheiries each  (indicative costs for the course include venue 400 USD, food 1,500, material 600)</t>
  </si>
  <si>
    <t>Provision for ESS measures for a total of 80,000 USD (consultant working part time at @2,000 USD / month for 10 month/ year) - Year 1 to 4</t>
  </si>
  <si>
    <t>One training-of-trainers on HH methodology @ 2,500 USD in Y1 and one refresher TOT in Y4 (indicative costs include venue 400 USD, food 1,500, material 600)</t>
  </si>
  <si>
    <t>International specialist mobilized by the project on household methodology for 20+10 days @500 USD / day in Year 1 and 4 respectively.</t>
  </si>
  <si>
    <t>International consultant mobilized by the project @ 500 USD/day for technical support on gender empowerment through application of the Household Methodology.</t>
  </si>
  <si>
    <t xml:space="preserve">International capacity development specialist with experience in fisheries mobilized by the project @ 500 USD/day for 30 days in Y1 and Y3 suporting the definition of literacy and numeracy training structure and approach </t>
  </si>
  <si>
    <t>One training-of-trainers @ 2,500 USD in Y1  + refresher in Y3  including venue, transport, catering, material… (indicative costs for the course include venue 400 USD, food 1,500, material 600)</t>
  </si>
  <si>
    <t>One national capacity develpoment specialist on literacy and numeracy mobilized by the project (1 month for each training)</t>
  </si>
  <si>
    <t xml:space="preserve">Trainings and meetings via contract service with procured party to be indentified according to FAO manual 507 and 502 (variable: 40,000 USD Y1 to Y5; and 20,000 USD in Y6). The training will support local communities in strenghtening their literacy and numeracy capacities. The cost includes Training of Trainers in Y1, and then roll out for a three-year programme for 1,500 students from Y2 to Y5 including salaries of female trainers (8,000 USD year), venue (1,000 per year), food (15,000 USD per year) and material (16,000 USD per year). In Y6 the cost is for the follow-up and includes 4,000 USD for salaries of trainers, 500 USD for the venues, 7,500 USD for food and 8,000 USD for material). </t>
  </si>
  <si>
    <t>Training of professionals  (2,500 USD in Y1 and Y 3) - including venue, logistics, material, catering… (indicative costs for the course include venue 400 USD, food 1,500, material 600)</t>
  </si>
  <si>
    <t>International expert on SEAH and GBV for 25 days per training (one in Y1  and one in Y3) at 500 USD per day</t>
  </si>
  <si>
    <t>Training of professionals  along referral pathways (2,500 USD in Y1 and Y 3) - including venue, logistics, material, catering… (indicative costs for the course include venue 400 USD, food 1,500, material 600)</t>
  </si>
  <si>
    <t>International expert mobilized by the project on referral pathways for 25 days per training (in Y1 and Y3) at 500 USD per day</t>
  </si>
  <si>
    <t>International specialist to operationalize referral pathways mobilized by the project (40 days in Y1 and Y3 @ 500 USD/day)</t>
  </si>
  <si>
    <t>Staff costs for the national project coordinator @ 1,900 USD/month (mobilized by the project)</t>
  </si>
  <si>
    <t>Staff costs for the financial and administrative specialist @ 1,700 USD/month (mobilized by the project)</t>
  </si>
  <si>
    <t>Staff costs for the ESS and gender specialist @ 1,500 USD/month (mobilized by the project)</t>
  </si>
  <si>
    <t>Staff costs for the M&amp;E specialist @ 1,500 USD/month (mobilized by the project)</t>
  </si>
  <si>
    <t>Activity 1.1.1 Reforestation of 1,100 ha of degraded mangrove areas in key fisheries hotspots</t>
  </si>
  <si>
    <t>Activity 2.2.1 Expansion of the Jahally Aquaculture Center</t>
  </si>
  <si>
    <t>Activity 2.2.2 Promote the increase of fish feed production through four manufacturing units</t>
  </si>
  <si>
    <t>2.2.3.2.Provide fish tanks, smoking ovens, shelters and start-up aquaculture kits (tools and inputs)</t>
  </si>
  <si>
    <t xml:space="preserve">2.2.4.2 Provide technical assistance for developing the adjusted design and technical specificationsf or the integration of fish cultivation in the irrigated rice schemes </t>
  </si>
  <si>
    <t>Activity 3.1.3 Establish e-extension/out-reach system for fisheries and aquaculture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</si>
</sst>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quot;$&quot;* #,##0.00_);_(&quot;$&quot;* \(#,##0.00\);_(&quot;$&quot;* &quot;-&quot;??_);_(@_)"/>
    <numFmt numFmtId="43" formatCode="_(* #,##0.00_);_(* \(#,##0.00\);_(* &quot;-&quot;??_);_(@_)"/>
    <numFmt numFmtId="164" formatCode="_-* #,##0.00_-;\-* #,##0.00_-;_-* &quot;-&quot;??_-;_-@_-"/>
    <numFmt numFmtId="165" formatCode="_(* #,##0_);_(* \(#,##0\);_(* &quot;-&quot;??_);_(@_)"/>
    <numFmt numFmtId="166" formatCode="#,##0.0"/>
    <numFmt numFmtId="167" formatCode="#,##0.000"/>
    <numFmt numFmtId="168" formatCode="_(* #,##0.000000_);_(* \(#,##0.000000\);_(* &quot;-&quot;??_);_(@_)"/>
    <numFmt numFmtId="169" formatCode="#,##0.000000"/>
    <numFmt numFmtId="170" formatCode="_ * #,##0_ ;_ * \-#,##0_ ;_ * &quot;-&quot;_ ;_ @_ "/>
    <numFmt numFmtId="171" formatCode="0.000"/>
  </numFmts>
  <fonts count="38" x14ac:knownFonts="1">
    <font>
      <sz val="11"/>
      <color theme="1"/>
      <name val="Calibri"/>
      <family val="2"/>
      <scheme val="minor"/>
    </font>
    <font>
      <b/>
      <sz val="14"/>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4"/>
      <color theme="1"/>
      <name val="Calibri"/>
      <family val="2"/>
      <scheme val="minor"/>
    </font>
    <font>
      <b/>
      <sz val="11"/>
      <color rgb="FFFF0000"/>
      <name val="Calibri"/>
      <family val="2"/>
      <scheme val="minor"/>
    </font>
    <font>
      <sz val="10"/>
      <name val="Tahoma"/>
      <family val="2"/>
    </font>
    <font>
      <sz val="10"/>
      <color rgb="FFFF0000"/>
      <name val="Tahoma"/>
      <family val="2"/>
    </font>
    <font>
      <b/>
      <sz val="10"/>
      <name val="Tahoma"/>
      <family val="2"/>
    </font>
    <font>
      <b/>
      <u/>
      <sz val="11"/>
      <color theme="1"/>
      <name val="Calibri"/>
      <family val="2"/>
      <scheme val="minor"/>
    </font>
    <font>
      <sz val="11"/>
      <name val="Calibri"/>
      <family val="2"/>
      <scheme val="minor"/>
    </font>
    <font>
      <b/>
      <sz val="9"/>
      <color rgb="FF24634F"/>
      <name val="Arial"/>
      <family val="2"/>
    </font>
    <font>
      <sz val="10"/>
      <color theme="1"/>
      <name val="Arial"/>
      <family val="2"/>
    </font>
    <font>
      <sz val="9"/>
      <color theme="1"/>
      <name val="Arial"/>
      <family val="2"/>
    </font>
    <font>
      <sz val="9"/>
      <color rgb="FF808080"/>
      <name val="Arial"/>
      <family val="2"/>
    </font>
    <font>
      <b/>
      <sz val="9"/>
      <color theme="1"/>
      <name val="Arial"/>
      <family val="2"/>
    </font>
    <font>
      <sz val="12"/>
      <color theme="1"/>
      <name val="Calibri"/>
      <family val="2"/>
      <scheme val="minor"/>
    </font>
    <font>
      <b/>
      <sz val="12"/>
      <name val="Calibri"/>
      <family val="2"/>
      <scheme val="minor"/>
    </font>
    <font>
      <b/>
      <sz val="11"/>
      <name val="Calibri"/>
      <family val="2"/>
      <scheme val="minor"/>
    </font>
    <font>
      <b/>
      <u/>
      <sz val="11"/>
      <name val="Calibri"/>
      <family val="2"/>
      <scheme val="minor"/>
    </font>
    <font>
      <sz val="11"/>
      <name val="Calibri"/>
      <family val="2"/>
    </font>
    <font>
      <b/>
      <strike/>
      <sz val="11"/>
      <name val="Calibri"/>
      <family val="2"/>
      <scheme val="minor"/>
    </font>
    <font>
      <strike/>
      <sz val="11"/>
      <name val="Calibri"/>
      <family val="2"/>
      <scheme val="minor"/>
    </font>
    <font>
      <sz val="14"/>
      <color theme="0"/>
      <name val="Calibri"/>
      <family val="2"/>
      <scheme val="minor"/>
    </font>
    <font>
      <b/>
      <sz val="14"/>
      <color theme="0"/>
      <name val="Calibri"/>
      <family val="2"/>
      <scheme val="minor"/>
    </font>
    <font>
      <sz val="10"/>
      <color rgb="FF000000"/>
      <name val="Times New Roman"/>
      <family val="1"/>
    </font>
    <font>
      <b/>
      <sz val="12"/>
      <color theme="1"/>
      <name val="Arial"/>
      <family val="2"/>
    </font>
    <font>
      <sz val="12"/>
      <color theme="1"/>
      <name val="Arial"/>
      <family val="2"/>
    </font>
    <font>
      <b/>
      <sz val="10"/>
      <color theme="1"/>
      <name val="Arial"/>
      <family val="2"/>
    </font>
    <font>
      <b/>
      <sz val="14"/>
      <color indexed="81"/>
      <name val="Tahoma"/>
      <family val="2"/>
    </font>
    <font>
      <sz val="14"/>
      <color indexed="81"/>
      <name val="Tahoma"/>
      <family val="2"/>
    </font>
    <font>
      <b/>
      <sz val="16"/>
      <color rgb="FFFF0000"/>
      <name val="Calibri"/>
      <family val="2"/>
      <scheme val="minor"/>
    </font>
    <font>
      <sz val="10"/>
      <color rgb="FF002060"/>
      <name val="Arial"/>
      <family val="2"/>
    </font>
    <font>
      <b/>
      <sz val="16"/>
      <name val="Calibri"/>
      <family val="2"/>
      <scheme val="minor"/>
    </font>
    <font>
      <b/>
      <sz val="14"/>
      <name val="Calibri"/>
      <family val="2"/>
      <scheme val="minor"/>
    </font>
    <font>
      <sz val="8"/>
      <name val="Calibri"/>
      <family val="2"/>
      <scheme val="minor"/>
    </font>
  </fonts>
  <fills count="21">
    <fill>
      <patternFill patternType="none"/>
    </fill>
    <fill>
      <patternFill patternType="gray125"/>
    </fill>
    <fill>
      <patternFill patternType="solid">
        <fgColor theme="4" tint="0.39997558519241921"/>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00FFFF"/>
        <bgColor indexed="64"/>
      </patternFill>
    </fill>
    <fill>
      <patternFill patternType="solid">
        <fgColor rgb="FFD9D9D9"/>
        <bgColor indexed="64"/>
      </patternFill>
    </fill>
    <fill>
      <patternFill patternType="solid">
        <fgColor rgb="FFFFFF00"/>
        <bgColor indexed="64"/>
      </patternFill>
    </fill>
    <fill>
      <patternFill patternType="solid">
        <fgColor theme="9" tint="-0.249977111117893"/>
        <bgColor indexed="64"/>
      </patternFill>
    </fill>
    <fill>
      <patternFill patternType="solid">
        <fgColor rgb="FF92D050"/>
        <bgColor indexed="64"/>
      </patternFill>
    </fill>
    <fill>
      <patternFill patternType="solid">
        <fgColor theme="7"/>
        <bgColor indexed="64"/>
      </patternFill>
    </fill>
    <fill>
      <patternFill patternType="solid">
        <fgColor rgb="FF00B050"/>
        <bgColor indexed="64"/>
      </patternFill>
    </fill>
    <fill>
      <patternFill patternType="solid">
        <fgColor rgb="FF00B0F0"/>
        <bgColor indexed="64"/>
      </patternFill>
    </fill>
    <fill>
      <patternFill patternType="solid">
        <fgColor theme="4" tint="0.59999389629810485"/>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left/>
      <right/>
      <top style="thin">
        <color indexed="64"/>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style="thin">
        <color theme="0" tint="-0.14999847407452621"/>
      </right>
      <top style="medium">
        <color theme="0" tint="-0.14999847407452621"/>
      </top>
      <bottom style="thin">
        <color theme="0" tint="-0.14999847407452621"/>
      </bottom>
      <diagonal/>
    </border>
    <border>
      <left style="thin">
        <color theme="0" tint="-0.14999847407452621"/>
      </left>
      <right style="medium">
        <color theme="0" tint="-0.14999847407452621"/>
      </right>
      <top style="medium">
        <color theme="0" tint="-0.14999847407452621"/>
      </top>
      <bottom style="thin">
        <color theme="0" tint="-0.14999847407452621"/>
      </bottom>
      <diagonal/>
    </border>
    <border>
      <left style="medium">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medium">
        <color theme="0" tint="-0.14999847407452621"/>
      </right>
      <top style="thin">
        <color theme="0" tint="-0.14999847407452621"/>
      </top>
      <bottom style="thin">
        <color theme="0" tint="-0.1499984740745262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theme="0" tint="-0.14999847407452621"/>
      </bottom>
      <diagonal/>
    </border>
    <border>
      <left/>
      <right/>
      <top style="thin">
        <color theme="0" tint="-0.14999847407452621"/>
      </top>
      <bottom style="thin">
        <color theme="0" tint="-0.14999847407452621"/>
      </bottom>
      <diagonal/>
    </border>
    <border>
      <left style="thin">
        <color theme="0" tint="-0.14999847407452621"/>
      </left>
      <right/>
      <top/>
      <bottom style="thin">
        <color theme="0" tint="-0.14999847407452621"/>
      </bottom>
      <diagonal/>
    </border>
    <border>
      <left/>
      <right style="medium">
        <color theme="0" tint="-0.14999847407452621"/>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bottom/>
      <diagonal/>
    </border>
    <border>
      <left/>
      <right style="medium">
        <color theme="0" tint="-0.14999847407452621"/>
      </right>
      <top/>
      <bottom/>
      <diagonal/>
    </border>
    <border>
      <left/>
      <right style="medium">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medium">
        <color theme="0" tint="-0.14999847407452621"/>
      </right>
      <top style="thin">
        <color theme="0" tint="-0.14999847407452621"/>
      </top>
      <bottom/>
      <diagonal/>
    </border>
    <border>
      <left style="thin">
        <color theme="0" tint="-0.14999847407452621"/>
      </left>
      <right/>
      <top style="thin">
        <color indexed="64"/>
      </top>
      <bottom/>
      <diagonal/>
    </border>
    <border>
      <left/>
      <right style="medium">
        <color theme="0" tint="-0.14999847407452621"/>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theme="0" tint="-0.14999847407452621"/>
      </left>
      <right style="thin">
        <color theme="0" tint="-0.14999847407452621"/>
      </right>
      <top/>
      <bottom/>
      <diagonal/>
    </border>
    <border>
      <left/>
      <right style="thin">
        <color theme="0" tint="-0.14999847407452621"/>
      </right>
      <top style="thin">
        <color theme="0" tint="-0.14999847407452621"/>
      </top>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theme="0" tint="-0.14999847407452621"/>
      </right>
      <top style="medium">
        <color theme="0" tint="-0.14999847407452621"/>
      </top>
      <bottom style="thin">
        <color theme="0" tint="-0.14999847407452621"/>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theme="0" tint="-0.14999847407452621"/>
      </left>
      <right/>
      <top style="medium">
        <color indexed="64"/>
      </top>
      <bottom style="thin">
        <color theme="0" tint="-0.14999847407452621"/>
      </bottom>
      <diagonal/>
    </border>
    <border>
      <left/>
      <right/>
      <top style="medium">
        <color indexed="64"/>
      </top>
      <bottom style="thin">
        <color theme="0" tint="-0.14999847407452621"/>
      </bottom>
      <diagonal/>
    </border>
    <border>
      <left/>
      <right style="medium">
        <color theme="0" tint="-0.14999847407452621"/>
      </right>
      <top style="medium">
        <color indexed="64"/>
      </top>
      <bottom style="thin">
        <color theme="0" tint="-0.14999847407452621"/>
      </bottom>
      <diagonal/>
    </border>
    <border>
      <left style="medium">
        <color indexed="64"/>
      </left>
      <right style="thin">
        <color indexed="64"/>
      </right>
      <top style="thin">
        <color indexed="64"/>
      </top>
      <bottom/>
      <diagonal/>
    </border>
  </borders>
  <cellStyleXfs count="12">
    <xf numFmtId="0" fontId="0" fillId="0" borderId="0"/>
    <xf numFmtId="43" fontId="2" fillId="0" borderId="0" applyFont="0" applyFill="0" applyBorder="0" applyAlignment="0" applyProtection="0"/>
    <xf numFmtId="9" fontId="2" fillId="0" borderId="0" applyFont="0" applyFill="0" applyBorder="0" applyAlignment="0" applyProtection="0"/>
    <xf numFmtId="0" fontId="18" fillId="0" borderId="0"/>
    <xf numFmtId="9" fontId="18" fillId="0" borderId="0" applyFont="0" applyFill="0" applyBorder="0" applyAlignment="0" applyProtection="0"/>
    <xf numFmtId="170" fontId="2" fillId="0" borderId="0" applyFont="0" applyFill="0" applyBorder="0" applyAlignment="0" applyProtection="0"/>
    <xf numFmtId="0" fontId="2" fillId="0" borderId="0"/>
    <xf numFmtId="0" fontId="27"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cellStyleXfs>
  <cellXfs count="621">
    <xf numFmtId="0" fontId="0" fillId="0" borderId="0" xfId="0"/>
    <xf numFmtId="0" fontId="0" fillId="0" borderId="1" xfId="0" applyBorder="1"/>
    <xf numFmtId="0" fontId="1" fillId="0" borderId="0" xfId="0" applyFont="1"/>
    <xf numFmtId="0" fontId="0" fillId="0" borderId="0" xfId="0" applyAlignment="1">
      <alignment horizontal="center"/>
    </xf>
    <xf numFmtId="0" fontId="3" fillId="5" borderId="0" xfId="0" applyFont="1" applyFill="1" applyAlignment="1">
      <alignment horizontal="center"/>
    </xf>
    <xf numFmtId="0" fontId="3" fillId="5" borderId="1" xfId="0" applyFont="1" applyFill="1" applyBorder="1" applyAlignment="1">
      <alignment horizontal="center"/>
    </xf>
    <xf numFmtId="0" fontId="5" fillId="0" borderId="1" xfId="0" applyFont="1" applyBorder="1" applyAlignment="1">
      <alignment horizontal="center"/>
    </xf>
    <xf numFmtId="0" fontId="0" fillId="6" borderId="1" xfId="0" applyFill="1" applyBorder="1"/>
    <xf numFmtId="0" fontId="5" fillId="7" borderId="1" xfId="0" applyFont="1" applyFill="1" applyBorder="1" applyAlignment="1">
      <alignment horizontal="center"/>
    </xf>
    <xf numFmtId="0" fontId="0" fillId="7" borderId="0" xfId="0" applyFill="1"/>
    <xf numFmtId="0" fontId="0" fillId="8" borderId="1" xfId="0" applyFill="1" applyBorder="1"/>
    <xf numFmtId="0" fontId="0" fillId="9" borderId="0" xfId="0" applyFill="1"/>
    <xf numFmtId="4" fontId="0" fillId="9" borderId="1" xfId="0" applyNumberFormat="1" applyFill="1" applyBorder="1"/>
    <xf numFmtId="0" fontId="0" fillId="7" borderId="1" xfId="0" applyFill="1" applyBorder="1"/>
    <xf numFmtId="4" fontId="4" fillId="9" borderId="1" xfId="0" applyNumberFormat="1" applyFont="1" applyFill="1" applyBorder="1"/>
    <xf numFmtId="0" fontId="0" fillId="7" borderId="1" xfId="0" applyFill="1" applyBorder="1" applyAlignment="1">
      <alignment horizontal="center"/>
    </xf>
    <xf numFmtId="0" fontId="7" fillId="7" borderId="1" xfId="0" applyFont="1" applyFill="1" applyBorder="1" applyAlignment="1">
      <alignment horizontal="center"/>
    </xf>
    <xf numFmtId="0" fontId="0" fillId="10" borderId="0" xfId="0" applyFill="1"/>
    <xf numFmtId="0" fontId="0" fillId="10" borderId="1" xfId="0" applyFill="1" applyBorder="1"/>
    <xf numFmtId="0" fontId="4" fillId="10" borderId="1" xfId="0" applyFont="1" applyFill="1" applyBorder="1"/>
    <xf numFmtId="0" fontId="8" fillId="10" borderId="1" xfId="0" applyFont="1" applyFill="1" applyBorder="1" applyAlignment="1">
      <alignment horizontal="left"/>
    </xf>
    <xf numFmtId="0" fontId="0" fillId="7" borderId="5" xfId="0" applyFill="1" applyBorder="1"/>
    <xf numFmtId="43" fontId="8" fillId="7" borderId="1" xfId="1" applyFont="1" applyFill="1" applyBorder="1" applyAlignment="1">
      <alignment horizontal="center"/>
    </xf>
    <xf numFmtId="0" fontId="9" fillId="10" borderId="1" xfId="0" applyFont="1" applyFill="1" applyBorder="1" applyAlignment="1">
      <alignment horizontal="left"/>
    </xf>
    <xf numFmtId="0" fontId="0" fillId="11" borderId="0" xfId="0" applyFill="1"/>
    <xf numFmtId="0" fontId="8" fillId="11" borderId="1" xfId="0" applyFont="1" applyFill="1" applyBorder="1" applyAlignment="1">
      <alignment horizontal="left"/>
    </xf>
    <xf numFmtId="0" fontId="4" fillId="11" borderId="1" xfId="0" applyFont="1" applyFill="1" applyBorder="1"/>
    <xf numFmtId="0" fontId="9" fillId="11" borderId="1" xfId="0" applyFont="1" applyFill="1" applyBorder="1" applyAlignment="1">
      <alignment horizontal="left"/>
    </xf>
    <xf numFmtId="0" fontId="7" fillId="0" borderId="1" xfId="0" applyFont="1" applyBorder="1" applyAlignment="1">
      <alignment horizontal="center"/>
    </xf>
    <xf numFmtId="0" fontId="0" fillId="12" borderId="1" xfId="0" applyFill="1" applyBorder="1"/>
    <xf numFmtId="0" fontId="11" fillId="0" borderId="0" xfId="0" applyFont="1" applyAlignment="1">
      <alignment horizontal="center"/>
    </xf>
    <xf numFmtId="0" fontId="5" fillId="0" borderId="0" xfId="0" applyFont="1"/>
    <xf numFmtId="0" fontId="0" fillId="0" borderId="6" xfId="0" applyBorder="1"/>
    <xf numFmtId="0" fontId="0" fillId="0" borderId="7" xfId="0" applyBorder="1"/>
    <xf numFmtId="0" fontId="0" fillId="0" borderId="7" xfId="0" applyBorder="1" applyAlignment="1">
      <alignment horizontal="center"/>
    </xf>
    <xf numFmtId="3" fontId="0" fillId="0" borderId="7" xfId="0" applyNumberFormat="1" applyBorder="1" applyAlignment="1">
      <alignment horizontal="center"/>
    </xf>
    <xf numFmtId="3" fontId="5" fillId="0" borderId="8" xfId="0" applyNumberFormat="1" applyFont="1" applyBorder="1" applyAlignment="1">
      <alignment horizontal="center"/>
    </xf>
    <xf numFmtId="3" fontId="5" fillId="0" borderId="9" xfId="0" applyNumberFormat="1" applyFont="1" applyBorder="1" applyAlignment="1">
      <alignment horizontal="center"/>
    </xf>
    <xf numFmtId="3" fontId="5" fillId="0" borderId="10" xfId="0" applyNumberFormat="1" applyFont="1" applyBorder="1" applyAlignment="1">
      <alignment horizontal="center"/>
    </xf>
    <xf numFmtId="0" fontId="0" fillId="0" borderId="11" xfId="0" applyBorder="1"/>
    <xf numFmtId="3" fontId="0" fillId="0" borderId="0" xfId="0" applyNumberFormat="1" applyAlignment="1">
      <alignment horizontal="center"/>
    </xf>
    <xf numFmtId="0" fontId="0" fillId="0" borderId="12" xfId="0" applyBorder="1" applyAlignment="1">
      <alignment horizontal="center"/>
    </xf>
    <xf numFmtId="3" fontId="0" fillId="0" borderId="12" xfId="0" applyNumberFormat="1" applyBorder="1" applyAlignment="1">
      <alignment horizontal="center"/>
    </xf>
    <xf numFmtId="0" fontId="0" fillId="0" borderId="12" xfId="0" applyBorder="1"/>
    <xf numFmtId="4" fontId="0" fillId="0" borderId="0" xfId="0" applyNumberFormat="1" applyAlignment="1">
      <alignment horizontal="center"/>
    </xf>
    <xf numFmtId="0" fontId="0" fillId="0" borderId="13" xfId="0" applyBorder="1"/>
    <xf numFmtId="0" fontId="0" fillId="0" borderId="14" xfId="0" applyBorder="1"/>
    <xf numFmtId="0" fontId="0" fillId="0" borderId="14" xfId="0" applyBorder="1" applyAlignment="1">
      <alignment horizontal="center"/>
    </xf>
    <xf numFmtId="3" fontId="0" fillId="0" borderId="14" xfId="0" applyNumberFormat="1" applyBorder="1" applyAlignment="1">
      <alignment horizontal="center"/>
    </xf>
    <xf numFmtId="3" fontId="0" fillId="0" borderId="15" xfId="0" applyNumberFormat="1" applyBorder="1" applyAlignment="1">
      <alignment horizontal="center"/>
    </xf>
    <xf numFmtId="3" fontId="5" fillId="0" borderId="16" xfId="0" applyNumberFormat="1" applyFont="1" applyBorder="1" applyAlignment="1">
      <alignment horizontal="center"/>
    </xf>
    <xf numFmtId="3" fontId="0" fillId="0" borderId="0" xfId="0" applyNumberFormat="1"/>
    <xf numFmtId="0" fontId="12" fillId="0" borderId="11" xfId="0" applyFont="1" applyBorder="1"/>
    <xf numFmtId="0" fontId="12" fillId="0" borderId="0" xfId="0" applyFont="1"/>
    <xf numFmtId="0" fontId="12" fillId="0" borderId="0" xfId="0" applyFont="1" applyAlignment="1">
      <alignment horizontal="center"/>
    </xf>
    <xf numFmtId="3" fontId="12" fillId="0" borderId="0" xfId="0" applyNumberFormat="1" applyFont="1" applyAlignment="1">
      <alignment horizontal="center"/>
    </xf>
    <xf numFmtId="3" fontId="12" fillId="0" borderId="12" xfId="0" applyNumberFormat="1" applyFont="1" applyBorder="1" applyAlignment="1">
      <alignment horizontal="center"/>
    </xf>
    <xf numFmtId="0" fontId="0" fillId="0" borderId="0" xfId="0" applyAlignment="1">
      <alignment horizontal="left"/>
    </xf>
    <xf numFmtId="0" fontId="13" fillId="13" borderId="38" xfId="0" applyFont="1" applyFill="1" applyBorder="1" applyAlignment="1">
      <alignment vertical="center" wrapText="1"/>
    </xf>
    <xf numFmtId="0" fontId="14" fillId="13" borderId="12" xfId="0" applyFont="1" applyFill="1" applyBorder="1" applyAlignment="1">
      <alignment vertical="center" wrapText="1"/>
    </xf>
    <xf numFmtId="0" fontId="0" fillId="13" borderId="15" xfId="0" applyFill="1" applyBorder="1" applyAlignment="1">
      <alignment vertical="top" wrapText="1"/>
    </xf>
    <xf numFmtId="0" fontId="13" fillId="13" borderId="12" xfId="0" applyFont="1" applyFill="1" applyBorder="1" applyAlignment="1">
      <alignment horizontal="center" vertical="center" wrapText="1"/>
    </xf>
    <xf numFmtId="0" fontId="14" fillId="13" borderId="15" xfId="0" applyFont="1" applyFill="1" applyBorder="1" applyAlignment="1">
      <alignment horizontal="center" vertical="center" wrapText="1"/>
    </xf>
    <xf numFmtId="0" fontId="17" fillId="0" borderId="15" xfId="0" applyFont="1" applyBorder="1" applyAlignment="1">
      <alignment vertical="center" wrapText="1"/>
    </xf>
    <xf numFmtId="0" fontId="16" fillId="0" borderId="15" xfId="0" applyFont="1" applyBorder="1" applyAlignment="1">
      <alignment horizontal="center" vertical="center" wrapText="1"/>
    </xf>
    <xf numFmtId="0" fontId="15" fillId="0" borderId="15" xfId="0" applyFont="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0" fillId="2" borderId="9" xfId="0" applyFill="1" applyBorder="1" applyAlignment="1">
      <alignment horizontal="left" vertical="center" wrapText="1"/>
    </xf>
    <xf numFmtId="0" fontId="0" fillId="2" borderId="10" xfId="0" applyFill="1" applyBorder="1" applyAlignment="1">
      <alignment horizontal="center" vertical="center" wrapText="1"/>
    </xf>
    <xf numFmtId="0" fontId="4" fillId="14" borderId="0" xfId="0" applyFont="1" applyFill="1" applyAlignment="1">
      <alignment horizontal="center"/>
    </xf>
    <xf numFmtId="0" fontId="0" fillId="0" borderId="45" xfId="0" applyBorder="1" applyAlignment="1">
      <alignment horizontal="center" wrapText="1"/>
    </xf>
    <xf numFmtId="0" fontId="12" fillId="0" borderId="45" xfId="0" applyFont="1" applyBorder="1"/>
    <xf numFmtId="0" fontId="12" fillId="0" borderId="45" xfId="0" applyFont="1" applyBorder="1" applyAlignment="1">
      <alignment horizontal="center" wrapText="1"/>
    </xf>
    <xf numFmtId="0" fontId="4" fillId="0" borderId="59" xfId="0" applyFont="1" applyBorder="1"/>
    <xf numFmtId="0" fontId="0" fillId="0" borderId="46" xfId="0" applyBorder="1" applyAlignment="1">
      <alignment horizontal="left" wrapText="1"/>
    </xf>
    <xf numFmtId="0" fontId="0" fillId="0" borderId="56" xfId="0" applyBorder="1" applyAlignment="1">
      <alignment horizontal="left" wrapText="1"/>
    </xf>
    <xf numFmtId="0" fontId="21" fillId="0" borderId="0" xfId="0" applyFont="1"/>
    <xf numFmtId="0" fontId="0" fillId="16" borderId="0" xfId="0" applyFill="1"/>
    <xf numFmtId="3" fontId="0" fillId="16" borderId="0" xfId="0" applyNumberFormat="1" applyFill="1" applyAlignment="1">
      <alignment horizontal="center"/>
    </xf>
    <xf numFmtId="165" fontId="5" fillId="0" borderId="50" xfId="1" applyNumberFormat="1" applyFont="1" applyBorder="1"/>
    <xf numFmtId="165" fontId="20" fillId="0" borderId="50" xfId="1" applyNumberFormat="1" applyFont="1" applyBorder="1"/>
    <xf numFmtId="0" fontId="12" fillId="0" borderId="59" xfId="0" applyFont="1" applyBorder="1"/>
    <xf numFmtId="0" fontId="0" fillId="6" borderId="59" xfId="0" applyFill="1" applyBorder="1"/>
    <xf numFmtId="0" fontId="0" fillId="6" borderId="45" xfId="0" applyFill="1" applyBorder="1"/>
    <xf numFmtId="0" fontId="0" fillId="6" borderId="0" xfId="0" applyFill="1"/>
    <xf numFmtId="3" fontId="16" fillId="0" borderId="15" xfId="0" applyNumberFormat="1" applyFont="1" applyBorder="1" applyAlignment="1">
      <alignment horizontal="center" vertical="center" wrapText="1"/>
    </xf>
    <xf numFmtId="168" fontId="16" fillId="0" borderId="15" xfId="0" applyNumberFormat="1" applyFont="1" applyBorder="1" applyAlignment="1">
      <alignment horizontal="center" vertical="center" wrapText="1"/>
    </xf>
    <xf numFmtId="169" fontId="16" fillId="0" borderId="15" xfId="0" applyNumberFormat="1" applyFont="1" applyBorder="1" applyAlignment="1">
      <alignment horizontal="center" vertical="center" wrapText="1"/>
    </xf>
    <xf numFmtId="165" fontId="4" fillId="0" borderId="45" xfId="1" applyNumberFormat="1" applyFont="1" applyBorder="1"/>
    <xf numFmtId="0" fontId="12" fillId="0" borderId="4" xfId="0" applyFont="1" applyBorder="1" applyAlignment="1">
      <alignment horizontal="left"/>
    </xf>
    <xf numFmtId="165" fontId="12" fillId="0" borderId="4" xfId="1" applyNumberFormat="1" applyFont="1" applyBorder="1" applyAlignment="1">
      <alignment horizontal="left" vertical="center"/>
    </xf>
    <xf numFmtId="165" fontId="12" fillId="0" borderId="27" xfId="1" applyNumberFormat="1" applyFont="1" applyBorder="1" applyAlignment="1">
      <alignment horizontal="center"/>
    </xf>
    <xf numFmtId="165" fontId="12" fillId="0" borderId="1" xfId="1" applyNumberFormat="1" applyFont="1" applyBorder="1" applyAlignment="1">
      <alignment horizontal="left" vertical="center"/>
    </xf>
    <xf numFmtId="165" fontId="12" fillId="0" borderId="25" xfId="1" applyNumberFormat="1" applyFont="1" applyBorder="1" applyAlignment="1">
      <alignment horizontal="center"/>
    </xf>
    <xf numFmtId="0" fontId="12" fillId="0" borderId="81" xfId="0" applyFont="1" applyBorder="1" applyAlignment="1">
      <alignment horizontal="left"/>
    </xf>
    <xf numFmtId="0" fontId="12" fillId="0" borderId="40" xfId="0" applyFont="1" applyBorder="1" applyAlignment="1">
      <alignment horizontal="left"/>
    </xf>
    <xf numFmtId="0" fontId="12" fillId="0" borderId="22" xfId="0" applyFont="1" applyBorder="1" applyAlignment="1">
      <alignment horizontal="left"/>
    </xf>
    <xf numFmtId="165" fontId="12" fillId="0" borderId="22" xfId="1" applyNumberFormat="1" applyFont="1" applyBorder="1" applyAlignment="1">
      <alignment horizontal="left" vertical="center"/>
    </xf>
    <xf numFmtId="165" fontId="12" fillId="0" borderId="23" xfId="1" applyNumberFormat="1" applyFont="1" applyBorder="1" applyAlignment="1">
      <alignment horizontal="center"/>
    </xf>
    <xf numFmtId="0" fontId="12" fillId="0" borderId="0" xfId="0" applyFont="1" applyAlignment="1">
      <alignment horizontal="left"/>
    </xf>
    <xf numFmtId="0" fontId="12" fillId="0" borderId="19" xfId="0" applyFont="1" applyBorder="1" applyAlignment="1">
      <alignment horizontal="left"/>
    </xf>
    <xf numFmtId="0" fontId="20" fillId="0" borderId="8" xfId="0" applyFont="1" applyBorder="1" applyAlignment="1">
      <alignment horizontal="left"/>
    </xf>
    <xf numFmtId="0" fontId="20" fillId="0" borderId="9" xfId="0" applyFont="1" applyBorder="1" applyAlignment="1">
      <alignment horizontal="left"/>
    </xf>
    <xf numFmtId="165" fontId="20" fillId="0" borderId="9" xfId="1" applyNumberFormat="1" applyFont="1" applyBorder="1" applyAlignment="1">
      <alignment horizontal="left"/>
    </xf>
    <xf numFmtId="165" fontId="20" fillId="0" borderId="10" xfId="1" applyNumberFormat="1" applyFont="1" applyBorder="1" applyAlignment="1">
      <alignment horizontal="left"/>
    </xf>
    <xf numFmtId="165" fontId="12" fillId="0" borderId="4" xfId="1" applyNumberFormat="1" applyFont="1" applyBorder="1" applyAlignment="1">
      <alignment horizontal="left"/>
    </xf>
    <xf numFmtId="165" fontId="12" fillId="0" borderId="27" xfId="1" applyNumberFormat="1" applyFont="1" applyBorder="1" applyAlignment="1">
      <alignment horizontal="left"/>
    </xf>
    <xf numFmtId="165" fontId="12" fillId="0" borderId="1" xfId="1" applyNumberFormat="1" applyFont="1" applyBorder="1" applyAlignment="1">
      <alignment horizontal="left"/>
    </xf>
    <xf numFmtId="165" fontId="12" fillId="0" borderId="25" xfId="1" applyNumberFormat="1" applyFont="1" applyBorder="1" applyAlignment="1">
      <alignment horizontal="left"/>
    </xf>
    <xf numFmtId="165" fontId="12" fillId="0" borderId="22" xfId="1" applyNumberFormat="1" applyFont="1" applyBorder="1" applyAlignment="1">
      <alignment horizontal="left"/>
    </xf>
    <xf numFmtId="165" fontId="12" fillId="0" borderId="23" xfId="1" applyNumberFormat="1" applyFont="1" applyBorder="1" applyAlignment="1">
      <alignment horizontal="left"/>
    </xf>
    <xf numFmtId="0" fontId="12" fillId="0" borderId="1" xfId="0" applyFont="1" applyBorder="1" applyAlignment="1">
      <alignment horizontal="left" wrapText="1"/>
    </xf>
    <xf numFmtId="0" fontId="20" fillId="2" borderId="6" xfId="0" applyFont="1" applyFill="1" applyBorder="1"/>
    <xf numFmtId="0" fontId="20" fillId="2" borderId="7" xfId="0" applyFont="1" applyFill="1" applyBorder="1"/>
    <xf numFmtId="0" fontId="20" fillId="2" borderId="13" xfId="0" applyFont="1" applyFill="1" applyBorder="1"/>
    <xf numFmtId="0" fontId="20" fillId="2" borderId="14" xfId="0" applyFont="1" applyFill="1" applyBorder="1"/>
    <xf numFmtId="0" fontId="12" fillId="0" borderId="4" xfId="0" applyFont="1" applyBorder="1" applyAlignment="1">
      <alignment wrapText="1"/>
    </xf>
    <xf numFmtId="0" fontId="20" fillId="0" borderId="8" xfId="0" applyFont="1" applyBorder="1" applyAlignment="1">
      <alignment wrapText="1"/>
    </xf>
    <xf numFmtId="165" fontId="20" fillId="0" borderId="9" xfId="1" applyNumberFormat="1" applyFont="1" applyBorder="1" applyAlignment="1">
      <alignment wrapText="1"/>
    </xf>
    <xf numFmtId="165" fontId="20" fillId="0" borderId="10" xfId="1" applyNumberFormat="1" applyFont="1" applyBorder="1" applyAlignment="1">
      <alignment wrapText="1"/>
    </xf>
    <xf numFmtId="0" fontId="12" fillId="0" borderId="1" xfId="0" applyFont="1" applyBorder="1"/>
    <xf numFmtId="0" fontId="12" fillId="0" borderId="4" xfId="0" applyFont="1" applyBorder="1"/>
    <xf numFmtId="165" fontId="12" fillId="0" borderId="4" xfId="1" applyNumberFormat="1" applyFont="1" applyBorder="1" applyAlignment="1"/>
    <xf numFmtId="165" fontId="12" fillId="0" borderId="27" xfId="1" applyNumberFormat="1" applyFont="1" applyBorder="1" applyAlignment="1"/>
    <xf numFmtId="165" fontId="12" fillId="0" borderId="1" xfId="1" applyNumberFormat="1" applyFont="1" applyBorder="1" applyAlignment="1"/>
    <xf numFmtId="165" fontId="12" fillId="0" borderId="25" xfId="1" applyNumberFormat="1" applyFont="1" applyBorder="1" applyAlignment="1"/>
    <xf numFmtId="0" fontId="12" fillId="0" borderId="1" xfId="0" applyFont="1" applyBorder="1" applyAlignment="1">
      <alignment wrapText="1"/>
    </xf>
    <xf numFmtId="0" fontId="12" fillId="0" borderId="22" xfId="0" applyFont="1" applyBorder="1"/>
    <xf numFmtId="165" fontId="12" fillId="0" borderId="22" xfId="1" applyNumberFormat="1" applyFont="1" applyBorder="1" applyAlignment="1"/>
    <xf numFmtId="165" fontId="12" fillId="0" borderId="23" xfId="1" applyNumberFormat="1" applyFont="1" applyBorder="1" applyAlignment="1"/>
    <xf numFmtId="0" fontId="12" fillId="0" borderId="60" xfId="0" applyFont="1" applyBorder="1" applyAlignment="1">
      <alignment horizontal="left"/>
    </xf>
    <xf numFmtId="0" fontId="12" fillId="0" borderId="19" xfId="0" applyFont="1" applyBorder="1"/>
    <xf numFmtId="165" fontId="20" fillId="0" borderId="8" xfId="1" applyNumberFormat="1" applyFont="1" applyBorder="1" applyAlignment="1"/>
    <xf numFmtId="165" fontId="20" fillId="0" borderId="9" xfId="1" applyNumberFormat="1" applyFont="1" applyBorder="1" applyAlignment="1"/>
    <xf numFmtId="165" fontId="20" fillId="0" borderId="10" xfId="1" applyNumberFormat="1" applyFont="1" applyBorder="1" applyAlignment="1"/>
    <xf numFmtId="165" fontId="20" fillId="0" borderId="8" xfId="1" applyNumberFormat="1" applyFont="1" applyBorder="1" applyAlignment="1">
      <alignment wrapText="1"/>
    </xf>
    <xf numFmtId="0" fontId="20" fillId="0" borderId="81" xfId="0" applyFont="1" applyBorder="1" applyAlignment="1">
      <alignment horizontal="left" wrapText="1"/>
    </xf>
    <xf numFmtId="165" fontId="12" fillId="0" borderId="4" xfId="1" applyNumberFormat="1" applyFont="1" applyBorder="1" applyAlignment="1">
      <alignment wrapText="1"/>
    </xf>
    <xf numFmtId="165" fontId="12" fillId="0" borderId="27" xfId="1" applyNumberFormat="1" applyFont="1" applyBorder="1" applyAlignment="1">
      <alignment wrapText="1"/>
    </xf>
    <xf numFmtId="165" fontId="12" fillId="0" borderId="1" xfId="1" applyNumberFormat="1" applyFont="1" applyBorder="1" applyAlignment="1">
      <alignment wrapText="1"/>
    </xf>
    <xf numFmtId="165" fontId="12" fillId="0" borderId="25" xfId="1" applyNumberFormat="1" applyFont="1" applyBorder="1" applyAlignment="1">
      <alignment wrapText="1"/>
    </xf>
    <xf numFmtId="0" fontId="20" fillId="0" borderId="40" xfId="0" applyFont="1" applyBorder="1" applyAlignment="1">
      <alignment horizontal="left" wrapText="1"/>
    </xf>
    <xf numFmtId="0" fontId="12" fillId="0" borderId="22" xfId="0" applyFont="1" applyBorder="1" applyAlignment="1">
      <alignment wrapText="1"/>
    </xf>
    <xf numFmtId="165" fontId="12" fillId="0" borderId="22" xfId="1" applyNumberFormat="1" applyFont="1" applyBorder="1" applyAlignment="1">
      <alignment wrapText="1"/>
    </xf>
    <xf numFmtId="165" fontId="12" fillId="0" borderId="23" xfId="1" applyNumberFormat="1" applyFont="1" applyBorder="1" applyAlignment="1">
      <alignment wrapText="1"/>
    </xf>
    <xf numFmtId="0" fontId="20" fillId="0" borderId="0" xfId="0" applyFont="1" applyAlignment="1">
      <alignment horizontal="left" wrapText="1"/>
    </xf>
    <xf numFmtId="0" fontId="12" fillId="0" borderId="0" xfId="0" applyFont="1" applyAlignment="1">
      <alignment wrapText="1"/>
    </xf>
    <xf numFmtId="0" fontId="12" fillId="0" borderId="0" xfId="0" applyFont="1" applyAlignment="1">
      <alignment horizontal="center" wrapText="1"/>
    </xf>
    <xf numFmtId="0" fontId="12" fillId="0" borderId="19" xfId="0" applyFont="1" applyBorder="1" applyAlignment="1">
      <alignment wrapText="1"/>
    </xf>
    <xf numFmtId="0" fontId="20" fillId="0" borderId="9" xfId="0" applyFont="1" applyBorder="1" applyAlignment="1">
      <alignment wrapText="1"/>
    </xf>
    <xf numFmtId="0" fontId="12" fillId="0" borderId="22" xfId="0" applyFont="1" applyBorder="1" applyAlignment="1">
      <alignment horizontal="left" wrapText="1"/>
    </xf>
    <xf numFmtId="165" fontId="5" fillId="6" borderId="52" xfId="0" applyNumberFormat="1" applyFont="1" applyFill="1" applyBorder="1"/>
    <xf numFmtId="165" fontId="12" fillId="0" borderId="45" xfId="1" applyNumberFormat="1" applyFont="1" applyBorder="1"/>
    <xf numFmtId="0" fontId="12" fillId="0" borderId="51" xfId="0" applyFont="1" applyBorder="1"/>
    <xf numFmtId="0" fontId="12" fillId="0" borderId="74" xfId="0" applyFont="1" applyBorder="1"/>
    <xf numFmtId="165" fontId="12" fillId="0" borderId="49" xfId="1" applyNumberFormat="1" applyFont="1" applyFill="1" applyBorder="1"/>
    <xf numFmtId="165" fontId="20" fillId="0" borderId="50" xfId="1" applyNumberFormat="1" applyFont="1" applyFill="1" applyBorder="1"/>
    <xf numFmtId="165" fontId="12" fillId="0" borderId="45" xfId="1" applyNumberFormat="1" applyFont="1" applyFill="1" applyBorder="1"/>
    <xf numFmtId="165" fontId="20" fillId="0" borderId="52" xfId="1" applyNumberFormat="1" applyFont="1" applyBorder="1"/>
    <xf numFmtId="0" fontId="20" fillId="2" borderId="1" xfId="0" applyFont="1" applyFill="1" applyBorder="1" applyAlignment="1">
      <alignment horizontal="center" wrapText="1"/>
    </xf>
    <xf numFmtId="0" fontId="12" fillId="7" borderId="54" xfId="0" applyFont="1" applyFill="1" applyBorder="1" applyAlignment="1">
      <alignment horizontal="center"/>
    </xf>
    <xf numFmtId="0" fontId="12" fillId="7" borderId="1" xfId="0" applyFont="1" applyFill="1" applyBorder="1" applyAlignment="1">
      <alignment horizontal="center"/>
    </xf>
    <xf numFmtId="165" fontId="20" fillId="0" borderId="0" xfId="1" applyNumberFormat="1" applyFont="1"/>
    <xf numFmtId="0" fontId="12" fillId="7" borderId="1" xfId="0" applyFont="1" applyFill="1" applyBorder="1"/>
    <xf numFmtId="4" fontId="12" fillId="2" borderId="54" xfId="0" applyNumberFormat="1" applyFont="1" applyFill="1" applyBorder="1"/>
    <xf numFmtId="0" fontId="12" fillId="2" borderId="1" xfId="0" applyFont="1" applyFill="1" applyBorder="1" applyAlignment="1">
      <alignment horizontal="center"/>
    </xf>
    <xf numFmtId="0" fontId="12" fillId="2" borderId="1" xfId="0" applyFont="1" applyFill="1" applyBorder="1"/>
    <xf numFmtId="0" fontId="12" fillId="2" borderId="1" xfId="0" applyFont="1" applyFill="1" applyBorder="1" applyAlignment="1">
      <alignment horizontal="center" wrapText="1"/>
    </xf>
    <xf numFmtId="0" fontId="20" fillId="0" borderId="1" xfId="0" applyFont="1" applyBorder="1" applyAlignment="1">
      <alignment horizontal="center"/>
    </xf>
    <xf numFmtId="0" fontId="12" fillId="0" borderId="47" xfId="0" applyFont="1" applyBorder="1" applyAlignment="1">
      <alignment horizontal="center" wrapText="1"/>
    </xf>
    <xf numFmtId="165" fontId="12" fillId="0" borderId="0" xfId="1" applyNumberFormat="1" applyFont="1"/>
    <xf numFmtId="0" fontId="20" fillId="0" borderId="52" xfId="0" applyFont="1" applyBorder="1"/>
    <xf numFmtId="0" fontId="12" fillId="0" borderId="81" xfId="0" applyFont="1" applyBorder="1"/>
    <xf numFmtId="0" fontId="12" fillId="18" borderId="70" xfId="0" applyFont="1" applyFill="1" applyBorder="1" applyAlignment="1">
      <alignment horizontal="center" vertical="center" wrapText="1"/>
    </xf>
    <xf numFmtId="3" fontId="20" fillId="0" borderId="52" xfId="0" applyNumberFormat="1" applyFont="1" applyBorder="1"/>
    <xf numFmtId="165" fontId="20" fillId="0" borderId="52" xfId="0" applyNumberFormat="1" applyFont="1" applyBorder="1"/>
    <xf numFmtId="0" fontId="12" fillId="0" borderId="4" xfId="0" applyFont="1" applyBorder="1" applyAlignment="1">
      <alignment horizontal="left" wrapText="1"/>
    </xf>
    <xf numFmtId="165" fontId="20" fillId="0" borderId="8" xfId="1" applyNumberFormat="1" applyFont="1" applyBorder="1" applyAlignment="1">
      <alignment horizontal="left" wrapText="1"/>
    </xf>
    <xf numFmtId="165" fontId="20" fillId="0" borderId="9" xfId="1" applyNumberFormat="1" applyFont="1" applyBorder="1" applyAlignment="1">
      <alignment horizontal="left" wrapText="1"/>
    </xf>
    <xf numFmtId="165" fontId="20" fillId="0" borderId="10" xfId="1" applyNumberFormat="1" applyFont="1" applyBorder="1" applyAlignment="1">
      <alignment horizontal="left" wrapText="1"/>
    </xf>
    <xf numFmtId="0" fontId="12" fillId="0" borderId="81" xfId="0" applyFont="1" applyBorder="1" applyAlignment="1">
      <alignment horizontal="left" wrapText="1"/>
    </xf>
    <xf numFmtId="165" fontId="12" fillId="0" borderId="4" xfId="1" applyNumberFormat="1" applyFont="1" applyBorder="1" applyAlignment="1">
      <alignment horizontal="left" wrapText="1"/>
    </xf>
    <xf numFmtId="165" fontId="12" fillId="0" borderId="27" xfId="1" applyNumberFormat="1" applyFont="1" applyBorder="1" applyAlignment="1">
      <alignment horizontal="left" wrapText="1"/>
    </xf>
    <xf numFmtId="165" fontId="12" fillId="0" borderId="1" xfId="1" applyNumberFormat="1" applyFont="1" applyBorder="1" applyAlignment="1">
      <alignment horizontal="left" wrapText="1"/>
    </xf>
    <xf numFmtId="165" fontId="12" fillId="0" borderId="25" xfId="1" applyNumberFormat="1" applyFont="1" applyBorder="1" applyAlignment="1">
      <alignment horizontal="left" wrapText="1"/>
    </xf>
    <xf numFmtId="0" fontId="12" fillId="0" borderId="40" xfId="0" applyFont="1" applyBorder="1" applyAlignment="1">
      <alignment horizontal="left" wrapText="1"/>
    </xf>
    <xf numFmtId="165" fontId="12" fillId="0" borderId="22" xfId="1" applyNumberFormat="1" applyFont="1" applyBorder="1" applyAlignment="1">
      <alignment horizontal="left" wrapText="1"/>
    </xf>
    <xf numFmtId="165" fontId="12" fillId="0" borderId="23" xfId="1" applyNumberFormat="1" applyFont="1" applyBorder="1" applyAlignment="1">
      <alignment horizontal="left" wrapText="1"/>
    </xf>
    <xf numFmtId="165" fontId="12" fillId="0" borderId="51" xfId="1" applyNumberFormat="1" applyFont="1" applyBorder="1"/>
    <xf numFmtId="0" fontId="12" fillId="6" borderId="59" xfId="0" applyFont="1" applyFill="1" applyBorder="1"/>
    <xf numFmtId="0" fontId="12" fillId="6" borderId="45" xfId="0" applyFont="1" applyFill="1" applyBorder="1"/>
    <xf numFmtId="0" fontId="20" fillId="6" borderId="52" xfId="0" applyFont="1" applyFill="1" applyBorder="1"/>
    <xf numFmtId="165" fontId="20" fillId="6" borderId="0" xfId="1" applyNumberFormat="1" applyFont="1" applyFill="1"/>
    <xf numFmtId="0" fontId="12" fillId="6" borderId="0" xfId="0" applyFont="1" applyFill="1"/>
    <xf numFmtId="0" fontId="12" fillId="0" borderId="48" xfId="0" applyFont="1" applyBorder="1"/>
    <xf numFmtId="0" fontId="20" fillId="0" borderId="48" xfId="0" applyFont="1" applyBorder="1"/>
    <xf numFmtId="0" fontId="26" fillId="15" borderId="47" xfId="0" applyFont="1" applyFill="1" applyBorder="1" applyAlignment="1">
      <alignment vertical="center"/>
    </xf>
    <xf numFmtId="0" fontId="25" fillId="15" borderId="47" xfId="0" applyFont="1" applyFill="1" applyBorder="1" applyAlignment="1">
      <alignment vertical="center" wrapText="1"/>
    </xf>
    <xf numFmtId="0" fontId="6" fillId="6" borderId="59" xfId="0" applyFont="1" applyFill="1" applyBorder="1"/>
    <xf numFmtId="165" fontId="6" fillId="6" borderId="45" xfId="1" applyNumberFormat="1" applyFont="1" applyFill="1" applyBorder="1"/>
    <xf numFmtId="165" fontId="1" fillId="6" borderId="52" xfId="1" applyNumberFormat="1" applyFont="1" applyFill="1" applyBorder="1"/>
    <xf numFmtId="0" fontId="6" fillId="6" borderId="0" xfId="0" applyFont="1" applyFill="1"/>
    <xf numFmtId="0" fontId="6" fillId="0" borderId="0" xfId="0" applyFont="1"/>
    <xf numFmtId="165" fontId="12" fillId="0" borderId="0" xfId="0" applyNumberFormat="1" applyFont="1"/>
    <xf numFmtId="165" fontId="5" fillId="0" borderId="0" xfId="0" applyNumberFormat="1" applyFont="1"/>
    <xf numFmtId="165" fontId="12" fillId="0" borderId="52" xfId="1" applyNumberFormat="1" applyFont="1" applyBorder="1"/>
    <xf numFmtId="0" fontId="28" fillId="0" borderId="0" xfId="0" applyFont="1" applyAlignment="1">
      <alignment horizontal="left"/>
    </xf>
    <xf numFmtId="0" fontId="29" fillId="0" borderId="0" xfId="0" applyFont="1"/>
    <xf numFmtId="0" fontId="14" fillId="20" borderId="0" xfId="0" applyFont="1" applyFill="1" applyAlignment="1">
      <alignment horizontal="center"/>
    </xf>
    <xf numFmtId="0" fontId="14" fillId="0" borderId="0" xfId="0" applyFont="1" applyAlignment="1">
      <alignment horizontal="center"/>
    </xf>
    <xf numFmtId="3" fontId="14" fillId="0" borderId="0" xfId="0" applyNumberFormat="1" applyFont="1"/>
    <xf numFmtId="3" fontId="30" fillId="9" borderId="0" xfId="0" applyNumberFormat="1" applyFont="1" applyFill="1"/>
    <xf numFmtId="3" fontId="30" fillId="20" borderId="0" xfId="0" applyNumberFormat="1" applyFont="1" applyFill="1"/>
    <xf numFmtId="0" fontId="30" fillId="20" borderId="0" xfId="0" applyFont="1" applyFill="1" applyAlignment="1">
      <alignment horizontal="center" vertical="center"/>
    </xf>
    <xf numFmtId="164" fontId="12" fillId="0" borderId="0" xfId="0" applyNumberFormat="1" applyFont="1"/>
    <xf numFmtId="164" fontId="12" fillId="0" borderId="0" xfId="0" applyNumberFormat="1" applyFont="1" applyAlignment="1">
      <alignment horizontal="left"/>
    </xf>
    <xf numFmtId="164" fontId="20" fillId="0" borderId="0" xfId="1" applyNumberFormat="1" applyFont="1"/>
    <xf numFmtId="0" fontId="12" fillId="0" borderId="46" xfId="0" applyFont="1" applyBorder="1" applyAlignment="1">
      <alignment horizontal="center"/>
    </xf>
    <xf numFmtId="0" fontId="12" fillId="0" borderId="45" xfId="0" applyFont="1" applyBorder="1" applyAlignment="1">
      <alignment horizontal="center"/>
    </xf>
    <xf numFmtId="0" fontId="12" fillId="14" borderId="57" xfId="0" applyFont="1" applyFill="1" applyBorder="1"/>
    <xf numFmtId="0" fontId="12" fillId="14" borderId="46" xfId="0" applyFont="1" applyFill="1" applyBorder="1"/>
    <xf numFmtId="0" fontId="12" fillId="14" borderId="56" xfId="0" applyFont="1" applyFill="1" applyBorder="1"/>
    <xf numFmtId="0" fontId="12" fillId="14" borderId="62" xfId="0" applyFont="1" applyFill="1" applyBorder="1"/>
    <xf numFmtId="0" fontId="12" fillId="14" borderId="46" xfId="0" applyFont="1" applyFill="1" applyBorder="1" applyAlignment="1">
      <alignment horizontal="left"/>
    </xf>
    <xf numFmtId="0" fontId="12" fillId="0" borderId="55" xfId="0" applyFont="1" applyBorder="1"/>
    <xf numFmtId="0" fontId="12" fillId="0" borderId="58" xfId="0" applyFont="1" applyBorder="1"/>
    <xf numFmtId="0" fontId="12" fillId="14" borderId="45" xfId="0" applyFont="1" applyFill="1" applyBorder="1" applyAlignment="1">
      <alignment horizontal="center"/>
    </xf>
    <xf numFmtId="0" fontId="33" fillId="0" borderId="0" xfId="0" applyFont="1"/>
    <xf numFmtId="0" fontId="20" fillId="2" borderId="44" xfId="0" applyFont="1" applyFill="1" applyBorder="1" applyAlignment="1">
      <alignment horizontal="center" vertical="center" wrapText="1"/>
    </xf>
    <xf numFmtId="0" fontId="0" fillId="10" borderId="37" xfId="0" applyFill="1" applyBorder="1"/>
    <xf numFmtId="0" fontId="0" fillId="10" borderId="68" xfId="0" applyFill="1" applyBorder="1"/>
    <xf numFmtId="0" fontId="0" fillId="11" borderId="68" xfId="0" applyFill="1" applyBorder="1"/>
    <xf numFmtId="0" fontId="0" fillId="9" borderId="75" xfId="0" applyFill="1" applyBorder="1"/>
    <xf numFmtId="0" fontId="0" fillId="10" borderId="75" xfId="0" applyFill="1" applyBorder="1"/>
    <xf numFmtId="0" fontId="0" fillId="11" borderId="75" xfId="0" applyFill="1" applyBorder="1"/>
    <xf numFmtId="0" fontId="0" fillId="0" borderId="75" xfId="0" applyBorder="1"/>
    <xf numFmtId="0" fontId="0" fillId="2" borderId="0" xfId="0" applyFill="1" applyAlignment="1">
      <alignment horizontal="center" vertical="center" wrapText="1"/>
    </xf>
    <xf numFmtId="165" fontId="0" fillId="0" borderId="0" xfId="1" applyNumberFormat="1" applyFont="1"/>
    <xf numFmtId="0" fontId="30" fillId="17" borderId="0" xfId="0" applyFont="1" applyFill="1" applyAlignment="1">
      <alignment horizontal="left" vertical="top"/>
    </xf>
    <xf numFmtId="3" fontId="34" fillId="17" borderId="0" xfId="3" applyNumberFormat="1" applyFont="1" applyFill="1" applyAlignment="1">
      <alignment wrapText="1"/>
    </xf>
    <xf numFmtId="3" fontId="14" fillId="17" borderId="0" xfId="3" applyNumberFormat="1" applyFont="1" applyFill="1" applyAlignment="1">
      <alignment wrapText="1"/>
    </xf>
    <xf numFmtId="0" fontId="30" fillId="17" borderId="0" xfId="3" applyFont="1" applyFill="1" applyAlignment="1">
      <alignment horizontal="left" vertical="top" wrapText="1"/>
    </xf>
    <xf numFmtId="167" fontId="30" fillId="17" borderId="0" xfId="3" applyNumberFormat="1" applyFont="1" applyFill="1" applyAlignment="1">
      <alignment wrapText="1"/>
    </xf>
    <xf numFmtId="0" fontId="14" fillId="17" borderId="0" xfId="3" applyFont="1" applyFill="1" applyAlignment="1">
      <alignment wrapText="1"/>
    </xf>
    <xf numFmtId="171" fontId="14" fillId="17" borderId="0" xfId="3" applyNumberFormat="1" applyFont="1" applyFill="1" applyAlignment="1">
      <alignment wrapText="1"/>
    </xf>
    <xf numFmtId="0" fontId="12" fillId="11" borderId="0" xfId="0" applyFont="1" applyFill="1" applyAlignment="1">
      <alignment horizontal="left"/>
    </xf>
    <xf numFmtId="0" fontId="12" fillId="11" borderId="46" xfId="0" applyFont="1" applyFill="1" applyBorder="1"/>
    <xf numFmtId="0" fontId="12" fillId="0" borderId="56" xfId="0" applyFont="1" applyBorder="1" applyAlignment="1">
      <alignment wrapText="1"/>
    </xf>
    <xf numFmtId="0" fontId="12" fillId="0" borderId="62" xfId="0" applyFont="1" applyBorder="1" applyAlignment="1">
      <alignment wrapText="1"/>
    </xf>
    <xf numFmtId="0" fontId="12" fillId="0" borderId="19" xfId="0" applyFont="1" applyBorder="1" applyAlignment="1">
      <alignment horizontal="left" vertical="center" wrapText="1"/>
    </xf>
    <xf numFmtId="0" fontId="12" fillId="0" borderId="19" xfId="0" applyFont="1" applyBorder="1" applyAlignment="1">
      <alignment horizontal="center" vertical="center" wrapText="1"/>
    </xf>
    <xf numFmtId="0" fontId="12" fillId="0" borderId="1" xfId="0" applyFont="1" applyBorder="1" applyAlignment="1">
      <alignment horizontal="left" vertical="top" wrapText="1"/>
    </xf>
    <xf numFmtId="0" fontId="35" fillId="0" borderId="0" xfId="0" applyFont="1"/>
    <xf numFmtId="0" fontId="8" fillId="2" borderId="54" xfId="0" applyFont="1" applyFill="1" applyBorder="1" applyAlignment="1">
      <alignment horizontal="left"/>
    </xf>
    <xf numFmtId="0" fontId="8" fillId="2" borderId="1" xfId="0" applyFont="1" applyFill="1" applyBorder="1" applyAlignment="1">
      <alignment horizontal="left"/>
    </xf>
    <xf numFmtId="0" fontId="8" fillId="2" borderId="1" xfId="0" applyFont="1" applyFill="1" applyBorder="1" applyAlignment="1">
      <alignment vertical="center"/>
    </xf>
    <xf numFmtId="0" fontId="20" fillId="2" borderId="1" xfId="0" applyFont="1" applyFill="1" applyBorder="1" applyAlignment="1">
      <alignment wrapText="1"/>
    </xf>
    <xf numFmtId="0" fontId="22" fillId="2" borderId="1" xfId="0" applyFont="1" applyFill="1" applyBorder="1" applyAlignment="1">
      <alignment vertical="center"/>
    </xf>
    <xf numFmtId="165" fontId="20" fillId="0" borderId="52" xfId="1" applyNumberFormat="1" applyFont="1" applyFill="1" applyBorder="1"/>
    <xf numFmtId="0" fontId="30" fillId="20" borderId="0" xfId="0" applyFont="1" applyFill="1" applyAlignment="1">
      <alignment horizontal="center"/>
    </xf>
    <xf numFmtId="3" fontId="14" fillId="0" borderId="0" xfId="0" applyNumberFormat="1" applyFont="1" applyAlignment="1">
      <alignment horizontal="center"/>
    </xf>
    <xf numFmtId="3" fontId="30" fillId="9" borderId="0" xfId="0" applyNumberFormat="1" applyFont="1" applyFill="1" applyAlignment="1">
      <alignment horizontal="center"/>
    </xf>
    <xf numFmtId="3" fontId="30" fillId="20" borderId="0" xfId="0" applyNumberFormat="1" applyFont="1" applyFill="1" applyAlignment="1">
      <alignment horizontal="center"/>
    </xf>
    <xf numFmtId="0" fontId="30" fillId="9" borderId="0" xfId="0" applyFont="1" applyFill="1" applyAlignment="1">
      <alignment horizontal="right"/>
    </xf>
    <xf numFmtId="0" fontId="12" fillId="0" borderId="1" xfId="0" applyFont="1" applyBorder="1" applyAlignment="1">
      <alignment horizontal="left" vertical="center" wrapText="1"/>
    </xf>
    <xf numFmtId="0" fontId="12" fillId="0" borderId="22" xfId="0" applyFont="1" applyBorder="1" applyAlignment="1">
      <alignment horizontal="left" vertical="center" wrapText="1"/>
    </xf>
    <xf numFmtId="0" fontId="12" fillId="0" borderId="1" xfId="0" applyFont="1" applyBorder="1" applyAlignment="1">
      <alignment horizontal="center" wrapText="1"/>
    </xf>
    <xf numFmtId="0" fontId="12" fillId="0" borderId="0" xfId="0" applyFont="1" applyAlignment="1">
      <alignment horizontal="left" wrapText="1"/>
    </xf>
    <xf numFmtId="0" fontId="12" fillId="16" borderId="0" xfId="0" applyFont="1" applyFill="1" applyAlignment="1">
      <alignment horizontal="left"/>
    </xf>
    <xf numFmtId="0" fontId="12" fillId="0" borderId="19" xfId="0" applyFont="1" applyBorder="1" applyAlignment="1">
      <alignment horizontal="center" wrapText="1"/>
    </xf>
    <xf numFmtId="0" fontId="12" fillId="0" borderId="19" xfId="0" applyFont="1" applyBorder="1" applyAlignment="1">
      <alignment horizontal="left" wrapText="1"/>
    </xf>
    <xf numFmtId="3" fontId="12" fillId="0" borderId="19" xfId="0" applyNumberFormat="1" applyFont="1" applyBorder="1" applyAlignment="1">
      <alignment wrapText="1"/>
    </xf>
    <xf numFmtId="3" fontId="12" fillId="0" borderId="20" xfId="0" applyNumberFormat="1" applyFont="1" applyBorder="1" applyAlignment="1">
      <alignment wrapText="1"/>
    </xf>
    <xf numFmtId="3" fontId="12" fillId="0" borderId="1" xfId="0" applyNumberFormat="1" applyFont="1" applyBorder="1" applyAlignment="1">
      <alignment wrapText="1"/>
    </xf>
    <xf numFmtId="3" fontId="12" fillId="0" borderId="25" xfId="0" applyNumberFormat="1" applyFont="1" applyBorder="1" applyAlignment="1">
      <alignment wrapText="1"/>
    </xf>
    <xf numFmtId="0" fontId="19" fillId="0" borderId="0" xfId="0" applyFont="1"/>
    <xf numFmtId="3" fontId="12" fillId="0" borderId="27" xfId="0" applyNumberFormat="1" applyFont="1" applyBorder="1" applyAlignment="1">
      <alignment wrapText="1"/>
    </xf>
    <xf numFmtId="0" fontId="12" fillId="16" borderId="0" xfId="0" applyFont="1" applyFill="1"/>
    <xf numFmtId="3" fontId="12" fillId="0" borderId="0" xfId="0" applyNumberFormat="1" applyFont="1"/>
    <xf numFmtId="0" fontId="12" fillId="14" borderId="0" xfId="0" applyFont="1" applyFill="1"/>
    <xf numFmtId="0" fontId="12" fillId="0" borderId="22" xfId="0" applyFont="1" applyBorder="1" applyAlignment="1">
      <alignment horizontal="center" wrapText="1"/>
    </xf>
    <xf numFmtId="3" fontId="12" fillId="0" borderId="22" xfId="0" applyNumberFormat="1" applyFont="1" applyBorder="1" applyAlignment="1">
      <alignment wrapText="1"/>
    </xf>
    <xf numFmtId="3" fontId="12" fillId="0" borderId="23" xfId="0" applyNumberFormat="1" applyFont="1" applyBorder="1" applyAlignment="1">
      <alignment wrapText="1"/>
    </xf>
    <xf numFmtId="3" fontId="12" fillId="0" borderId="29" xfId="0" applyNumberFormat="1" applyFont="1" applyBorder="1" applyAlignment="1">
      <alignment wrapText="1"/>
    </xf>
    <xf numFmtId="0" fontId="20" fillId="9" borderId="8" xfId="0" applyFont="1" applyFill="1" applyBorder="1" applyAlignment="1">
      <alignment horizontal="left" vertical="center" wrapText="1"/>
    </xf>
    <xf numFmtId="0" fontId="20" fillId="9" borderId="9" xfId="0" applyFont="1" applyFill="1" applyBorder="1" applyAlignment="1">
      <alignment horizontal="left" vertical="center" wrapText="1"/>
    </xf>
    <xf numFmtId="0" fontId="20" fillId="9" borderId="9" xfId="0" applyFont="1" applyFill="1" applyBorder="1" applyAlignment="1">
      <alignment horizontal="center" wrapText="1"/>
    </xf>
    <xf numFmtId="0" fontId="20" fillId="9" borderId="31" xfId="0" applyFont="1" applyFill="1" applyBorder="1" applyAlignment="1">
      <alignment horizontal="center" wrapText="1"/>
    </xf>
    <xf numFmtId="0" fontId="20" fillId="9" borderId="31" xfId="0" applyFont="1" applyFill="1" applyBorder="1" applyAlignment="1">
      <alignment horizontal="center"/>
    </xf>
    <xf numFmtId="3" fontId="20" fillId="9" borderId="9" xfId="0" applyNumberFormat="1" applyFont="1" applyFill="1" applyBorder="1" applyAlignment="1">
      <alignment horizontal="right" wrapText="1"/>
    </xf>
    <xf numFmtId="3" fontId="20" fillId="9" borderId="10" xfId="0" applyNumberFormat="1" applyFont="1" applyFill="1" applyBorder="1" applyAlignment="1">
      <alignment horizontal="right" wrapText="1"/>
    </xf>
    <xf numFmtId="166" fontId="12" fillId="9" borderId="16" xfId="0" applyNumberFormat="1" applyFont="1" applyFill="1" applyBorder="1" applyAlignment="1">
      <alignment wrapText="1"/>
    </xf>
    <xf numFmtId="3" fontId="12" fillId="9" borderId="10" xfId="0" applyNumberFormat="1" applyFont="1" applyFill="1" applyBorder="1" applyAlignment="1">
      <alignment wrapText="1"/>
    </xf>
    <xf numFmtId="3" fontId="12" fillId="0" borderId="43" xfId="0" applyNumberFormat="1" applyFont="1" applyBorder="1" applyAlignment="1">
      <alignment wrapText="1"/>
    </xf>
    <xf numFmtId="0" fontId="12" fillId="0" borderId="19" xfId="0" applyFont="1" applyBorder="1" applyAlignment="1">
      <alignment horizontal="left" vertical="top" wrapText="1"/>
    </xf>
    <xf numFmtId="0" fontId="36" fillId="14" borderId="0" xfId="0" applyFont="1" applyFill="1"/>
    <xf numFmtId="0" fontId="12" fillId="0" borderId="22" xfId="0" applyFont="1" applyBorder="1" applyAlignment="1">
      <alignment horizontal="left" vertical="top" wrapText="1"/>
    </xf>
    <xf numFmtId="0" fontId="20" fillId="3" borderId="8" xfId="0" applyFont="1" applyFill="1" applyBorder="1" applyAlignment="1">
      <alignment horizontal="left" vertical="center"/>
    </xf>
    <xf numFmtId="0" fontId="20" fillId="3" borderId="72" xfId="0" applyFont="1" applyFill="1" applyBorder="1" applyAlignment="1">
      <alignment horizontal="center" vertical="center" wrapText="1"/>
    </xf>
    <xf numFmtId="0" fontId="20" fillId="3" borderId="26" xfId="0" applyFont="1" applyFill="1" applyBorder="1" applyAlignment="1">
      <alignment horizontal="left" vertical="center" wrapText="1"/>
    </xf>
    <xf numFmtId="0" fontId="20" fillId="3" borderId="26" xfId="0" applyFont="1" applyFill="1" applyBorder="1" applyAlignment="1">
      <alignment horizontal="center" wrapText="1"/>
    </xf>
    <xf numFmtId="3" fontId="20" fillId="3" borderId="26" xfId="0" applyNumberFormat="1" applyFont="1" applyFill="1" applyBorder="1" applyAlignment="1">
      <alignment wrapText="1"/>
    </xf>
    <xf numFmtId="3" fontId="20" fillId="3" borderId="39" xfId="0" applyNumberFormat="1" applyFont="1" applyFill="1" applyBorder="1" applyAlignment="1">
      <alignment wrapText="1"/>
    </xf>
    <xf numFmtId="3" fontId="12" fillId="3" borderId="10" xfId="0" applyNumberFormat="1" applyFont="1" applyFill="1" applyBorder="1" applyAlignment="1">
      <alignment wrapText="1"/>
    </xf>
    <xf numFmtId="0" fontId="12" fillId="0" borderId="4" xfId="0" applyFont="1" applyBorder="1" applyAlignment="1">
      <alignment horizontal="center" vertical="center" wrapText="1"/>
    </xf>
    <xf numFmtId="3" fontId="35" fillId="0" borderId="27" xfId="0" applyNumberFormat="1" applyFont="1" applyBorder="1" applyAlignment="1">
      <alignment wrapText="1"/>
    </xf>
    <xf numFmtId="3" fontId="35" fillId="0" borderId="0" xfId="0" applyNumberFormat="1" applyFont="1"/>
    <xf numFmtId="0" fontId="12" fillId="0" borderId="8" xfId="0" applyFont="1" applyBorder="1" applyAlignment="1">
      <alignment wrapText="1"/>
    </xf>
    <xf numFmtId="0" fontId="12" fillId="0" borderId="35" xfId="0" applyFont="1" applyBorder="1" applyAlignment="1">
      <alignment horizontal="left" wrapText="1"/>
    </xf>
    <xf numFmtId="0" fontId="12" fillId="0" borderId="9" xfId="0" applyFont="1" applyBorder="1" applyAlignment="1">
      <alignment horizontal="center" wrapText="1"/>
    </xf>
    <xf numFmtId="3" fontId="12" fillId="0" borderId="9" xfId="0" applyNumberFormat="1" applyFont="1" applyBorder="1" applyAlignment="1">
      <alignment wrapText="1"/>
    </xf>
    <xf numFmtId="3" fontId="12" fillId="0" borderId="10" xfId="0" applyNumberFormat="1" applyFont="1" applyBorder="1" applyAlignment="1">
      <alignment wrapText="1"/>
    </xf>
    <xf numFmtId="0" fontId="36" fillId="0" borderId="0" xfId="0" applyFont="1"/>
    <xf numFmtId="3" fontId="12" fillId="0" borderId="36" xfId="0" applyNumberFormat="1" applyFont="1" applyBorder="1" applyAlignment="1">
      <alignment wrapText="1"/>
    </xf>
    <xf numFmtId="0" fontId="12" fillId="11" borderId="0" xfId="0" applyFont="1" applyFill="1"/>
    <xf numFmtId="3" fontId="12" fillId="11" borderId="0" xfId="0" applyNumberFormat="1" applyFont="1" applyFill="1"/>
    <xf numFmtId="3" fontId="12" fillId="0" borderId="1" xfId="0" applyNumberFormat="1" applyFont="1" applyBorder="1" applyAlignment="1">
      <alignment horizontal="center" wrapText="1"/>
    </xf>
    <xf numFmtId="3" fontId="12" fillId="9" borderId="10" xfId="0" applyNumberFormat="1" applyFont="1" applyFill="1" applyBorder="1" applyAlignment="1">
      <alignment horizontal="right" wrapText="1"/>
    </xf>
    <xf numFmtId="0" fontId="12" fillId="0" borderId="4" xfId="0" applyFont="1" applyBorder="1" applyAlignment="1">
      <alignment horizontal="center" wrapText="1"/>
    </xf>
    <xf numFmtId="3" fontId="12" fillId="0" borderId="4" xfId="0" applyNumberFormat="1" applyFont="1" applyBorder="1" applyAlignment="1">
      <alignment wrapText="1"/>
    </xf>
    <xf numFmtId="0" fontId="12" fillId="0" borderId="2" xfId="0" applyFont="1" applyBorder="1" applyAlignment="1">
      <alignment horizontal="left" vertical="top" wrapText="1"/>
    </xf>
    <xf numFmtId="0" fontId="35" fillId="14" borderId="0" xfId="0" applyFont="1" applyFill="1"/>
    <xf numFmtId="0" fontId="12" fillId="0" borderId="26" xfId="0" applyFont="1" applyBorder="1" applyAlignment="1">
      <alignment horizontal="center" wrapText="1"/>
    </xf>
    <xf numFmtId="0" fontId="12" fillId="0" borderId="28" xfId="0" applyFont="1" applyBorder="1" applyAlignment="1">
      <alignment horizontal="center" wrapText="1"/>
    </xf>
    <xf numFmtId="3" fontId="12" fillId="0" borderId="28" xfId="0" applyNumberFormat="1" applyFont="1" applyBorder="1" applyAlignment="1">
      <alignment wrapText="1"/>
    </xf>
    <xf numFmtId="3" fontId="12" fillId="0" borderId="10" xfId="0" applyNumberFormat="1" applyFont="1" applyBorder="1" applyAlignment="1">
      <alignment horizontal="right" wrapText="1"/>
    </xf>
    <xf numFmtId="0" fontId="20" fillId="3" borderId="26" xfId="0" applyFont="1" applyFill="1" applyBorder="1" applyAlignment="1">
      <alignment horizontal="center" vertical="center" wrapText="1"/>
    </xf>
    <xf numFmtId="3" fontId="20" fillId="3" borderId="10" xfId="0" applyNumberFormat="1" applyFont="1" applyFill="1" applyBorder="1" applyAlignment="1">
      <alignment wrapText="1"/>
    </xf>
    <xf numFmtId="3" fontId="12" fillId="6" borderId="25" xfId="0" applyNumberFormat="1" applyFont="1" applyFill="1" applyBorder="1" applyAlignment="1">
      <alignment wrapText="1"/>
    </xf>
    <xf numFmtId="0" fontId="12" fillId="0" borderId="2" xfId="0" applyFont="1" applyBorder="1" applyAlignment="1">
      <alignment horizontal="center" wrapText="1"/>
    </xf>
    <xf numFmtId="3" fontId="12" fillId="0" borderId="2" xfId="0" applyNumberFormat="1" applyFont="1" applyBorder="1" applyAlignment="1">
      <alignment wrapText="1"/>
    </xf>
    <xf numFmtId="3" fontId="12" fillId="6" borderId="36" xfId="0" applyNumberFormat="1" applyFont="1" applyFill="1" applyBorder="1" applyAlignment="1">
      <alignment wrapText="1"/>
    </xf>
    <xf numFmtId="3" fontId="12" fillId="6" borderId="23" xfId="0" applyNumberFormat="1" applyFont="1" applyFill="1" applyBorder="1" applyAlignment="1">
      <alignment wrapText="1"/>
    </xf>
    <xf numFmtId="3" fontId="12" fillId="0" borderId="26" xfId="0" applyNumberFormat="1" applyFont="1" applyBorder="1" applyAlignment="1">
      <alignment wrapText="1"/>
    </xf>
    <xf numFmtId="3" fontId="12" fillId="0" borderId="39" xfId="0" applyNumberFormat="1" applyFont="1" applyBorder="1" applyAlignment="1">
      <alignment wrapText="1"/>
    </xf>
    <xf numFmtId="0" fontId="12" fillId="0" borderId="2" xfId="0" applyFont="1" applyBorder="1" applyAlignment="1">
      <alignment horizontal="left" vertical="center" wrapText="1"/>
    </xf>
    <xf numFmtId="3" fontId="12" fillId="6" borderId="1" xfId="0" applyNumberFormat="1" applyFont="1" applyFill="1" applyBorder="1" applyAlignment="1">
      <alignment wrapText="1"/>
    </xf>
    <xf numFmtId="166" fontId="12" fillId="9" borderId="37" xfId="0" applyNumberFormat="1" applyFont="1" applyFill="1" applyBorder="1" applyAlignment="1">
      <alignment horizontal="right" wrapText="1"/>
    </xf>
    <xf numFmtId="3" fontId="12" fillId="9" borderId="9" xfId="0" applyNumberFormat="1" applyFont="1" applyFill="1" applyBorder="1" applyAlignment="1">
      <alignment horizontal="right" wrapText="1"/>
    </xf>
    <xf numFmtId="0" fontId="12" fillId="0" borderId="79" xfId="0" applyFont="1" applyBorder="1" applyAlignment="1">
      <alignment horizontal="center" wrapText="1"/>
    </xf>
    <xf numFmtId="3" fontId="12" fillId="6" borderId="20" xfId="0" applyNumberFormat="1" applyFont="1" applyFill="1" applyBorder="1" applyAlignment="1">
      <alignment wrapText="1"/>
    </xf>
    <xf numFmtId="3" fontId="12" fillId="0" borderId="3" xfId="0" applyNumberFormat="1" applyFont="1" applyBorder="1" applyAlignment="1">
      <alignment wrapText="1"/>
    </xf>
    <xf numFmtId="165" fontId="12" fillId="6" borderId="29" xfId="1" applyNumberFormat="1" applyFont="1" applyFill="1" applyBorder="1" applyAlignment="1">
      <alignment horizontal="right" vertical="center" wrapText="1"/>
    </xf>
    <xf numFmtId="3" fontId="12" fillId="6" borderId="43" xfId="0" applyNumberFormat="1" applyFont="1" applyFill="1" applyBorder="1" applyAlignment="1">
      <alignment wrapText="1"/>
    </xf>
    <xf numFmtId="3" fontId="12" fillId="0" borderId="19" xfId="0" applyNumberFormat="1" applyFont="1" applyBorder="1" applyAlignment="1">
      <alignment horizontal="center" wrapText="1"/>
    </xf>
    <xf numFmtId="3" fontId="12" fillId="0" borderId="2" xfId="0" applyNumberFormat="1" applyFont="1" applyBorder="1" applyAlignment="1">
      <alignment horizontal="center" wrapText="1"/>
    </xf>
    <xf numFmtId="3" fontId="12" fillId="0" borderId="22" xfId="0" applyNumberFormat="1" applyFont="1" applyBorder="1" applyAlignment="1">
      <alignment horizontal="center" wrapText="1"/>
    </xf>
    <xf numFmtId="165" fontId="12" fillId="0" borderId="19" xfId="1" applyNumberFormat="1" applyFont="1" applyFill="1" applyBorder="1" applyAlignment="1">
      <alignment horizontal="right" vertical="center" wrapText="1"/>
    </xf>
    <xf numFmtId="165" fontId="12" fillId="0" borderId="20" xfId="1" applyNumberFormat="1" applyFont="1" applyFill="1" applyBorder="1" applyAlignment="1">
      <alignment horizontal="right" vertical="center" wrapText="1"/>
    </xf>
    <xf numFmtId="165" fontId="12" fillId="6" borderId="20" xfId="1" applyNumberFormat="1" applyFont="1" applyFill="1" applyBorder="1" applyAlignment="1">
      <alignment horizontal="right" vertical="center" wrapText="1"/>
    </xf>
    <xf numFmtId="165" fontId="12" fillId="0" borderId="4" xfId="1" applyNumberFormat="1" applyFont="1" applyFill="1" applyBorder="1" applyAlignment="1">
      <alignment horizontal="right" vertical="center" wrapText="1"/>
    </xf>
    <xf numFmtId="165" fontId="12" fillId="0" borderId="25" xfId="1" applyNumberFormat="1" applyFont="1" applyFill="1" applyBorder="1" applyAlignment="1">
      <alignment horizontal="right" vertical="center" wrapText="1"/>
    </xf>
    <xf numFmtId="165" fontId="12" fillId="6" borderId="27" xfId="1" applyNumberFormat="1" applyFont="1" applyFill="1" applyBorder="1" applyAlignment="1">
      <alignment horizontal="right" vertical="center" wrapText="1"/>
    </xf>
    <xf numFmtId="165" fontId="12" fillId="0" borderId="1" xfId="1" applyNumberFormat="1" applyFont="1" applyFill="1" applyBorder="1" applyAlignment="1">
      <alignment horizontal="right" vertical="center" wrapText="1"/>
    </xf>
    <xf numFmtId="165" fontId="12" fillId="6" borderId="25" xfId="1" applyNumberFormat="1" applyFont="1" applyFill="1" applyBorder="1" applyAlignment="1">
      <alignment horizontal="right" vertical="center" wrapText="1"/>
    </xf>
    <xf numFmtId="0" fontId="12" fillId="0" borderId="28" xfId="0" applyFont="1" applyBorder="1" applyAlignment="1">
      <alignment horizontal="left" vertical="center" wrapText="1"/>
    </xf>
    <xf numFmtId="165" fontId="12" fillId="0" borderId="28" xfId="1" applyNumberFormat="1" applyFont="1" applyFill="1" applyBorder="1" applyAlignment="1">
      <alignment horizontal="right" vertical="center" wrapText="1"/>
    </xf>
    <xf numFmtId="165" fontId="12" fillId="0" borderId="29" xfId="1" applyNumberFormat="1" applyFont="1" applyFill="1" applyBorder="1" applyAlignment="1">
      <alignment horizontal="right" vertical="center" wrapText="1"/>
    </xf>
    <xf numFmtId="166" fontId="12" fillId="9" borderId="3" xfId="0" applyNumberFormat="1" applyFont="1" applyFill="1" applyBorder="1" applyAlignment="1">
      <alignment horizontal="right" wrapText="1"/>
    </xf>
    <xf numFmtId="0" fontId="20" fillId="3" borderId="9" xfId="0" applyFont="1" applyFill="1" applyBorder="1" applyAlignment="1">
      <alignment horizontal="center" vertical="center" wrapText="1"/>
    </xf>
    <xf numFmtId="0" fontId="20" fillId="3" borderId="9" xfId="0" applyFont="1" applyFill="1" applyBorder="1" applyAlignment="1">
      <alignment horizontal="left" vertical="center" wrapText="1"/>
    </xf>
    <xf numFmtId="0" fontId="20" fillId="3" borderId="9" xfId="0" applyFont="1" applyFill="1" applyBorder="1" applyAlignment="1">
      <alignment horizontal="center" wrapText="1"/>
    </xf>
    <xf numFmtId="3" fontId="20" fillId="3" borderId="9" xfId="0" applyNumberFormat="1" applyFont="1" applyFill="1" applyBorder="1" applyAlignment="1">
      <alignment wrapText="1"/>
    </xf>
    <xf numFmtId="3" fontId="12" fillId="3" borderId="2" xfId="0" applyNumberFormat="1" applyFont="1" applyFill="1" applyBorder="1" applyAlignment="1">
      <alignment wrapText="1"/>
    </xf>
    <xf numFmtId="0" fontId="12" fillId="0" borderId="4" xfId="0" applyFont="1" applyBorder="1" applyAlignment="1">
      <alignment horizontal="left" vertical="center" wrapText="1"/>
    </xf>
    <xf numFmtId="3" fontId="12" fillId="0" borderId="0" xfId="0" applyNumberFormat="1" applyFont="1" applyAlignment="1">
      <alignment wrapText="1"/>
    </xf>
    <xf numFmtId="0" fontId="12" fillId="0" borderId="68" xfId="0" applyFont="1" applyBorder="1" applyAlignment="1">
      <alignment horizontal="left" vertical="center" wrapText="1"/>
    </xf>
    <xf numFmtId="0" fontId="12" fillId="0" borderId="54" xfId="0" applyFont="1" applyBorder="1" applyAlignment="1">
      <alignment horizontal="left" vertical="center" wrapText="1"/>
    </xf>
    <xf numFmtId="0" fontId="12" fillId="0" borderId="69" xfId="0" applyFont="1" applyBorder="1" applyAlignment="1">
      <alignment horizontal="left" vertical="center" wrapText="1"/>
    </xf>
    <xf numFmtId="0" fontId="12" fillId="0" borderId="3" xfId="0" applyFont="1" applyBorder="1" applyAlignment="1">
      <alignment horizontal="center" wrapText="1"/>
    </xf>
    <xf numFmtId="3" fontId="12" fillId="3" borderId="1" xfId="0" applyNumberFormat="1" applyFont="1" applyFill="1" applyBorder="1" applyAlignment="1">
      <alignment wrapText="1"/>
    </xf>
    <xf numFmtId="0" fontId="12" fillId="3" borderId="4" xfId="0" applyFont="1" applyFill="1" applyBorder="1" applyAlignment="1">
      <alignment horizontal="center" vertical="center" wrapText="1"/>
    </xf>
    <xf numFmtId="0" fontId="12" fillId="3" borderId="4" xfId="0" applyFont="1" applyFill="1" applyBorder="1" applyAlignment="1">
      <alignment horizontal="left" vertical="center" wrapText="1"/>
    </xf>
    <xf numFmtId="0" fontId="12" fillId="3" borderId="4" xfId="0" applyFont="1" applyFill="1" applyBorder="1" applyAlignment="1">
      <alignment horizontal="center" wrapText="1"/>
    </xf>
    <xf numFmtId="0" fontId="12" fillId="3" borderId="4" xfId="0" applyFont="1" applyFill="1" applyBorder="1" applyAlignment="1">
      <alignment wrapText="1"/>
    </xf>
    <xf numFmtId="0" fontId="12" fillId="3" borderId="1" xfId="0" applyFont="1" applyFill="1" applyBorder="1" applyAlignment="1">
      <alignment wrapText="1"/>
    </xf>
    <xf numFmtId="0" fontId="12" fillId="2" borderId="1" xfId="0" applyFont="1" applyFill="1" applyBorder="1" applyAlignment="1">
      <alignment horizontal="left"/>
    </xf>
    <xf numFmtId="3" fontId="12" fillId="2" borderId="1" xfId="0" applyNumberFormat="1" applyFont="1" applyFill="1" applyBorder="1"/>
    <xf numFmtId="3" fontId="12" fillId="2" borderId="0" xfId="0" applyNumberFormat="1" applyFont="1" applyFill="1"/>
    <xf numFmtId="2" fontId="12" fillId="0" borderId="0" xfId="0" applyNumberFormat="1" applyFont="1"/>
    <xf numFmtId="9" fontId="12" fillId="0" borderId="0" xfId="2" applyFont="1"/>
    <xf numFmtId="165" fontId="2" fillId="0" borderId="49" xfId="1" applyNumberFormat="1" applyFont="1" applyFill="1" applyBorder="1"/>
    <xf numFmtId="169" fontId="0" fillId="0" borderId="0" xfId="0" applyNumberFormat="1"/>
    <xf numFmtId="0" fontId="12" fillId="0" borderId="1"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 xfId="0" applyFont="1" applyBorder="1" applyAlignment="1">
      <alignment horizontal="left" wrapText="1"/>
    </xf>
    <xf numFmtId="0" fontId="12" fillId="0" borderId="1" xfId="0" applyFont="1" applyBorder="1" applyAlignment="1">
      <alignment horizontal="left" vertical="top" wrapText="1"/>
    </xf>
    <xf numFmtId="0" fontId="12" fillId="0" borderId="28" xfId="0" applyFont="1" applyBorder="1" applyAlignment="1">
      <alignment horizontal="center" vertical="center" wrapText="1"/>
    </xf>
    <xf numFmtId="0" fontId="12" fillId="0" borderId="0" xfId="0" applyFont="1" applyAlignment="1">
      <alignment horizontal="left"/>
    </xf>
    <xf numFmtId="165" fontId="12" fillId="0" borderId="4" xfId="1" applyNumberFormat="1" applyFont="1" applyBorder="1" applyAlignment="1">
      <alignment horizontal="center"/>
    </xf>
    <xf numFmtId="0" fontId="12" fillId="0" borderId="1" xfId="0" applyFont="1" applyBorder="1" applyAlignment="1">
      <alignment horizontal="left"/>
    </xf>
    <xf numFmtId="165" fontId="12" fillId="0" borderId="1" xfId="1" applyNumberFormat="1" applyFont="1" applyBorder="1" applyAlignment="1">
      <alignment horizontal="center"/>
    </xf>
    <xf numFmtId="0" fontId="20" fillId="0" borderId="76" xfId="0" applyFont="1" applyBorder="1" applyAlignment="1">
      <alignment horizontal="left"/>
    </xf>
    <xf numFmtId="0" fontId="12" fillId="0" borderId="1" xfId="0" applyFont="1" applyBorder="1" applyAlignment="1">
      <alignment horizontal="center"/>
    </xf>
    <xf numFmtId="0" fontId="12" fillId="0" borderId="4" xfId="0" applyFont="1" applyBorder="1" applyAlignment="1">
      <alignment horizontal="center"/>
    </xf>
    <xf numFmtId="0" fontId="12" fillId="18" borderId="70" xfId="0" applyFont="1" applyFill="1" applyBorder="1" applyAlignment="1">
      <alignment horizontal="center" vertical="center" wrapText="1"/>
    </xf>
    <xf numFmtId="0" fontId="12" fillId="0" borderId="22" xfId="0" applyFont="1" applyBorder="1" applyAlignment="1">
      <alignment horizontal="center"/>
    </xf>
    <xf numFmtId="165" fontId="12" fillId="0" borderId="22" xfId="1" applyNumberFormat="1" applyFont="1" applyBorder="1" applyAlignment="1">
      <alignment horizontal="center"/>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3" fontId="12" fillId="0" borderId="1" xfId="0" applyNumberFormat="1" applyFont="1" applyBorder="1" applyAlignment="1">
      <alignment horizontal="right" vertical="center" wrapText="1"/>
    </xf>
    <xf numFmtId="0" fontId="20" fillId="0" borderId="0" xfId="0" applyFont="1"/>
    <xf numFmtId="0" fontId="12" fillId="0" borderId="0" xfId="0" applyFont="1" applyFill="1"/>
    <xf numFmtId="0" fontId="12" fillId="0" borderId="45" xfId="0" applyFont="1" applyFill="1" applyBorder="1" applyAlignment="1">
      <alignment horizontal="center" wrapText="1"/>
    </xf>
    <xf numFmtId="0" fontId="33" fillId="0" borderId="0" xfId="0" applyFont="1" applyFill="1"/>
    <xf numFmtId="0" fontId="12" fillId="0" borderId="59" xfId="0" applyFont="1" applyFill="1" applyBorder="1"/>
    <xf numFmtId="165" fontId="12" fillId="0" borderId="51" xfId="1" applyNumberFormat="1" applyFont="1" applyFill="1" applyBorder="1"/>
    <xf numFmtId="0" fontId="12" fillId="0" borderId="45" xfId="0" applyFont="1" applyFill="1" applyBorder="1"/>
    <xf numFmtId="0" fontId="12" fillId="0" borderId="1" xfId="0" applyFont="1" applyBorder="1" applyAlignment="1">
      <alignment horizontal="left" vertical="top"/>
    </xf>
    <xf numFmtId="169" fontId="16" fillId="0" borderId="42" xfId="0" applyNumberFormat="1" applyFont="1" applyBorder="1" applyAlignment="1">
      <alignment vertical="center" wrapText="1"/>
    </xf>
    <xf numFmtId="169" fontId="16" fillId="0" borderId="31" xfId="0" applyNumberFormat="1" applyFont="1" applyBorder="1" applyAlignment="1">
      <alignment vertical="center" wrapText="1"/>
    </xf>
    <xf numFmtId="169" fontId="16" fillId="0" borderId="41" xfId="0" applyNumberFormat="1" applyFont="1" applyBorder="1" applyAlignment="1">
      <alignment vertical="center" wrapText="1"/>
    </xf>
    <xf numFmtId="3" fontId="16" fillId="0" borderId="42" xfId="0" applyNumberFormat="1" applyFont="1" applyBorder="1" applyAlignment="1">
      <alignment vertical="center" wrapText="1"/>
    </xf>
    <xf numFmtId="0" fontId="16" fillId="0" borderId="31" xfId="0" applyFont="1" applyBorder="1" applyAlignment="1">
      <alignment vertical="center" wrapText="1"/>
    </xf>
    <xf numFmtId="0" fontId="16" fillId="0" borderId="41" xfId="0" applyFont="1" applyBorder="1" applyAlignment="1">
      <alignment vertical="center" wrapText="1"/>
    </xf>
    <xf numFmtId="0" fontId="15" fillId="0" borderId="32"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34" xfId="0" applyFont="1" applyBorder="1" applyAlignment="1">
      <alignment horizontal="center" vertical="center" wrapText="1"/>
    </xf>
    <xf numFmtId="0" fontId="17" fillId="0" borderId="32" xfId="0" applyFont="1" applyBorder="1" applyAlignment="1">
      <alignment horizontal="left" vertical="center" wrapText="1"/>
    </xf>
    <xf numFmtId="0" fontId="17" fillId="0" borderId="34" xfId="0" applyFont="1" applyBorder="1" applyAlignment="1">
      <alignment horizontal="left" vertical="center" wrapText="1"/>
    </xf>
    <xf numFmtId="169" fontId="16" fillId="0" borderId="32" xfId="0" applyNumberFormat="1" applyFont="1" applyBorder="1" applyAlignment="1">
      <alignment horizontal="center" vertical="center" wrapText="1"/>
    </xf>
    <xf numFmtId="169" fontId="16" fillId="0" borderId="34" xfId="0" applyNumberFormat="1" applyFont="1" applyBorder="1" applyAlignment="1">
      <alignment horizontal="center" vertical="center" wrapText="1"/>
    </xf>
    <xf numFmtId="169" fontId="15" fillId="0" borderId="32" xfId="0" applyNumberFormat="1" applyFont="1" applyBorder="1" applyAlignment="1">
      <alignment horizontal="center" vertical="center" wrapText="1"/>
    </xf>
    <xf numFmtId="169" fontId="15" fillId="0" borderId="34" xfId="0" applyNumberFormat="1" applyFont="1" applyBorder="1" applyAlignment="1">
      <alignment horizontal="center" vertical="center" wrapText="1"/>
    </xf>
    <xf numFmtId="0" fontId="13" fillId="13" borderId="32" xfId="0" applyFont="1" applyFill="1" applyBorder="1" applyAlignment="1">
      <alignment vertical="center" wrapText="1"/>
    </xf>
    <xf numFmtId="0" fontId="13" fillId="13" borderId="33" xfId="0" applyFont="1" applyFill="1" applyBorder="1" applyAlignment="1">
      <alignment vertical="center" wrapText="1"/>
    </xf>
    <xf numFmtId="0" fontId="13" fillId="13" borderId="34" xfId="0" applyFont="1" applyFill="1" applyBorder="1" applyAlignment="1">
      <alignment vertical="center" wrapText="1"/>
    </xf>
    <xf numFmtId="0" fontId="13" fillId="13" borderId="42" xfId="0" applyFont="1" applyFill="1" applyBorder="1" applyAlignment="1">
      <alignment horizontal="center" vertical="center" wrapText="1"/>
    </xf>
    <xf numFmtId="0" fontId="13" fillId="13" borderId="41" xfId="0" applyFont="1" applyFill="1" applyBorder="1" applyAlignment="1">
      <alignment horizontal="center" vertical="center" wrapText="1"/>
    </xf>
    <xf numFmtId="0" fontId="13" fillId="13" borderId="31" xfId="0" applyFont="1" applyFill="1" applyBorder="1" applyAlignment="1">
      <alignment horizontal="center" vertical="center" wrapText="1"/>
    </xf>
    <xf numFmtId="0" fontId="13" fillId="13" borderId="32" xfId="0" applyFont="1" applyFill="1" applyBorder="1" applyAlignment="1">
      <alignment horizontal="center" vertical="center" wrapText="1"/>
    </xf>
    <xf numFmtId="0" fontId="13" fillId="13" borderId="34" xfId="0" applyFont="1" applyFill="1" applyBorder="1" applyAlignment="1">
      <alignment horizontal="center" vertical="center" wrapText="1"/>
    </xf>
    <xf numFmtId="0" fontId="13" fillId="0" borderId="42" xfId="0" applyFont="1" applyBorder="1" applyAlignment="1">
      <alignment vertical="center" wrapText="1"/>
    </xf>
    <xf numFmtId="0" fontId="13" fillId="0" borderId="41" xfId="0" applyFont="1" applyBorder="1" applyAlignment="1">
      <alignment vertical="center" wrapText="1"/>
    </xf>
    <xf numFmtId="3" fontId="15" fillId="0" borderId="32" xfId="0" applyNumberFormat="1" applyFont="1" applyBorder="1" applyAlignment="1">
      <alignment horizontal="center" vertical="center" wrapText="1"/>
    </xf>
    <xf numFmtId="3" fontId="16" fillId="0" borderId="32" xfId="0" applyNumberFormat="1" applyFont="1" applyBorder="1" applyAlignment="1">
      <alignment horizontal="center" vertical="center" wrapText="1"/>
    </xf>
    <xf numFmtId="3" fontId="16" fillId="0" borderId="34" xfId="0" applyNumberFormat="1" applyFont="1" applyBorder="1" applyAlignment="1">
      <alignment horizontal="center" vertical="center" wrapText="1"/>
    </xf>
    <xf numFmtId="0" fontId="16" fillId="0" borderId="32" xfId="0" applyFont="1" applyBorder="1" applyAlignment="1">
      <alignment horizontal="center" vertical="center" wrapText="1"/>
    </xf>
    <xf numFmtId="0" fontId="16" fillId="0" borderId="34" xfId="0" applyFont="1" applyBorder="1" applyAlignment="1">
      <alignment horizontal="center" vertical="center" wrapText="1"/>
    </xf>
    <xf numFmtId="0" fontId="15" fillId="0" borderId="32" xfId="0" applyFont="1" applyBorder="1" applyAlignment="1">
      <alignment horizontal="left" vertical="center" wrapText="1"/>
    </xf>
    <xf numFmtId="0" fontId="15" fillId="0" borderId="34"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76" xfId="0" applyFont="1" applyBorder="1" applyAlignment="1">
      <alignment horizontal="left" vertical="center" wrapText="1"/>
    </xf>
    <xf numFmtId="0" fontId="12" fillId="0" borderId="81" xfId="0" applyFont="1" applyBorder="1" applyAlignment="1">
      <alignment horizontal="left" vertical="center" wrapText="1"/>
    </xf>
    <xf numFmtId="0" fontId="12" fillId="8" borderId="81" xfId="0" applyFont="1" applyFill="1" applyBorder="1" applyAlignment="1">
      <alignment horizontal="left" vertical="center" wrapText="1"/>
    </xf>
    <xf numFmtId="0" fontId="12" fillId="0" borderId="40" xfId="0" applyFont="1" applyBorder="1" applyAlignment="1">
      <alignment horizontal="left" vertical="center" wrapText="1"/>
    </xf>
    <xf numFmtId="0" fontId="12" fillId="8" borderId="76" xfId="0" applyFont="1" applyFill="1" applyBorder="1" applyAlignment="1">
      <alignment horizontal="left" vertical="center" wrapText="1"/>
    </xf>
    <xf numFmtId="0" fontId="12" fillId="8" borderId="40" xfId="0" applyFont="1" applyFill="1" applyBorder="1" applyAlignment="1">
      <alignment horizontal="left" vertical="center" wrapText="1"/>
    </xf>
    <xf numFmtId="0" fontId="12" fillId="0" borderId="6" xfId="0" applyFont="1" applyBorder="1" applyAlignment="1">
      <alignment horizontal="left" vertical="center" wrapText="1"/>
    </xf>
    <xf numFmtId="0" fontId="12" fillId="0" borderId="11" xfId="0" applyFont="1" applyBorder="1" applyAlignment="1">
      <alignment horizontal="left" vertical="center" wrapText="1"/>
    </xf>
    <xf numFmtId="0" fontId="12" fillId="0" borderId="13" xfId="0" applyFont="1" applyBorder="1" applyAlignment="1">
      <alignment horizontal="left" vertical="center" wrapText="1"/>
    </xf>
    <xf numFmtId="0" fontId="12" fillId="0" borderId="1" xfId="0" applyFont="1" applyBorder="1" applyAlignment="1">
      <alignment horizontal="left" wrapText="1"/>
    </xf>
    <xf numFmtId="0" fontId="12" fillId="0" borderId="1" xfId="0" applyFont="1" applyBorder="1" applyAlignment="1">
      <alignment horizontal="left" vertical="center" wrapText="1"/>
    </xf>
    <xf numFmtId="0" fontId="12" fillId="0" borderId="19" xfId="0" applyFont="1" applyBorder="1" applyAlignment="1">
      <alignment horizontal="left" vertical="center" wrapText="1"/>
    </xf>
    <xf numFmtId="0" fontId="12" fillId="0" borderId="22" xfId="0" applyFont="1" applyBorder="1" applyAlignment="1">
      <alignment horizontal="left" vertical="center" wrapText="1"/>
    </xf>
    <xf numFmtId="0" fontId="12" fillId="0" borderId="18" xfId="0" applyFont="1" applyBorder="1" applyAlignment="1">
      <alignment horizontal="left" vertical="center" wrapText="1"/>
    </xf>
    <xf numFmtId="0" fontId="12" fillId="0" borderId="24" xfId="0" applyFont="1" applyBorder="1" applyAlignment="1">
      <alignment horizontal="left" vertical="center" wrapText="1"/>
    </xf>
    <xf numFmtId="0" fontId="12" fillId="0" borderId="21" xfId="0" applyFont="1" applyBorder="1" applyAlignment="1">
      <alignment horizontal="left" vertical="center" wrapText="1"/>
    </xf>
    <xf numFmtId="0" fontId="12" fillId="0" borderId="26" xfId="0" applyFont="1" applyBorder="1" applyAlignment="1">
      <alignment horizontal="left" vertical="top" wrapText="1"/>
    </xf>
    <xf numFmtId="0" fontId="12" fillId="0" borderId="4" xfId="0" applyFont="1" applyBorder="1" applyAlignment="1">
      <alignment horizontal="left" vertical="top"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28" xfId="0" applyFont="1" applyBorder="1" applyAlignment="1">
      <alignment horizontal="left" vertical="center" wrapText="1"/>
    </xf>
    <xf numFmtId="0" fontId="12" fillId="0" borderId="1" xfId="0" applyFont="1" applyBorder="1" applyAlignment="1">
      <alignment horizontal="left" vertical="top" wrapText="1"/>
    </xf>
    <xf numFmtId="0" fontId="12" fillId="0" borderId="17"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28" xfId="0" applyFont="1" applyBorder="1" applyAlignment="1">
      <alignment horizontal="center" vertical="center" wrapText="1"/>
    </xf>
    <xf numFmtId="0" fontId="12" fillId="8" borderId="21" xfId="0" applyFont="1" applyFill="1" applyBorder="1" applyAlignment="1">
      <alignment horizontal="left" vertical="center" wrapText="1"/>
    </xf>
    <xf numFmtId="0" fontId="12" fillId="0" borderId="87" xfId="0" applyFont="1" applyBorder="1" applyAlignment="1">
      <alignment horizontal="left" vertical="center" wrapText="1"/>
    </xf>
    <xf numFmtId="0" fontId="12" fillId="0" borderId="4" xfId="0" applyFont="1" applyBorder="1" applyAlignment="1">
      <alignment horizontal="left" vertical="center" wrapText="1"/>
    </xf>
    <xf numFmtId="0" fontId="12" fillId="0" borderId="26" xfId="0" applyFont="1" applyBorder="1" applyAlignment="1">
      <alignment horizontal="left" vertical="center" wrapText="1"/>
    </xf>
    <xf numFmtId="0" fontId="12" fillId="0" borderId="69" xfId="0" applyFont="1" applyBorder="1" applyAlignment="1">
      <alignment horizontal="left" vertical="center" wrapText="1"/>
    </xf>
    <xf numFmtId="0" fontId="12" fillId="0" borderId="68" xfId="0" applyFont="1" applyBorder="1" applyAlignment="1">
      <alignment horizontal="left" vertical="center" wrapText="1"/>
    </xf>
    <xf numFmtId="0" fontId="12" fillId="0" borderId="54" xfId="0" applyFont="1" applyBorder="1" applyAlignment="1">
      <alignment horizontal="left" vertical="center" wrapText="1"/>
    </xf>
    <xf numFmtId="0" fontId="12" fillId="0" borderId="80" xfId="0" applyFont="1" applyBorder="1" applyAlignment="1">
      <alignment horizontal="left" vertical="center" wrapText="1"/>
    </xf>
    <xf numFmtId="0" fontId="12" fillId="0" borderId="46" xfId="0" applyFont="1" applyFill="1" applyBorder="1" applyAlignment="1">
      <alignment horizontal="left" wrapText="1"/>
    </xf>
    <xf numFmtId="0" fontId="12" fillId="0" borderId="56" xfId="0" applyFont="1" applyFill="1" applyBorder="1" applyAlignment="1">
      <alignment horizontal="left" wrapText="1"/>
    </xf>
    <xf numFmtId="0" fontId="12" fillId="0" borderId="62" xfId="0" applyFont="1" applyFill="1" applyBorder="1" applyAlignment="1">
      <alignment horizontal="left" wrapText="1"/>
    </xf>
    <xf numFmtId="0" fontId="12" fillId="0" borderId="46" xfId="0" applyFont="1" applyBorder="1" applyAlignment="1">
      <alignment horizontal="left" wrapText="1"/>
    </xf>
    <xf numFmtId="0" fontId="12" fillId="0" borderId="56" xfId="0" applyFont="1" applyBorder="1" applyAlignment="1">
      <alignment horizontal="left" wrapText="1"/>
    </xf>
    <xf numFmtId="0" fontId="12" fillId="0" borderId="62" xfId="0" applyFont="1" applyBorder="1" applyAlignment="1">
      <alignment horizontal="left" wrapText="1"/>
    </xf>
    <xf numFmtId="0" fontId="36" fillId="6" borderId="46" xfId="0" applyFont="1" applyFill="1" applyBorder="1" applyAlignment="1">
      <alignment horizontal="left" vertical="center" wrapText="1"/>
    </xf>
    <xf numFmtId="0" fontId="36" fillId="6" borderId="56" xfId="0" applyFont="1" applyFill="1" applyBorder="1" applyAlignment="1">
      <alignment horizontal="left" vertical="center" wrapText="1"/>
    </xf>
    <xf numFmtId="0" fontId="36" fillId="6" borderId="62" xfId="0" applyFont="1" applyFill="1" applyBorder="1" applyAlignment="1">
      <alignment horizontal="left" vertical="center" wrapText="1"/>
    </xf>
    <xf numFmtId="0" fontId="20" fillId="2"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2" fillId="0" borderId="63" xfId="0" applyFont="1" applyBorder="1" applyAlignment="1">
      <alignment horizontal="left" wrapText="1"/>
    </xf>
    <xf numFmtId="0" fontId="12" fillId="0" borderId="64" xfId="0" applyFont="1" applyBorder="1" applyAlignment="1">
      <alignment horizontal="left" wrapText="1"/>
    </xf>
    <xf numFmtId="0" fontId="12" fillId="0" borderId="65" xfId="0" applyFont="1" applyBorder="1" applyAlignment="1">
      <alignment horizontal="left" wrapText="1"/>
    </xf>
    <xf numFmtId="0" fontId="20" fillId="19" borderId="66" xfId="0" applyFont="1" applyFill="1" applyBorder="1" applyAlignment="1">
      <alignment horizontal="left" wrapText="1"/>
    </xf>
    <xf numFmtId="0" fontId="20" fillId="19" borderId="44" xfId="0" applyFont="1" applyFill="1" applyBorder="1" applyAlignment="1">
      <alignment horizontal="left" wrapText="1"/>
    </xf>
    <xf numFmtId="0" fontId="20" fillId="19" borderId="67" xfId="0" applyFont="1" applyFill="1" applyBorder="1" applyAlignment="1">
      <alignment horizontal="left" wrapText="1"/>
    </xf>
    <xf numFmtId="0" fontId="20" fillId="2" borderId="1" xfId="0" applyFont="1" applyFill="1" applyBorder="1" applyAlignment="1">
      <alignment horizontal="center" vertical="center" wrapText="1"/>
    </xf>
    <xf numFmtId="0" fontId="20" fillId="2" borderId="17" xfId="0" applyFont="1" applyFill="1" applyBorder="1" applyAlignment="1">
      <alignment horizontal="left" vertical="center" wrapText="1"/>
    </xf>
    <xf numFmtId="0" fontId="20" fillId="2" borderId="44" xfId="0" applyFont="1" applyFill="1" applyBorder="1" applyAlignment="1">
      <alignment horizontal="left" vertical="center" wrapText="1"/>
    </xf>
    <xf numFmtId="0" fontId="20" fillId="2" borderId="69" xfId="0" applyFont="1" applyFill="1" applyBorder="1" applyAlignment="1">
      <alignment horizontal="left" vertical="center" wrapText="1"/>
    </xf>
    <xf numFmtId="0" fontId="20" fillId="2" borderId="30" xfId="0" applyFont="1" applyFill="1" applyBorder="1" applyAlignment="1">
      <alignment horizontal="left" vertical="center" wrapText="1"/>
    </xf>
    <xf numFmtId="0" fontId="20" fillId="2" borderId="75" xfId="0" applyFont="1" applyFill="1" applyBorder="1" applyAlignment="1">
      <alignment horizontal="left" vertical="center" wrapText="1"/>
    </xf>
    <xf numFmtId="0" fontId="20" fillId="2" borderId="68" xfId="0" applyFont="1" applyFill="1" applyBorder="1" applyAlignment="1">
      <alignment horizontal="left" vertical="center" wrapText="1"/>
    </xf>
    <xf numFmtId="0" fontId="22" fillId="0" borderId="5" xfId="0" applyFont="1" applyBorder="1" applyAlignment="1">
      <alignment horizontal="left" vertical="center"/>
    </xf>
    <xf numFmtId="0" fontId="22" fillId="0" borderId="53" xfId="0" applyFont="1" applyBorder="1" applyAlignment="1">
      <alignment horizontal="left" vertical="center"/>
    </xf>
    <xf numFmtId="0" fontId="22" fillId="0" borderId="54" xfId="0" applyFont="1" applyBorder="1" applyAlignment="1">
      <alignment horizontal="left" vertical="center"/>
    </xf>
    <xf numFmtId="0" fontId="22" fillId="0" borderId="5" xfId="0" applyFont="1" applyBorder="1" applyAlignment="1">
      <alignment horizontal="left" vertical="center" wrapText="1"/>
    </xf>
    <xf numFmtId="0" fontId="22" fillId="0" borderId="53" xfId="0" applyFont="1" applyBorder="1" applyAlignment="1">
      <alignment horizontal="left" vertical="center" wrapText="1"/>
    </xf>
    <xf numFmtId="0" fontId="22" fillId="0" borderId="54" xfId="0" applyFont="1" applyBorder="1" applyAlignment="1">
      <alignment horizontal="left" vertical="center" wrapText="1"/>
    </xf>
    <xf numFmtId="0" fontId="1" fillId="6" borderId="46" xfId="0" applyFont="1" applyFill="1" applyBorder="1" applyAlignment="1">
      <alignment horizontal="left" vertical="center" wrapText="1"/>
    </xf>
    <xf numFmtId="0" fontId="1" fillId="6" borderId="56" xfId="0" applyFont="1" applyFill="1" applyBorder="1" applyAlignment="1">
      <alignment horizontal="left" vertical="center" wrapText="1"/>
    </xf>
    <xf numFmtId="0" fontId="1" fillId="6" borderId="62" xfId="0" applyFont="1" applyFill="1" applyBorder="1" applyAlignment="1">
      <alignment horizontal="left" vertical="center" wrapText="1"/>
    </xf>
    <xf numFmtId="0" fontId="12" fillId="0" borderId="84" xfId="0" applyFont="1" applyBorder="1" applyAlignment="1">
      <alignment horizontal="left" wrapText="1"/>
    </xf>
    <xf numFmtId="0" fontId="12" fillId="0" borderId="85" xfId="0" applyFont="1" applyBorder="1" applyAlignment="1">
      <alignment horizontal="left" wrapText="1"/>
    </xf>
    <xf numFmtId="0" fontId="12" fillId="0" borderId="86" xfId="0" applyFont="1" applyBorder="1" applyAlignment="1">
      <alignment horizontal="left" wrapText="1"/>
    </xf>
    <xf numFmtId="0" fontId="12" fillId="0" borderId="60" xfId="0" applyFont="1" applyBorder="1" applyAlignment="1">
      <alignment horizontal="left" wrapText="1"/>
    </xf>
    <xf numFmtId="0" fontId="12" fillId="0" borderId="0" xfId="0" applyFont="1" applyAlignment="1">
      <alignment horizontal="left" wrapText="1"/>
    </xf>
    <xf numFmtId="0" fontId="12" fillId="0" borderId="61" xfId="0" applyFont="1" applyBorder="1" applyAlignment="1">
      <alignment horizontal="left" wrapText="1"/>
    </xf>
    <xf numFmtId="0" fontId="12" fillId="0" borderId="47" xfId="0" applyFont="1" applyBorder="1" applyAlignment="1">
      <alignment horizontal="center" vertical="center" wrapText="1"/>
    </xf>
    <xf numFmtId="0" fontId="12" fillId="0" borderId="60" xfId="0" applyFont="1" applyBorder="1" applyAlignment="1">
      <alignment horizontal="center" vertical="center" wrapText="1"/>
    </xf>
    <xf numFmtId="0" fontId="12" fillId="0" borderId="57" xfId="0" applyFont="1" applyBorder="1" applyAlignment="1">
      <alignment horizontal="center" vertical="center" wrapText="1"/>
    </xf>
    <xf numFmtId="0" fontId="12" fillId="0" borderId="63" xfId="0" applyFont="1" applyBorder="1" applyAlignment="1">
      <alignment horizontal="center" vertical="center" wrapText="1"/>
    </xf>
    <xf numFmtId="0" fontId="12" fillId="0" borderId="0" xfId="0" applyFont="1" applyFill="1" applyAlignment="1">
      <alignment horizontal="left" wrapText="1"/>
    </xf>
    <xf numFmtId="0" fontId="25" fillId="15" borderId="63" xfId="0" applyFont="1" applyFill="1" applyBorder="1" applyAlignment="1">
      <alignment horizontal="center" vertical="center" wrapText="1"/>
    </xf>
    <xf numFmtId="0" fontId="25" fillId="15" borderId="64" xfId="0" applyFont="1" applyFill="1" applyBorder="1" applyAlignment="1">
      <alignment horizontal="center" vertical="center" wrapText="1"/>
    </xf>
    <xf numFmtId="0" fontId="25" fillId="15" borderId="71" xfId="0" applyFont="1" applyFill="1" applyBorder="1" applyAlignment="1">
      <alignment horizontal="center" vertical="center" wrapText="1"/>
    </xf>
    <xf numFmtId="0" fontId="12" fillId="0" borderId="57" xfId="0" applyFont="1" applyFill="1" applyBorder="1" applyAlignment="1">
      <alignment horizontal="left" wrapText="1"/>
    </xf>
    <xf numFmtId="0" fontId="12" fillId="0" borderId="55" xfId="0" applyFont="1" applyFill="1" applyBorder="1" applyAlignment="1">
      <alignment horizontal="left" wrapText="1"/>
    </xf>
    <xf numFmtId="0" fontId="12" fillId="0" borderId="58" xfId="0" applyFont="1" applyFill="1" applyBorder="1" applyAlignment="1">
      <alignment horizontal="left" wrapText="1"/>
    </xf>
    <xf numFmtId="0" fontId="20" fillId="19" borderId="17" xfId="0" applyFont="1" applyFill="1" applyBorder="1" applyAlignment="1">
      <alignment horizontal="left" vertical="center" wrapText="1"/>
    </xf>
    <xf numFmtId="0" fontId="20" fillId="19" borderId="44" xfId="0" applyFont="1" applyFill="1" applyBorder="1" applyAlignment="1">
      <alignment horizontal="left" vertical="center" wrapText="1"/>
    </xf>
    <xf numFmtId="0" fontId="20" fillId="19" borderId="69" xfId="0" applyFont="1" applyFill="1" applyBorder="1" applyAlignment="1">
      <alignment horizontal="left" vertical="center" wrapText="1"/>
    </xf>
    <xf numFmtId="0" fontId="20" fillId="19" borderId="30" xfId="0" applyFont="1" applyFill="1" applyBorder="1" applyAlignment="1">
      <alignment horizontal="left" vertical="center" wrapText="1"/>
    </xf>
    <xf numFmtId="0" fontId="20" fillId="19" borderId="75" xfId="0" applyFont="1" applyFill="1" applyBorder="1" applyAlignment="1">
      <alignment horizontal="left" vertical="center" wrapText="1"/>
    </xf>
    <xf numFmtId="0" fontId="20" fillId="19" borderId="68" xfId="0" applyFont="1" applyFill="1" applyBorder="1" applyAlignment="1">
      <alignment horizontal="left" vertical="center" wrapText="1"/>
    </xf>
    <xf numFmtId="0" fontId="12" fillId="0" borderId="0" xfId="0" applyFont="1" applyAlignment="1">
      <alignment horizontal="left"/>
    </xf>
    <xf numFmtId="0" fontId="12" fillId="0" borderId="0" xfId="0" applyFont="1" applyFill="1" applyAlignment="1">
      <alignment horizontal="left"/>
    </xf>
    <xf numFmtId="0" fontId="12" fillId="18" borderId="47" xfId="0" applyFont="1" applyFill="1" applyBorder="1" applyAlignment="1">
      <alignment horizontal="center" vertical="center" wrapText="1"/>
    </xf>
    <xf numFmtId="0" fontId="12" fillId="18" borderId="60" xfId="0" applyFont="1" applyFill="1" applyBorder="1" applyAlignment="1">
      <alignment horizontal="center" vertical="center" wrapText="1"/>
    </xf>
    <xf numFmtId="0" fontId="24" fillId="0" borderId="64" xfId="0" applyFont="1" applyBorder="1" applyAlignment="1">
      <alignment horizontal="left" wrapText="1"/>
    </xf>
    <xf numFmtId="0" fontId="24" fillId="0" borderId="65" xfId="0" applyFont="1" applyBorder="1" applyAlignment="1">
      <alignment horizontal="left" wrapText="1"/>
    </xf>
    <xf numFmtId="0" fontId="20" fillId="2" borderId="76" xfId="0" applyFont="1" applyFill="1" applyBorder="1" applyAlignment="1">
      <alignment horizontal="left" wrapText="1"/>
    </xf>
    <xf numFmtId="0" fontId="20" fillId="2" borderId="19" xfId="0" applyFont="1" applyFill="1" applyBorder="1" applyAlignment="1">
      <alignment horizontal="left" wrapText="1"/>
    </xf>
    <xf numFmtId="0" fontId="20" fillId="2" borderId="40" xfId="0" applyFont="1" applyFill="1" applyBorder="1" applyAlignment="1">
      <alignment horizontal="left" wrapText="1"/>
    </xf>
    <xf numFmtId="0" fontId="20" fillId="2" borderId="22" xfId="0" applyFont="1" applyFill="1" applyBorder="1" applyAlignment="1">
      <alignment horizontal="left" wrapText="1"/>
    </xf>
    <xf numFmtId="0" fontId="20" fillId="2" borderId="26" xfId="0" applyFont="1" applyFill="1" applyBorder="1" applyAlignment="1">
      <alignment horizontal="center" vertical="center"/>
    </xf>
    <xf numFmtId="0" fontId="20" fillId="2" borderId="28" xfId="0" applyFont="1" applyFill="1" applyBorder="1" applyAlignment="1">
      <alignment horizontal="center" vertical="center"/>
    </xf>
    <xf numFmtId="0" fontId="20" fillId="2" borderId="77" xfId="0" applyFont="1" applyFill="1" applyBorder="1" applyAlignment="1">
      <alignment horizontal="center" vertical="center" wrapText="1"/>
    </xf>
    <xf numFmtId="0" fontId="20" fillId="2" borderId="72" xfId="0" applyFont="1" applyFill="1" applyBorder="1" applyAlignment="1">
      <alignment horizontal="center" vertical="center"/>
    </xf>
    <xf numFmtId="0" fontId="20" fillId="2" borderId="78" xfId="0" applyFont="1" applyFill="1" applyBorder="1" applyAlignment="1">
      <alignment horizontal="center" vertical="center"/>
    </xf>
    <xf numFmtId="0" fontId="20" fillId="2" borderId="79" xfId="0" applyFont="1" applyFill="1" applyBorder="1" applyAlignment="1">
      <alignment horizontal="center" vertical="center"/>
    </xf>
    <xf numFmtId="0" fontId="20" fillId="2" borderId="39" xfId="0" applyFont="1" applyFill="1" applyBorder="1" applyAlignment="1">
      <alignment horizontal="center" vertical="center"/>
    </xf>
    <xf numFmtId="0" fontId="20" fillId="2" borderId="29" xfId="0" applyFont="1" applyFill="1" applyBorder="1" applyAlignment="1">
      <alignment horizontal="center" vertical="center"/>
    </xf>
    <xf numFmtId="0" fontId="20" fillId="0" borderId="80" xfId="0" applyFont="1" applyBorder="1" applyAlignment="1">
      <alignment horizontal="left"/>
    </xf>
    <xf numFmtId="0" fontId="20" fillId="0" borderId="4" xfId="0" applyFont="1" applyBorder="1" applyAlignment="1">
      <alignment horizontal="left"/>
    </xf>
    <xf numFmtId="165" fontId="12" fillId="0" borderId="4" xfId="1" applyNumberFormat="1" applyFont="1" applyBorder="1" applyAlignment="1">
      <alignment horizontal="center"/>
    </xf>
    <xf numFmtId="165" fontId="12" fillId="0" borderId="30" xfId="1" applyNumberFormat="1" applyFont="1" applyBorder="1" applyAlignment="1">
      <alignment horizontal="center"/>
    </xf>
    <xf numFmtId="0" fontId="12" fillId="0" borderId="1" xfId="0" applyFont="1" applyBorder="1" applyAlignment="1">
      <alignment horizontal="left"/>
    </xf>
    <xf numFmtId="165" fontId="12" fillId="0" borderId="1" xfId="1" applyNumberFormat="1" applyFont="1" applyBorder="1" applyAlignment="1">
      <alignment horizontal="center"/>
    </xf>
    <xf numFmtId="165" fontId="12" fillId="0" borderId="5" xfId="1" applyNumberFormat="1" applyFont="1" applyBorder="1" applyAlignment="1">
      <alignment horizontal="center"/>
    </xf>
    <xf numFmtId="165" fontId="12" fillId="0" borderId="54" xfId="1" applyNumberFormat="1" applyFont="1" applyBorder="1" applyAlignment="1">
      <alignment horizontal="center"/>
    </xf>
    <xf numFmtId="165" fontId="12" fillId="0" borderId="82" xfId="1" applyNumberFormat="1" applyFont="1" applyBorder="1" applyAlignment="1">
      <alignment horizontal="center"/>
    </xf>
    <xf numFmtId="165" fontId="12" fillId="0" borderId="73" xfId="1" applyNumberFormat="1" applyFont="1" applyBorder="1" applyAlignment="1">
      <alignment horizontal="center"/>
    </xf>
    <xf numFmtId="0" fontId="20" fillId="0" borderId="76" xfId="0" applyFont="1" applyBorder="1" applyAlignment="1">
      <alignment horizontal="left"/>
    </xf>
    <xf numFmtId="0" fontId="20" fillId="0" borderId="19" xfId="0" applyFont="1" applyBorder="1" applyAlignment="1">
      <alignment horizontal="left"/>
    </xf>
    <xf numFmtId="0" fontId="12" fillId="0" borderId="19" xfId="0" applyFont="1" applyBorder="1" applyAlignment="1">
      <alignment horizontal="center"/>
    </xf>
    <xf numFmtId="0" fontId="12" fillId="0" borderId="83" xfId="0" applyFont="1" applyBorder="1" applyAlignment="1">
      <alignment horizontal="center"/>
    </xf>
    <xf numFmtId="0" fontId="12" fillId="0" borderId="1" xfId="0" applyFont="1" applyBorder="1" applyAlignment="1">
      <alignment horizontal="center"/>
    </xf>
    <xf numFmtId="0" fontId="12" fillId="0" borderId="5" xfId="0" applyFont="1" applyBorder="1" applyAlignment="1">
      <alignment horizontal="center"/>
    </xf>
    <xf numFmtId="0" fontId="12" fillId="0" borderId="54" xfId="0" applyFont="1" applyBorder="1" applyAlignment="1">
      <alignment horizontal="center"/>
    </xf>
    <xf numFmtId="0" fontId="12" fillId="0" borderId="82" xfId="0" applyFont="1" applyBorder="1" applyAlignment="1">
      <alignment horizontal="center"/>
    </xf>
    <xf numFmtId="0" fontId="12" fillId="0" borderId="73" xfId="0" applyFont="1" applyBorder="1" applyAlignment="1">
      <alignment horizontal="center"/>
    </xf>
    <xf numFmtId="0" fontId="20" fillId="2" borderId="6" xfId="0" applyFont="1" applyFill="1" applyBorder="1" applyAlignment="1">
      <alignment horizontal="left" wrapText="1"/>
    </xf>
    <xf numFmtId="0" fontId="20" fillId="2" borderId="7" xfId="0" applyFont="1" applyFill="1" applyBorder="1" applyAlignment="1">
      <alignment horizontal="left" wrapText="1"/>
    </xf>
    <xf numFmtId="0" fontId="20" fillId="2" borderId="13" xfId="0" applyFont="1" applyFill="1" applyBorder="1" applyAlignment="1">
      <alignment horizontal="left" wrapText="1"/>
    </xf>
    <xf numFmtId="0" fontId="20" fillId="2" borderId="14" xfId="0" applyFont="1" applyFill="1" applyBorder="1" applyAlignment="1">
      <alignment horizontal="left" wrapText="1"/>
    </xf>
    <xf numFmtId="0" fontId="20" fillId="2" borderId="19" xfId="0" applyFont="1" applyFill="1" applyBorder="1" applyAlignment="1">
      <alignment horizontal="center" vertical="center"/>
    </xf>
    <xf numFmtId="0" fontId="20" fillId="2" borderId="22" xfId="0" applyFont="1" applyFill="1" applyBorder="1" applyAlignment="1">
      <alignment horizontal="center" vertical="center"/>
    </xf>
    <xf numFmtId="0" fontId="20" fillId="2" borderId="19" xfId="0" applyFont="1" applyFill="1" applyBorder="1" applyAlignment="1">
      <alignment horizontal="center" vertical="center" wrapText="1"/>
    </xf>
    <xf numFmtId="0" fontId="20" fillId="2" borderId="20" xfId="0" applyFont="1" applyFill="1" applyBorder="1" applyAlignment="1">
      <alignment horizontal="center" vertical="center"/>
    </xf>
    <xf numFmtId="0" fontId="20" fillId="2" borderId="23" xfId="0" applyFont="1" applyFill="1" applyBorder="1" applyAlignment="1">
      <alignment horizontal="center" vertical="center"/>
    </xf>
    <xf numFmtId="0" fontId="20" fillId="0" borderId="80" xfId="0" applyFont="1" applyBorder="1" applyAlignment="1">
      <alignment horizontal="left" wrapText="1"/>
    </xf>
    <xf numFmtId="0" fontId="20" fillId="0" borderId="4" xfId="0" applyFont="1" applyBorder="1" applyAlignment="1">
      <alignment horizontal="left" wrapText="1"/>
    </xf>
    <xf numFmtId="43" fontId="12" fillId="0" borderId="1" xfId="1" applyFont="1" applyBorder="1" applyAlignment="1">
      <alignment horizontal="center"/>
    </xf>
    <xf numFmtId="0" fontId="12" fillId="0" borderId="4" xfId="0" applyFont="1" applyBorder="1" applyAlignment="1">
      <alignment horizontal="center"/>
    </xf>
    <xf numFmtId="0" fontId="12" fillId="0" borderId="30" xfId="0" applyFont="1" applyBorder="1" applyAlignment="1">
      <alignment horizontal="center"/>
    </xf>
    <xf numFmtId="0" fontId="12" fillId="18" borderId="70" xfId="0" applyFont="1" applyFill="1" applyBorder="1" applyAlignment="1">
      <alignment horizontal="center" vertical="center" wrapText="1"/>
    </xf>
    <xf numFmtId="0" fontId="12" fillId="0" borderId="22" xfId="0" applyFont="1" applyBorder="1" applyAlignment="1">
      <alignment horizontal="center"/>
    </xf>
    <xf numFmtId="0" fontId="20" fillId="2" borderId="19" xfId="0" applyFont="1" applyFill="1" applyBorder="1" applyAlignment="1">
      <alignment horizontal="center"/>
    </xf>
    <xf numFmtId="0" fontId="20" fillId="2" borderId="22" xfId="0" applyFont="1" applyFill="1" applyBorder="1" applyAlignment="1">
      <alignment horizontal="center"/>
    </xf>
    <xf numFmtId="0" fontId="20" fillId="2" borderId="19" xfId="0" applyFont="1" applyFill="1" applyBorder="1" applyAlignment="1">
      <alignment horizontal="center" wrapText="1"/>
    </xf>
    <xf numFmtId="0" fontId="20" fillId="2" borderId="2" xfId="0" applyFont="1" applyFill="1" applyBorder="1" applyAlignment="1">
      <alignment horizontal="center"/>
    </xf>
    <xf numFmtId="0" fontId="12" fillId="0" borderId="46" xfId="0" applyFont="1" applyFill="1" applyBorder="1" applyAlignment="1">
      <alignment horizontal="left"/>
    </xf>
    <xf numFmtId="0" fontId="12" fillId="0" borderId="56" xfId="0" applyFont="1" applyFill="1" applyBorder="1" applyAlignment="1">
      <alignment horizontal="left"/>
    </xf>
    <xf numFmtId="0" fontId="12" fillId="0" borderId="62" xfId="0" applyFont="1" applyFill="1" applyBorder="1" applyAlignment="1">
      <alignment horizontal="left"/>
    </xf>
    <xf numFmtId="165" fontId="12" fillId="0" borderId="22" xfId="1" applyNumberFormat="1" applyFont="1" applyBorder="1" applyAlignment="1">
      <alignment horizontal="center"/>
    </xf>
    <xf numFmtId="0" fontId="20" fillId="0" borderId="76" xfId="0" applyFont="1" applyBorder="1" applyAlignment="1">
      <alignment horizontal="left" wrapText="1"/>
    </xf>
    <xf numFmtId="0" fontId="20" fillId="0" borderId="19" xfId="0" applyFont="1" applyBorder="1" applyAlignment="1">
      <alignment horizontal="left" wrapText="1"/>
    </xf>
    <xf numFmtId="165" fontId="12" fillId="0" borderId="19" xfId="1" applyNumberFormat="1" applyFont="1" applyBorder="1" applyAlignment="1">
      <alignment horizontal="center"/>
    </xf>
    <xf numFmtId="165" fontId="12" fillId="0" borderId="83" xfId="1" applyNumberFormat="1" applyFont="1" applyBorder="1" applyAlignment="1">
      <alignment horizontal="center"/>
    </xf>
    <xf numFmtId="0" fontId="20" fillId="2" borderId="20" xfId="0" applyFont="1" applyFill="1" applyBorder="1" applyAlignment="1">
      <alignment horizontal="center"/>
    </xf>
    <xf numFmtId="0" fontId="20" fillId="2" borderId="36" xfId="0" applyFont="1" applyFill="1" applyBorder="1" applyAlignment="1">
      <alignment horizontal="center"/>
    </xf>
    <xf numFmtId="0" fontId="20" fillId="2" borderId="2" xfId="0" applyFont="1" applyFill="1" applyBorder="1" applyAlignment="1">
      <alignment horizontal="center" vertical="center"/>
    </xf>
    <xf numFmtId="0" fontId="20" fillId="2" borderId="36" xfId="0" applyFont="1" applyFill="1" applyBorder="1" applyAlignment="1">
      <alignment horizontal="center" vertical="center"/>
    </xf>
    <xf numFmtId="0" fontId="20" fillId="2" borderId="22" xfId="0" applyFont="1" applyFill="1" applyBorder="1" applyAlignment="1">
      <alignment horizontal="center" vertical="center" wrapText="1"/>
    </xf>
    <xf numFmtId="0" fontId="0" fillId="4" borderId="53" xfId="0" applyFill="1" applyBorder="1" applyAlignment="1">
      <alignment horizontal="center"/>
    </xf>
    <xf numFmtId="0" fontId="0" fillId="4" borderId="54" xfId="0" applyFill="1" applyBorder="1" applyAlignment="1">
      <alignment horizontal="center"/>
    </xf>
    <xf numFmtId="0" fontId="0" fillId="4" borderId="5" xfId="0" applyFill="1" applyBorder="1" applyAlignment="1">
      <alignment horizontal="center"/>
    </xf>
    <xf numFmtId="0" fontId="5" fillId="0" borderId="0" xfId="0" applyFont="1" applyAlignment="1">
      <alignment horizontal="center"/>
    </xf>
    <xf numFmtId="0" fontId="5" fillId="4" borderId="0" xfId="0" applyFont="1" applyFill="1" applyAlignment="1">
      <alignment horizontal="center"/>
    </xf>
  </cellXfs>
  <cellStyles count="12">
    <cellStyle name="Comma" xfId="1" builtinId="3"/>
    <cellStyle name="Comma [0] 2" xfId="5"/>
    <cellStyle name="Comma 2" xfId="10"/>
    <cellStyle name="Currency 2" xfId="11"/>
    <cellStyle name="Normal" xfId="0" builtinId="0"/>
    <cellStyle name="Normal 2" xfId="3"/>
    <cellStyle name="Normal 3" xfId="7"/>
    <cellStyle name="Normal 3 2" xfId="8"/>
    <cellStyle name="Normal 5" xfId="6"/>
    <cellStyle name="Percent" xfId="2" builtinId="5"/>
    <cellStyle name="Percent 2" xfId="4"/>
    <cellStyle name="Percent 2 2" xfId="9"/>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27</xdr:col>
      <xdr:colOff>126077</xdr:colOff>
      <xdr:row>0</xdr:row>
      <xdr:rowOff>38794</xdr:rowOff>
    </xdr:from>
    <xdr:to>
      <xdr:col>42</xdr:col>
      <xdr:colOff>311727</xdr:colOff>
      <xdr:row>0</xdr:row>
      <xdr:rowOff>1004455</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a:off x="19920759" y="38794"/>
          <a:ext cx="9693332" cy="965661"/>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Please kindly provide information relating to unit cost, no units/ items/ days,</a:t>
          </a:r>
          <a:r>
            <a:rPr lang="en-US" sz="1100" baseline="0">
              <a:solidFill>
                <a:sysClr val="windowText" lastClr="000000"/>
              </a:solidFill>
            </a:rPr>
            <a:t> etc such that we can calculate the total cost in the respective columns of P, Q and R.</a:t>
          </a:r>
        </a:p>
        <a:p>
          <a:pPr algn="l"/>
          <a:r>
            <a:rPr lang="en-US" sz="1100" b="1">
              <a:solidFill>
                <a:sysClr val="windowText" lastClr="000000"/>
              </a:solidFill>
            </a:rPr>
            <a:t>AE to @GCF Finance</a:t>
          </a:r>
          <a:r>
            <a:rPr lang="en-US" sz="1100">
              <a:solidFill>
                <a:sysClr val="windowText" lastClr="000000"/>
              </a:solidFill>
            </a:rPr>
            <a:t>: Table readjusted to make sure providing</a:t>
          </a:r>
          <a:r>
            <a:rPr lang="en-US" sz="1100" baseline="0">
              <a:solidFill>
                <a:sysClr val="windowText" lastClr="000000"/>
              </a:solidFill>
            </a:rPr>
            <a:t> required info. Due to the similar nature between "Quantity " and "Number of units... " column,  the table was slightly adjusted to provide the required information and trace costs / quantities. Please let us know if that suits the purpose. </a:t>
          </a:r>
        </a:p>
        <a:p>
          <a:pPr algn="l"/>
          <a:r>
            <a:rPr lang="en-US" sz="1100" b="1" baseline="0">
              <a:solidFill>
                <a:sysClr val="windowText" lastClr="000000"/>
              </a:solidFill>
            </a:rPr>
            <a:t>GCF Finance:30.03.2022</a:t>
          </a:r>
        </a:p>
        <a:p>
          <a:pPr algn="l"/>
          <a:r>
            <a:rPr lang="en-US" sz="1100" b="0" baseline="0">
              <a:solidFill>
                <a:sysClr val="windowText" lastClr="000000"/>
              </a:solidFill>
            </a:rPr>
            <a:t>Dear FAO Colleagues, noted with thanks.</a:t>
          </a:r>
        </a:p>
        <a:p>
          <a:pPr algn="l"/>
          <a:endParaRPr lang="en-US"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c365.sharepoint.com/FINANCE/JOHN/John%202002/Balance%20Sheet%20ACS/Gratuity%20Revalu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nservation.sharepoint.com/teams/Extranet/gcf/Shared%20Documents/03.%20Templates%20+%20Policies/30.2%20Templates/Funding%20proposal/AE%20Fees/2020.04.03%20CI-GCF%20AE%20fees%20BOT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fao.sharepoint.com/Users/erwodzi/Downloads/Annex%203.%20Budget%20Plan_v3.3%20(1).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EXO_quote_sheet1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tc365.sharepoint.com/sites/XCR04/site030/Shared%20Documents/_Funding%20Proposal/Internal%20sign-off%20package/Budget/VAN%20VCCRP%20MASTER%20Budget_for%20internal%20sign-off%20V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unitednations-my.sharepoint.com/C:/O:/FMS09502/Working/FMS%202010/2010_quote_sheet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unfao.sharepoint.com/Users/Martinezmi.FIELD/Desktop/PB_tool_GC_Funding_Proposal_RELIVE%205feb2020%20Guatemal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tuity Regional staff"/>
      <sheetName val="Gratuity Kenyan staff"/>
      <sheetName val="Gratuity Kenyan staff (2)"/>
      <sheetName val="Gratuity 1999"/>
      <sheetName val="SUDBASE"/>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Look up for area recharge rates"/>
      <sheetName val="Guidance"/>
      <sheetName val="Kenya and Ethiopia summary"/>
      <sheetName val="IRC SUMMARY"/>
      <sheetName val="Detailed Budge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Menu"/>
      <sheetName val="CI-GCF Instructions"/>
      <sheetName val="GCF Impacts and Outcomes "/>
      <sheetName val="Budget Notes Examples"/>
      <sheetName val="Budget Notes Guide"/>
      <sheetName val="Budget Review"/>
      <sheetName val="GCF Template"/>
      <sheetName val="Version Details"/>
      <sheetName val="CCENTER TEMPLATE"/>
      <sheetName val="Courtney"/>
      <sheetName val="Proposal Budget Checklist"/>
      <sheetName val="Concept Budget Checklist"/>
      <sheetName val="Cost-Share Breakdown"/>
      <sheetName val="US Rent Calculation"/>
      <sheetName val="ActivityMap"/>
      <sheetName val="Susana"/>
      <sheetName val="Rob"/>
      <sheetName val="Steve Miguel Ian"/>
      <sheetName val="Kelly"/>
      <sheetName val="Agency"/>
      <sheetName val="by Work Order"/>
      <sheetName val="by Cost Center"/>
      <sheetName val="by Expense"/>
      <sheetName val="Personnel"/>
      <sheetName val="Pivot for Budget Notes"/>
      <sheetName val="Donor Budget Template"/>
      <sheetName val="Proposed Co-financing "/>
      <sheetName val="Proposed sub-grantees"/>
      <sheetName val="Staffing Plan"/>
      <sheetName val="Subgrantee budget 1"/>
      <sheetName val="Travel Worksheet"/>
      <sheetName val="Workshop Worksheet"/>
      <sheetName val="Other Agency Costs worksheet"/>
      <sheetName val="IA Worksheet"/>
      <sheetName val="Outcome Map"/>
      <sheetName val="AccountMap"/>
      <sheetName val="Line Item Detail"/>
      <sheetName val="Staffing Report"/>
      <sheetName val="GEF Annual Format"/>
      <sheetName val="ReportData"/>
      <sheetName val="Budget Type"/>
      <sheetName val="VERSION"/>
      <sheetName val="COSTC"/>
      <sheetName val="CCENTER"/>
      <sheetName val="RESNO"/>
      <sheetName val="ACCT LIST"/>
      <sheetName val="ACCOUNT"/>
      <sheetName val="PROJECT"/>
      <sheetName val="WORKORD"/>
      <sheetName val="ACTIVITY"/>
      <sheetName val="WORKORD ACTIVITY"/>
      <sheetName val="PERIOD"/>
      <sheetName val="SCENARIO"/>
      <sheetName val="RATES"/>
      <sheetName val="FRINGE"/>
      <sheetName val="PASC"/>
      <sheetName val="PivotMaster"/>
      <sheetName val="Planner Upload"/>
      <sheetName val="Posted"/>
      <sheetName val="PostedData"/>
      <sheetName val="Delete"/>
      <sheetName val="Release Notes"/>
      <sheetName val="MDB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Title Lists"/>
      <sheetName val="Detailed Budget Plan"/>
      <sheetName val="Detailed Budget Notes(CP1)"/>
      <sheetName val="Detailed Budget Notes(CP2)"/>
      <sheetName val="Detailed Budget Notes(PMU)"/>
    </sheetNames>
    <sheetDataSet>
      <sheetData sheetId="0"/>
      <sheetData sheetId="1">
        <row r="1">
          <cell r="B1" t="str">
            <v>Components</v>
          </cell>
          <cell r="F1" t="str">
            <v>Budget Categories</v>
          </cell>
          <cell r="H1" t="str">
            <v>List of Funding Source</v>
          </cell>
        </row>
        <row r="2">
          <cell r="F2" t="str">
            <v>Construction &amp; Installation</v>
          </cell>
          <cell r="H2" t="str">
            <v>GCF</v>
          </cell>
        </row>
        <row r="3">
          <cell r="F3" t="str">
            <v>Consultant - Individual - International</v>
          </cell>
          <cell r="H3" t="str">
            <v>KOICA</v>
          </cell>
        </row>
        <row r="4">
          <cell r="F4" t="str">
            <v>Consultant - Individual - Local</v>
          </cell>
          <cell r="H4" t="str">
            <v>FDB</v>
          </cell>
        </row>
        <row r="5">
          <cell r="F5" t="str">
            <v>Equipment - 4MWp APV system</v>
          </cell>
          <cell r="H5" t="str">
            <v>Private (Leveraged Finance)</v>
          </cell>
        </row>
        <row r="6">
          <cell r="F6" t="str">
            <v>Equipment - 5MWh BESS system</v>
          </cell>
          <cell r="H6" t="str">
            <v>GCF/FDB</v>
          </cell>
        </row>
        <row r="7">
          <cell r="F7" t="str">
            <v>Materials &amp; goods - Software</v>
          </cell>
          <cell r="H7"/>
        </row>
        <row r="8">
          <cell r="F8" t="str">
            <v>Other</v>
          </cell>
          <cell r="H8"/>
        </row>
        <row r="9">
          <cell r="F9" t="str">
            <v>Professional Service - Company / Firm - International</v>
          </cell>
          <cell r="H9"/>
        </row>
        <row r="10">
          <cell r="F10" t="str">
            <v>Professional Service - Company / Firm - Local</v>
          </cell>
          <cell r="H10"/>
        </row>
        <row r="11">
          <cell r="F11" t="str">
            <v>Reporting and Document - Training Material</v>
          </cell>
          <cell r="H11"/>
        </row>
        <row r="12">
          <cell r="F12" t="str">
            <v>Travel - Domestic (Fiji)</v>
          </cell>
          <cell r="H12"/>
        </row>
        <row r="13">
          <cell r="F13" t="str">
            <v>Travel - International (for SIDs)</v>
          </cell>
          <cell r="H13"/>
        </row>
        <row r="14">
          <cell r="F14" t="str">
            <v>Travel - International</v>
          </cell>
          <cell r="H14"/>
        </row>
        <row r="15">
          <cell r="F15" t="str">
            <v>Workshop and Training - Activity Disclosure</v>
          </cell>
          <cell r="H15"/>
        </row>
        <row r="16">
          <cell r="F16" t="str">
            <v>Workshop and Training - PV and BESS system_General</v>
          </cell>
          <cell r="H16"/>
        </row>
        <row r="17">
          <cell r="F17" t="str">
            <v>Workshop and Training - PV and BESS system_Professional</v>
          </cell>
          <cell r="H17"/>
        </row>
        <row r="18">
          <cell r="F18" t="str">
            <v>Workshop and Training - Engineering Expert program</v>
          </cell>
          <cell r="H18"/>
        </row>
        <row r="19">
          <cell r="F19" t="str">
            <v>Workshop and Training - International Workshop</v>
          </cell>
          <cell r="H19"/>
        </row>
        <row r="20">
          <cell r="F20" t="str">
            <v>Workshop and Training - Other</v>
          </cell>
          <cell r="H20"/>
        </row>
        <row r="21">
          <cell r="F21" t="str">
            <v>Staff</v>
          </cell>
          <cell r="H21"/>
        </row>
        <row r="22">
          <cell r="F22" t="str">
            <v>Installation &amp; Connection</v>
          </cell>
          <cell r="H22"/>
        </row>
        <row r="23">
          <cell r="F23" t="str">
            <v>Staff (E&amp;S, Gender Specialist)</v>
          </cell>
          <cell r="H23"/>
        </row>
        <row r="24">
          <cell r="F24"/>
          <cell r="H24"/>
        </row>
        <row r="25">
          <cell r="F25"/>
          <cell r="H25"/>
        </row>
        <row r="26">
          <cell r="F26"/>
          <cell r="H26"/>
        </row>
        <row r="27">
          <cell r="F27"/>
          <cell r="H27"/>
        </row>
        <row r="28">
          <cell r="F28"/>
          <cell r="H28"/>
        </row>
        <row r="29">
          <cell r="F29"/>
          <cell r="H29"/>
        </row>
        <row r="30">
          <cell r="F30"/>
          <cell r="H30"/>
        </row>
        <row r="31">
          <cell r="F31"/>
          <cell r="H31"/>
        </row>
        <row r="32">
          <cell r="F32"/>
          <cell r="H32"/>
        </row>
        <row r="33">
          <cell r="F33"/>
          <cell r="H33"/>
        </row>
        <row r="34">
          <cell r="F34"/>
          <cell r="H34"/>
        </row>
        <row r="35">
          <cell r="F35"/>
          <cell r="H35"/>
        </row>
        <row r="36">
          <cell r="F36"/>
          <cell r="H36"/>
        </row>
        <row r="37">
          <cell r="F37"/>
          <cell r="H37"/>
        </row>
        <row r="38">
          <cell r="F38"/>
          <cell r="H38"/>
        </row>
        <row r="39">
          <cell r="F39"/>
          <cell r="H39"/>
        </row>
        <row r="40">
          <cell r="F40"/>
          <cell r="H40"/>
        </row>
        <row r="41">
          <cell r="F41"/>
          <cell r="H41"/>
        </row>
        <row r="42">
          <cell r="H42"/>
        </row>
        <row r="43">
          <cell r="H43"/>
        </row>
        <row r="44">
          <cell r="H44"/>
        </row>
        <row r="45">
          <cell r="H45"/>
        </row>
        <row r="46">
          <cell r="H46"/>
        </row>
        <row r="47">
          <cell r="H47"/>
        </row>
        <row r="48">
          <cell r="H48"/>
        </row>
        <row r="49">
          <cell r="H49"/>
        </row>
        <row r="50">
          <cell r="H50"/>
        </row>
        <row r="51">
          <cell r="H51"/>
        </row>
        <row r="52">
          <cell r="H52"/>
        </row>
        <row r="53">
          <cell r="H53"/>
        </row>
        <row r="54">
          <cell r="H54"/>
        </row>
        <row r="55">
          <cell r="F55"/>
          <cell r="H55"/>
        </row>
        <row r="56">
          <cell r="F56"/>
          <cell r="H56"/>
        </row>
        <row r="57">
          <cell r="F57"/>
          <cell r="H57"/>
        </row>
        <row r="58">
          <cell r="H58"/>
        </row>
        <row r="59">
          <cell r="F59"/>
          <cell r="H59"/>
        </row>
        <row r="60">
          <cell r="F60"/>
          <cell r="H60"/>
        </row>
        <row r="61">
          <cell r="F61"/>
          <cell r="H61"/>
        </row>
        <row r="62">
          <cell r="F62"/>
          <cell r="H62"/>
        </row>
        <row r="63">
          <cell r="F63"/>
          <cell r="H63"/>
        </row>
        <row r="64">
          <cell r="F64"/>
          <cell r="H64"/>
        </row>
      </sheetData>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otation"/>
      <sheetName val="Hire Quote"/>
      <sheetName val="Effort"/>
      <sheetName val="Equipment"/>
      <sheetName val="PriceList"/>
      <sheetName val="Hire Price List"/>
    </sheetNames>
    <sheetDataSet>
      <sheetData sheetId="0">
        <row r="2">
          <cell r="L2">
            <v>0</v>
          </cell>
        </row>
      </sheetData>
      <sheetData sheetId="1"/>
      <sheetData sheetId="2"/>
      <sheetData sheetId="3"/>
      <sheetData sheetId="4"/>
      <sheetData sheetId="5">
        <row r="3">
          <cell r="B3" t="str">
            <v>monthly rate</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Log Frame"/>
      <sheetName val="Summary Impl Budget "/>
      <sheetName val="Vanuatu Gov Contribution"/>
      <sheetName val="Activity detail "/>
      <sheetName val="PMC Budget"/>
      <sheetName val="Staff Split"/>
      <sheetName val="Cost assumptions"/>
      <sheetName val="Lists"/>
    </sheetNames>
    <sheetDataSet>
      <sheetData sheetId="0"/>
      <sheetData sheetId="1"/>
      <sheetData sheetId="2"/>
      <sheetData sheetId="3"/>
      <sheetData sheetId="4"/>
      <sheetData sheetId="5"/>
      <sheetData sheetId="6"/>
      <sheetData sheetId="7"/>
      <sheetData sheetId="8">
        <row r="5">
          <cell r="D5" t="str">
            <v xml:space="preserve">Staff Cost </v>
          </cell>
          <cell r="F5" t="str">
            <v>STCV</v>
          </cell>
        </row>
        <row r="6">
          <cell r="D6" t="str">
            <v>Local consultants</v>
          </cell>
          <cell r="F6" t="str">
            <v>DoCC</v>
          </cell>
        </row>
        <row r="7">
          <cell r="D7" t="str">
            <v>International consultant</v>
          </cell>
          <cell r="F7" t="str">
            <v>DLA</v>
          </cell>
        </row>
        <row r="8">
          <cell r="D8" t="str">
            <v>Equipment</v>
          </cell>
          <cell r="F8" t="str">
            <v>DoA</v>
          </cell>
        </row>
        <row r="9">
          <cell r="D9" t="str">
            <v xml:space="preserve">Constuction cost </v>
          </cell>
          <cell r="F9" t="str">
            <v>VFD</v>
          </cell>
        </row>
        <row r="10">
          <cell r="D10" t="str">
            <v>Training, workshops, and conference</v>
          </cell>
          <cell r="F10" t="str">
            <v>NDMO</v>
          </cell>
        </row>
        <row r="11">
          <cell r="D11" t="str">
            <v>Travel</v>
          </cell>
          <cell r="F11" t="str">
            <v>DoWR</v>
          </cell>
        </row>
        <row r="12">
          <cell r="D12" t="str">
            <v xml:space="preserve">Professional/ Contractual Services </v>
          </cell>
          <cell r="F12" t="str">
            <v>DoWA</v>
          </cell>
        </row>
        <row r="13">
          <cell r="D13" t="str">
            <v>Other</v>
          </cell>
          <cell r="F13" t="str">
            <v>MoIA</v>
          </cell>
        </row>
        <row r="14">
          <cell r="D14" t="str">
            <v>Office Supplies</v>
          </cell>
          <cell r="F14" t="str">
            <v>DoF</v>
          </cell>
        </row>
        <row r="15">
          <cell r="D15" t="str">
            <v>Services</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otation"/>
      <sheetName val="Hire Quote"/>
      <sheetName val="Effort"/>
      <sheetName val="Equipment"/>
      <sheetName val="PriceList"/>
      <sheetName val="Hire Price List"/>
      <sheetName val="Stock"/>
    </sheetNames>
    <sheetDataSet>
      <sheetData sheetId="0"/>
      <sheetData sheetId="1"/>
      <sheetData sheetId="2"/>
      <sheetData sheetId="3"/>
      <sheetData sheetId="4">
        <row r="2">
          <cell r="A2" t="str">
            <v>ACCMOIS</v>
          </cell>
          <cell r="B2" t="str">
            <v>ACCLIMA DIGITAL TDT MOISTURE SENSOR</v>
          </cell>
          <cell r="C2">
            <v>290</v>
          </cell>
          <cell r="D2">
            <v>290</v>
          </cell>
          <cell r="E2">
            <v>290</v>
          </cell>
          <cell r="F2">
            <v>290</v>
          </cell>
          <cell r="G2">
            <v>290</v>
          </cell>
          <cell r="H2">
            <v>221.917</v>
          </cell>
          <cell r="I2">
            <v>40219</v>
          </cell>
        </row>
        <row r="3">
          <cell r="A3" t="str">
            <v>ADCKA05</v>
          </cell>
          <cell r="B3" t="str">
            <v>ANALOGUE TO DIGITAL CONVERTER KAINGA (0-</v>
          </cell>
          <cell r="C3">
            <v>600</v>
          </cell>
          <cell r="D3">
            <v>600</v>
          </cell>
          <cell r="E3">
            <v>600</v>
          </cell>
          <cell r="F3">
            <v>600</v>
          </cell>
          <cell r="G3">
            <v>600</v>
          </cell>
          <cell r="H3">
            <v>0</v>
          </cell>
        </row>
        <row r="4">
          <cell r="A4" t="str">
            <v>ADCKA10</v>
          </cell>
          <cell r="B4" t="str">
            <v>ANALOGUE TO DIGITAL CONVERTER KAINGA (0-</v>
          </cell>
          <cell r="C4">
            <v>115.5</v>
          </cell>
          <cell r="D4">
            <v>143</v>
          </cell>
          <cell r="E4">
            <v>143</v>
          </cell>
          <cell r="F4">
            <v>143</v>
          </cell>
          <cell r="G4">
            <v>143</v>
          </cell>
          <cell r="H4">
            <v>110</v>
          </cell>
        </row>
        <row r="5">
          <cell r="A5" t="str">
            <v>ADCPCAB</v>
          </cell>
          <cell r="B5" t="str">
            <v>STREAMPRO ADCP CABLE EXTENSION</v>
          </cell>
          <cell r="C5">
            <v>25</v>
          </cell>
          <cell r="D5">
            <v>31.2</v>
          </cell>
          <cell r="E5">
            <v>31.2</v>
          </cell>
          <cell r="F5">
            <v>31.2</v>
          </cell>
          <cell r="G5">
            <v>31.2</v>
          </cell>
          <cell r="H5">
            <v>18.742000000000001</v>
          </cell>
          <cell r="I5">
            <v>40087</v>
          </cell>
        </row>
        <row r="6">
          <cell r="A6" t="str">
            <v>ADCPCHA</v>
          </cell>
          <cell r="B6" t="str">
            <v>CHANNELMASTER 600kHz</v>
          </cell>
          <cell r="C6">
            <v>9513</v>
          </cell>
          <cell r="D6">
            <v>11780</v>
          </cell>
          <cell r="E6">
            <v>11780</v>
          </cell>
          <cell r="F6">
            <v>11780</v>
          </cell>
          <cell r="G6">
            <v>11780</v>
          </cell>
          <cell r="H6">
            <v>9056.8889999999992</v>
          </cell>
        </row>
        <row r="7">
          <cell r="A7" t="str">
            <v>ADCPCHA1</v>
          </cell>
          <cell r="B7" t="str">
            <v>CHANNELMASTER 1200kHz</v>
          </cell>
          <cell r="C7">
            <v>11340</v>
          </cell>
          <cell r="D7">
            <v>14050</v>
          </cell>
          <cell r="E7">
            <v>14050</v>
          </cell>
          <cell r="F7">
            <v>14050</v>
          </cell>
          <cell r="G7">
            <v>14050</v>
          </cell>
          <cell r="H7">
            <v>10766.666999999999</v>
          </cell>
        </row>
        <row r="8">
          <cell r="A8" t="str">
            <v>ADCPFIR</v>
          </cell>
          <cell r="B8" t="str">
            <v>ADCP STREAMPRO FIRMWARE</v>
          </cell>
          <cell r="C8">
            <v>3265</v>
          </cell>
          <cell r="D8">
            <v>4050</v>
          </cell>
          <cell r="E8">
            <v>4050</v>
          </cell>
          <cell r="F8">
            <v>4050</v>
          </cell>
          <cell r="G8">
            <v>4050</v>
          </cell>
          <cell r="H8">
            <v>3108.395</v>
          </cell>
        </row>
        <row r="9">
          <cell r="A9" t="str">
            <v>ADCPRR</v>
          </cell>
          <cell r="B9" t="str">
            <v>RIVERRAY ADCP</v>
          </cell>
          <cell r="C9">
            <v>30800</v>
          </cell>
          <cell r="D9">
            <v>30800</v>
          </cell>
          <cell r="E9">
            <v>30800</v>
          </cell>
          <cell r="F9">
            <v>30800</v>
          </cell>
          <cell r="G9">
            <v>30800</v>
          </cell>
          <cell r="H9">
            <v>23693.26</v>
          </cell>
          <cell r="I9">
            <v>40179</v>
          </cell>
        </row>
        <row r="10">
          <cell r="A10" t="str">
            <v>ADCPSBA</v>
          </cell>
          <cell r="B10" t="str">
            <v>ADCP STREAMPRO BATTERY CELL HOLDER</v>
          </cell>
          <cell r="C10">
            <v>44</v>
          </cell>
          <cell r="D10">
            <v>58</v>
          </cell>
          <cell r="E10">
            <v>58</v>
          </cell>
          <cell r="F10">
            <v>58</v>
          </cell>
          <cell r="G10">
            <v>58</v>
          </cell>
          <cell r="H10">
            <v>35.75</v>
          </cell>
        </row>
        <row r="11">
          <cell r="A11" t="str">
            <v>ADCPSBT</v>
          </cell>
          <cell r="B11" t="str">
            <v>SHALLOW WATER BOTTOM-TRACKER</v>
          </cell>
          <cell r="C11">
            <v>5344</v>
          </cell>
          <cell r="D11">
            <v>6616</v>
          </cell>
          <cell r="E11">
            <v>6616</v>
          </cell>
          <cell r="F11">
            <v>6616</v>
          </cell>
          <cell r="G11">
            <v>6616</v>
          </cell>
          <cell r="H11">
            <v>3981.1770000000001</v>
          </cell>
        </row>
        <row r="12">
          <cell r="A12" t="str">
            <v>ADCPSCU</v>
          </cell>
          <cell r="B12" t="str">
            <v>STREAMPRO COMPASS UPGRADE</v>
          </cell>
          <cell r="C12">
            <v>2250</v>
          </cell>
          <cell r="D12">
            <v>2895</v>
          </cell>
          <cell r="E12">
            <v>2895</v>
          </cell>
          <cell r="F12">
            <v>2895</v>
          </cell>
          <cell r="G12">
            <v>2895</v>
          </cell>
          <cell r="H12">
            <v>1997.9369999999999</v>
          </cell>
        </row>
        <row r="13">
          <cell r="A13" t="str">
            <v>ADCPSSS</v>
          </cell>
          <cell r="B13" t="str">
            <v>ADCP STREAMPRO SUNSHIELD</v>
          </cell>
          <cell r="C13">
            <v>42</v>
          </cell>
          <cell r="D13">
            <v>52</v>
          </cell>
          <cell r="E13">
            <v>52</v>
          </cell>
          <cell r="F13">
            <v>52</v>
          </cell>
          <cell r="G13">
            <v>52</v>
          </cell>
          <cell r="H13">
            <v>35.034999999999997</v>
          </cell>
        </row>
        <row r="14">
          <cell r="A14" t="str">
            <v>ADCPSTC</v>
          </cell>
          <cell r="B14" t="str">
            <v>ADCP STREAMPRO TRANSDUCER CAP</v>
          </cell>
          <cell r="C14">
            <v>28</v>
          </cell>
          <cell r="D14">
            <v>38</v>
          </cell>
          <cell r="E14">
            <v>38</v>
          </cell>
          <cell r="F14">
            <v>38</v>
          </cell>
          <cell r="G14">
            <v>38</v>
          </cell>
          <cell r="H14">
            <v>22.88</v>
          </cell>
        </row>
        <row r="15">
          <cell r="A15" t="str">
            <v>ADCPSTC1</v>
          </cell>
          <cell r="B15" t="str">
            <v>STREAMPRO ADCP TRANSDUCER CAP</v>
          </cell>
          <cell r="C15">
            <v>4</v>
          </cell>
          <cell r="D15">
            <v>4</v>
          </cell>
          <cell r="E15">
            <v>4</v>
          </cell>
          <cell r="F15">
            <v>4</v>
          </cell>
          <cell r="G15">
            <v>4</v>
          </cell>
          <cell r="H15">
            <v>1.43</v>
          </cell>
        </row>
        <row r="16">
          <cell r="A16" t="str">
            <v>ADCPSTR</v>
          </cell>
          <cell r="B16" t="str">
            <v>ADCP STREAMPRO WITHOUT POCKET PC</v>
          </cell>
          <cell r="C16">
            <v>21016</v>
          </cell>
          <cell r="D16">
            <v>26020</v>
          </cell>
          <cell r="E16">
            <v>26020</v>
          </cell>
          <cell r="F16">
            <v>26020</v>
          </cell>
          <cell r="G16">
            <v>26020</v>
          </cell>
          <cell r="H16">
            <v>18098.264999999999</v>
          </cell>
        </row>
        <row r="17">
          <cell r="A17" t="str">
            <v>ADCPZED</v>
          </cell>
          <cell r="B17" t="str">
            <v>ADCP 1200 KHZ "ZEDHED" #WHRZ1200</v>
          </cell>
          <cell r="C17">
            <v>29979.95</v>
          </cell>
          <cell r="D17">
            <v>37118</v>
          </cell>
          <cell r="E17">
            <v>37118</v>
          </cell>
          <cell r="F17">
            <v>37118</v>
          </cell>
          <cell r="G17">
            <v>37118</v>
          </cell>
          <cell r="H17">
            <v>23003.436000000002</v>
          </cell>
          <cell r="I17">
            <v>39882</v>
          </cell>
        </row>
        <row r="18">
          <cell r="A18" t="str">
            <v>ADH-ADOS</v>
          </cell>
          <cell r="B18" t="str">
            <v>ADHESIVE  ADOS F2 (75ml TUBE)</v>
          </cell>
          <cell r="C18">
            <v>8.9</v>
          </cell>
          <cell r="D18">
            <v>8.9</v>
          </cell>
          <cell r="E18">
            <v>8.9</v>
          </cell>
          <cell r="F18">
            <v>8.9</v>
          </cell>
          <cell r="G18">
            <v>8.9</v>
          </cell>
          <cell r="H18">
            <v>6.83</v>
          </cell>
          <cell r="I18">
            <v>40252</v>
          </cell>
        </row>
        <row r="19">
          <cell r="A19" t="str">
            <v>ADH-ARA2011</v>
          </cell>
          <cell r="B19" t="str">
            <v>PERMABOND ET505 ADHESIVE</v>
          </cell>
          <cell r="C19">
            <v>50</v>
          </cell>
          <cell r="D19">
            <v>50</v>
          </cell>
          <cell r="E19">
            <v>50</v>
          </cell>
          <cell r="F19">
            <v>50</v>
          </cell>
          <cell r="G19">
            <v>50</v>
          </cell>
          <cell r="H19">
            <v>27.32</v>
          </cell>
        </row>
        <row r="20">
          <cell r="A20" t="str">
            <v>ADH-ARAQD</v>
          </cell>
          <cell r="B20" t="str">
            <v>ARALDITE QUICK-DRY (24ml TWIN PACK)</v>
          </cell>
          <cell r="C20">
            <v>22</v>
          </cell>
          <cell r="D20">
            <v>22</v>
          </cell>
          <cell r="E20">
            <v>22</v>
          </cell>
          <cell r="F20">
            <v>22</v>
          </cell>
          <cell r="G20">
            <v>22</v>
          </cell>
          <cell r="H20">
            <v>16.23</v>
          </cell>
        </row>
        <row r="21">
          <cell r="A21" t="str">
            <v>ADH-LOCT454</v>
          </cell>
          <cell r="B21" t="str">
            <v>LOCTITE 454 INSTANT ADHESIVE GEL TUBE</v>
          </cell>
          <cell r="C21">
            <v>45</v>
          </cell>
          <cell r="D21">
            <v>45</v>
          </cell>
          <cell r="E21">
            <v>45</v>
          </cell>
          <cell r="F21">
            <v>45</v>
          </cell>
          <cell r="G21">
            <v>45</v>
          </cell>
          <cell r="H21">
            <v>31.2</v>
          </cell>
        </row>
        <row r="22">
          <cell r="A22" t="str">
            <v>ADHAR2012</v>
          </cell>
          <cell r="B22" t="str">
            <v>ARALDITE 2012 50ML TWIN PACK</v>
          </cell>
          <cell r="C22">
            <v>32.65</v>
          </cell>
          <cell r="D22">
            <v>40.5</v>
          </cell>
          <cell r="E22">
            <v>40.5</v>
          </cell>
          <cell r="F22">
            <v>40.5</v>
          </cell>
          <cell r="G22">
            <v>40.5</v>
          </cell>
          <cell r="H22">
            <v>31.1</v>
          </cell>
          <cell r="I22">
            <v>40127</v>
          </cell>
        </row>
        <row r="23">
          <cell r="A23" t="str">
            <v>ADHARSS</v>
          </cell>
          <cell r="B23" t="str">
            <v>ARALDITE 2011 SUPER STRENGTH IN 35ml TWI</v>
          </cell>
          <cell r="C23">
            <v>210</v>
          </cell>
          <cell r="D23">
            <v>210</v>
          </cell>
          <cell r="E23">
            <v>210</v>
          </cell>
          <cell r="F23">
            <v>210</v>
          </cell>
          <cell r="G23">
            <v>210</v>
          </cell>
          <cell r="H23">
            <v>0</v>
          </cell>
        </row>
        <row r="24">
          <cell r="A24" t="str">
            <v>ADPPIN</v>
          </cell>
          <cell r="B24" t="str">
            <v>ADP PIN</v>
          </cell>
          <cell r="C24">
            <v>60</v>
          </cell>
          <cell r="D24">
            <v>60</v>
          </cell>
          <cell r="E24">
            <v>60</v>
          </cell>
          <cell r="F24">
            <v>60</v>
          </cell>
          <cell r="G24">
            <v>60</v>
          </cell>
          <cell r="H24">
            <v>0</v>
          </cell>
        </row>
        <row r="25">
          <cell r="A25" t="str">
            <v>AERCGPS</v>
          </cell>
          <cell r="B25" t="str">
            <v>AERIAL  CERAMIC GPS #P1951</v>
          </cell>
          <cell r="C25">
            <v>100</v>
          </cell>
          <cell r="D25">
            <v>100</v>
          </cell>
          <cell r="E25">
            <v>100</v>
          </cell>
          <cell r="F25">
            <v>100</v>
          </cell>
          <cell r="G25">
            <v>100</v>
          </cell>
          <cell r="H25">
            <v>0</v>
          </cell>
        </row>
        <row r="26">
          <cell r="A26" t="str">
            <v>AERCLLI</v>
          </cell>
          <cell r="B26" t="str">
            <v>AERIAL CLAMP LINCRAD 6mm X 50 HOLE CENT</v>
          </cell>
          <cell r="C26">
            <v>8</v>
          </cell>
          <cell r="D26">
            <v>8</v>
          </cell>
          <cell r="E26">
            <v>8</v>
          </cell>
          <cell r="F26">
            <v>8</v>
          </cell>
          <cell r="G26">
            <v>8</v>
          </cell>
          <cell r="H26">
            <v>4.95</v>
          </cell>
        </row>
        <row r="27">
          <cell r="A27" t="str">
            <v>AERGPRS</v>
          </cell>
          <cell r="B27" t="str">
            <v>AERIAL COAXIAL 0.5W 3DB 900-950MHZ</v>
          </cell>
          <cell r="C27">
            <v>140</v>
          </cell>
          <cell r="D27">
            <v>140</v>
          </cell>
          <cell r="E27">
            <v>140</v>
          </cell>
          <cell r="F27">
            <v>140</v>
          </cell>
          <cell r="G27">
            <v>140</v>
          </cell>
          <cell r="H27">
            <v>90.5</v>
          </cell>
        </row>
        <row r="28">
          <cell r="A28" t="str">
            <v>AERYAGC</v>
          </cell>
          <cell r="B28" t="str">
            <v>YAGI AERIAL 10 ELEMENT CDMA NETWORK</v>
          </cell>
          <cell r="C28">
            <v>300</v>
          </cell>
          <cell r="D28">
            <v>375</v>
          </cell>
          <cell r="E28">
            <v>375</v>
          </cell>
          <cell r="F28">
            <v>375</v>
          </cell>
          <cell r="G28">
            <v>375</v>
          </cell>
          <cell r="H28">
            <v>258.39999999999998</v>
          </cell>
          <cell r="I28">
            <v>40366</v>
          </cell>
        </row>
        <row r="29">
          <cell r="A29" t="str">
            <v>AERYAGE</v>
          </cell>
          <cell r="B29" t="str">
            <v>CY5E E BAND 5 ELEMENT YAGI AERIAL</v>
          </cell>
          <cell r="C29">
            <v>435</v>
          </cell>
          <cell r="D29">
            <v>435</v>
          </cell>
          <cell r="E29">
            <v>435</v>
          </cell>
          <cell r="F29">
            <v>435</v>
          </cell>
          <cell r="G29">
            <v>435</v>
          </cell>
          <cell r="H29">
            <v>331.7</v>
          </cell>
        </row>
        <row r="30">
          <cell r="A30" t="str">
            <v>AERYAGG</v>
          </cell>
          <cell r="B30" t="str">
            <v>AERIAL,YAGI 10 ELEMENT GPRS NETWORK</v>
          </cell>
          <cell r="C30">
            <v>315</v>
          </cell>
          <cell r="D30">
            <v>315</v>
          </cell>
          <cell r="E30">
            <v>315</v>
          </cell>
          <cell r="F30">
            <v>315</v>
          </cell>
          <cell r="G30">
            <v>315</v>
          </cell>
          <cell r="H30">
            <v>241.35</v>
          </cell>
          <cell r="I30">
            <v>40276</v>
          </cell>
        </row>
        <row r="31">
          <cell r="A31" t="str">
            <v>AERYAGI</v>
          </cell>
          <cell r="B31" t="str">
            <v>**CANCELLED - USE AERYAGG INSTEAD**</v>
          </cell>
          <cell r="C31">
            <v>295</v>
          </cell>
          <cell r="D31">
            <v>295</v>
          </cell>
          <cell r="E31">
            <v>295</v>
          </cell>
          <cell r="F31">
            <v>295</v>
          </cell>
          <cell r="G31">
            <v>295</v>
          </cell>
          <cell r="H31">
            <v>227</v>
          </cell>
        </row>
        <row r="32">
          <cell r="A32" t="str">
            <v>AIRCAB10</v>
          </cell>
          <cell r="B32" t="str">
            <v>PB100 WEATHER STATION CABLE 10m</v>
          </cell>
          <cell r="C32">
            <v>55</v>
          </cell>
          <cell r="D32">
            <v>55</v>
          </cell>
          <cell r="E32">
            <v>55</v>
          </cell>
          <cell r="F32">
            <v>55</v>
          </cell>
          <cell r="G32">
            <v>55</v>
          </cell>
          <cell r="H32">
            <v>43.792000000000002</v>
          </cell>
        </row>
        <row r="33">
          <cell r="A33" t="str">
            <v>AIRCAB30</v>
          </cell>
          <cell r="B33" t="str">
            <v>PB200 WEATHER STATION CABLE 30m</v>
          </cell>
          <cell r="C33">
            <v>180</v>
          </cell>
          <cell r="D33">
            <v>180</v>
          </cell>
          <cell r="E33">
            <v>180</v>
          </cell>
          <cell r="F33">
            <v>180</v>
          </cell>
          <cell r="G33">
            <v>180</v>
          </cell>
          <cell r="H33">
            <v>149.75899999999999</v>
          </cell>
          <cell r="I33">
            <v>39881</v>
          </cell>
        </row>
        <row r="34">
          <cell r="A34" t="str">
            <v>AIRCON</v>
          </cell>
          <cell r="B34" t="str">
            <v>AIRMAR CONVERTER RS485 - USB</v>
          </cell>
          <cell r="C34">
            <v>882.5</v>
          </cell>
          <cell r="D34">
            <v>1092</v>
          </cell>
          <cell r="E34">
            <v>1092</v>
          </cell>
          <cell r="F34">
            <v>1092</v>
          </cell>
          <cell r="G34">
            <v>1092</v>
          </cell>
          <cell r="H34">
            <v>265.40300000000002</v>
          </cell>
        </row>
        <row r="35">
          <cell r="A35" t="str">
            <v>AIRLDM</v>
          </cell>
          <cell r="B35" t="str">
            <v>AERIAL LIGHTWEIGHT DECK MOUNT #P6067</v>
          </cell>
          <cell r="C35">
            <v>60</v>
          </cell>
          <cell r="D35">
            <v>60</v>
          </cell>
          <cell r="E35">
            <v>60</v>
          </cell>
          <cell r="F35">
            <v>60</v>
          </cell>
          <cell r="G35">
            <v>60</v>
          </cell>
          <cell r="H35">
            <v>25.59</v>
          </cell>
        </row>
        <row r="36">
          <cell r="A36" t="str">
            <v>AIRP39</v>
          </cell>
          <cell r="B36" t="str">
            <v>AIRMAR P39 TRIDUCER SENSOR</v>
          </cell>
          <cell r="C36">
            <v>310</v>
          </cell>
          <cell r="D36">
            <v>380</v>
          </cell>
          <cell r="E36">
            <v>380</v>
          </cell>
          <cell r="F36">
            <v>380</v>
          </cell>
          <cell r="G36">
            <v>380</v>
          </cell>
          <cell r="H36">
            <v>292.089</v>
          </cell>
          <cell r="I36">
            <v>40252</v>
          </cell>
        </row>
        <row r="37">
          <cell r="A37" t="str">
            <v>AIRTDM</v>
          </cell>
          <cell r="B37" t="str">
            <v>AERIAL THROUGH DECK MOUNT #P6080</v>
          </cell>
          <cell r="C37">
            <v>60</v>
          </cell>
          <cell r="D37">
            <v>60</v>
          </cell>
          <cell r="E37">
            <v>60</v>
          </cell>
          <cell r="F37">
            <v>60</v>
          </cell>
          <cell r="G37">
            <v>60</v>
          </cell>
          <cell r="H37">
            <v>40</v>
          </cell>
        </row>
        <row r="38">
          <cell r="A38" t="str">
            <v>AIRWETR</v>
          </cell>
          <cell r="B38" t="str">
            <v>AIRMAR PB100 WEATHER STATION</v>
          </cell>
          <cell r="C38">
            <v>1100</v>
          </cell>
          <cell r="D38">
            <v>1100</v>
          </cell>
          <cell r="E38">
            <v>1100</v>
          </cell>
          <cell r="F38">
            <v>1100</v>
          </cell>
          <cell r="G38">
            <v>1100</v>
          </cell>
          <cell r="H38">
            <v>829.64300000000003</v>
          </cell>
        </row>
        <row r="39">
          <cell r="A39" t="str">
            <v>AIRWETR2</v>
          </cell>
          <cell r="B39" t="str">
            <v>AIRMAR PB200 WEATHER STATION</v>
          </cell>
          <cell r="C39">
            <v>1350</v>
          </cell>
          <cell r="D39">
            <v>1750</v>
          </cell>
          <cell r="E39">
            <v>1750</v>
          </cell>
          <cell r="F39">
            <v>1750</v>
          </cell>
          <cell r="G39">
            <v>1750</v>
          </cell>
          <cell r="H39">
            <v>1167</v>
          </cell>
          <cell r="I39">
            <v>39881</v>
          </cell>
        </row>
        <row r="40">
          <cell r="A40" t="str">
            <v>ALUFB25</v>
          </cell>
          <cell r="B40" t="str">
            <v>ALUMINIUM ALLOY FLAT BAR 25mm X 4.5m</v>
          </cell>
          <cell r="C40">
            <v>39</v>
          </cell>
          <cell r="D40">
            <v>39</v>
          </cell>
          <cell r="E40">
            <v>39</v>
          </cell>
          <cell r="F40">
            <v>39</v>
          </cell>
          <cell r="G40">
            <v>39</v>
          </cell>
          <cell r="H40">
            <v>24</v>
          </cell>
        </row>
        <row r="41">
          <cell r="A41" t="str">
            <v>ALUFB256</v>
          </cell>
          <cell r="B41" t="str">
            <v>ALUMINIUM ALLOY FLAT BAR 25mm X 6m</v>
          </cell>
          <cell r="C41">
            <v>50</v>
          </cell>
          <cell r="D41">
            <v>50</v>
          </cell>
          <cell r="E41">
            <v>50</v>
          </cell>
          <cell r="F41">
            <v>50</v>
          </cell>
          <cell r="G41">
            <v>50</v>
          </cell>
          <cell r="H41">
            <v>32.340000000000003</v>
          </cell>
        </row>
        <row r="42">
          <cell r="A42" t="str">
            <v>ALURA25</v>
          </cell>
          <cell r="B42" t="str">
            <v>ALUMINIUM ALLOY RIGHT ANGLE 25x25x4.5m</v>
          </cell>
          <cell r="C42">
            <v>60</v>
          </cell>
          <cell r="D42">
            <v>60</v>
          </cell>
          <cell r="E42">
            <v>60</v>
          </cell>
          <cell r="F42">
            <v>60</v>
          </cell>
          <cell r="G42">
            <v>60</v>
          </cell>
          <cell r="H42">
            <v>44.27</v>
          </cell>
        </row>
        <row r="43">
          <cell r="A43" t="str">
            <v>ALUTU12</v>
          </cell>
          <cell r="B43" t="str">
            <v>ALUMINIUM ALLOY TUBE 12.7x1.6mmx6m</v>
          </cell>
          <cell r="C43">
            <v>19</v>
          </cell>
          <cell r="D43">
            <v>19</v>
          </cell>
          <cell r="E43">
            <v>19</v>
          </cell>
          <cell r="F43">
            <v>19</v>
          </cell>
          <cell r="G43">
            <v>19</v>
          </cell>
          <cell r="H43">
            <v>15.5</v>
          </cell>
        </row>
        <row r="44">
          <cell r="A44" t="str">
            <v>AMPSELL900/1800</v>
          </cell>
          <cell r="B44" t="str">
            <v>AMPLIFIER 900/1800 MHZ INCL FME CABLE</v>
          </cell>
          <cell r="C44">
            <v>573.5</v>
          </cell>
          <cell r="D44">
            <v>710</v>
          </cell>
          <cell r="E44">
            <v>710</v>
          </cell>
          <cell r="F44">
            <v>710</v>
          </cell>
          <cell r="G44">
            <v>710</v>
          </cell>
          <cell r="H44">
            <v>546</v>
          </cell>
          <cell r="I44">
            <v>40161</v>
          </cell>
        </row>
        <row r="45">
          <cell r="A45" t="str">
            <v>AMSBRG1</v>
          </cell>
          <cell r="B45" t="str">
            <v>BEARING 8 x16 x 4mm  NO SHIELD</v>
          </cell>
          <cell r="C45">
            <v>25</v>
          </cell>
          <cell r="D45">
            <v>25</v>
          </cell>
          <cell r="E45">
            <v>25</v>
          </cell>
          <cell r="F45">
            <v>25</v>
          </cell>
          <cell r="G45">
            <v>25</v>
          </cell>
          <cell r="H45">
            <v>20.12</v>
          </cell>
        </row>
        <row r="46">
          <cell r="A46" t="str">
            <v>AMSLER</v>
          </cell>
          <cell r="B46" t="str">
            <v>AMSLER CURRENT METER</v>
          </cell>
          <cell r="C46">
            <v>0</v>
          </cell>
          <cell r="D46">
            <v>0</v>
          </cell>
          <cell r="E46">
            <v>0</v>
          </cell>
          <cell r="F46">
            <v>0</v>
          </cell>
          <cell r="G46">
            <v>0</v>
          </cell>
          <cell r="H46">
            <v>0</v>
          </cell>
        </row>
        <row r="47">
          <cell r="A47" t="str">
            <v>AQFERTR</v>
          </cell>
          <cell r="B47" t="str">
            <v>AQUITEL  FERRITE TRANSFORMER</v>
          </cell>
          <cell r="C47">
            <v>0.02</v>
          </cell>
          <cell r="D47">
            <v>0.02</v>
          </cell>
          <cell r="E47">
            <v>0.02</v>
          </cell>
          <cell r="F47">
            <v>0.02</v>
          </cell>
          <cell r="G47">
            <v>0.02</v>
          </cell>
          <cell r="H47">
            <v>0</v>
          </cell>
        </row>
        <row r="48">
          <cell r="A48" t="str">
            <v>AQUIKEY</v>
          </cell>
          <cell r="B48" t="str">
            <v>AQUITEL KEYBOARD GRAYHILL 4 X 4</v>
          </cell>
          <cell r="C48">
            <v>112.59</v>
          </cell>
          <cell r="D48">
            <v>112.59</v>
          </cell>
          <cell r="E48">
            <v>112.59</v>
          </cell>
          <cell r="F48">
            <v>112.59</v>
          </cell>
          <cell r="G48">
            <v>112.59</v>
          </cell>
          <cell r="H48">
            <v>0</v>
          </cell>
        </row>
        <row r="49">
          <cell r="A49" t="str">
            <v>AQUINTE</v>
          </cell>
          <cell r="B49" t="str">
            <v>AQUITEL REMOTE  INPUT TESTER</v>
          </cell>
          <cell r="C49">
            <v>219</v>
          </cell>
          <cell r="D49">
            <v>219</v>
          </cell>
          <cell r="E49">
            <v>219</v>
          </cell>
          <cell r="F49">
            <v>219</v>
          </cell>
          <cell r="G49">
            <v>219</v>
          </cell>
          <cell r="H49">
            <v>0</v>
          </cell>
        </row>
        <row r="50">
          <cell r="A50" t="str">
            <v>AQUMICR</v>
          </cell>
          <cell r="B50" t="str">
            <v>AQUITEL MICROBASE</v>
          </cell>
          <cell r="C50">
            <v>0</v>
          </cell>
          <cell r="D50">
            <v>0</v>
          </cell>
          <cell r="E50">
            <v>0</v>
          </cell>
          <cell r="F50">
            <v>0</v>
          </cell>
          <cell r="G50">
            <v>0</v>
          </cell>
          <cell r="H50">
            <v>0</v>
          </cell>
        </row>
        <row r="51">
          <cell r="A51" t="str">
            <v>AQUREMO</v>
          </cell>
          <cell r="B51" t="str">
            <v>AQUITEL REMOTE</v>
          </cell>
          <cell r="C51">
            <v>0</v>
          </cell>
          <cell r="D51">
            <v>0</v>
          </cell>
          <cell r="E51">
            <v>0</v>
          </cell>
          <cell r="F51">
            <v>0</v>
          </cell>
          <cell r="G51">
            <v>0</v>
          </cell>
          <cell r="H51">
            <v>0</v>
          </cell>
        </row>
        <row r="52">
          <cell r="A52" t="str">
            <v>AQUSUPP</v>
          </cell>
          <cell r="B52" t="str">
            <v>AQUITEL SUPPORT</v>
          </cell>
          <cell r="C52">
            <v>0</v>
          </cell>
          <cell r="D52">
            <v>0</v>
          </cell>
          <cell r="E52">
            <v>0</v>
          </cell>
          <cell r="F52">
            <v>0</v>
          </cell>
          <cell r="G52">
            <v>0</v>
          </cell>
          <cell r="H52">
            <v>0</v>
          </cell>
        </row>
        <row r="53">
          <cell r="A53" t="str">
            <v>AREACBO</v>
          </cell>
          <cell r="B53" t="str">
            <v>AREEL  ACCESSORY BOX</v>
          </cell>
          <cell r="C53">
            <v>5</v>
          </cell>
          <cell r="D53">
            <v>5</v>
          </cell>
          <cell r="E53">
            <v>5</v>
          </cell>
          <cell r="F53">
            <v>5</v>
          </cell>
          <cell r="G53">
            <v>5</v>
          </cell>
          <cell r="H53">
            <v>0</v>
          </cell>
        </row>
        <row r="54">
          <cell r="A54" t="str">
            <v>AREBERP</v>
          </cell>
          <cell r="B54" t="str">
            <v>AREEL RETAINING PLATE BEARING</v>
          </cell>
          <cell r="C54">
            <v>30</v>
          </cell>
          <cell r="D54">
            <v>30</v>
          </cell>
          <cell r="E54">
            <v>30</v>
          </cell>
          <cell r="F54">
            <v>30</v>
          </cell>
          <cell r="G54">
            <v>30</v>
          </cell>
          <cell r="H54">
            <v>0</v>
          </cell>
        </row>
        <row r="55">
          <cell r="A55" t="str">
            <v>AREBOLI</v>
          </cell>
          <cell r="B55" t="str">
            <v>AREEL  BOX LINER</v>
          </cell>
          <cell r="C55">
            <v>45</v>
          </cell>
          <cell r="D55">
            <v>45</v>
          </cell>
          <cell r="E55">
            <v>45</v>
          </cell>
          <cell r="F55">
            <v>45</v>
          </cell>
          <cell r="G55">
            <v>45</v>
          </cell>
          <cell r="H55">
            <v>31.074999999999999</v>
          </cell>
        </row>
        <row r="56">
          <cell r="A56" t="str">
            <v>AREBRAC</v>
          </cell>
          <cell r="B56" t="str">
            <v>AREEL  COUNTER BRACKET</v>
          </cell>
          <cell r="C56">
            <v>95</v>
          </cell>
          <cell r="D56">
            <v>95</v>
          </cell>
          <cell r="E56">
            <v>95</v>
          </cell>
          <cell r="F56">
            <v>95</v>
          </cell>
          <cell r="G56">
            <v>95</v>
          </cell>
          <cell r="H56">
            <v>62</v>
          </cell>
        </row>
        <row r="57">
          <cell r="A57" t="str">
            <v>AREBRG1</v>
          </cell>
          <cell r="B57" t="str">
            <v>AREEL  BALL BEARING</v>
          </cell>
          <cell r="C57">
            <v>17.600000000000001</v>
          </cell>
          <cell r="D57">
            <v>17.600000000000001</v>
          </cell>
          <cell r="E57">
            <v>17.600000000000001</v>
          </cell>
          <cell r="F57">
            <v>17.600000000000001</v>
          </cell>
          <cell r="G57">
            <v>17.600000000000001</v>
          </cell>
          <cell r="H57">
            <v>14.64</v>
          </cell>
        </row>
        <row r="58">
          <cell r="A58" t="str">
            <v>AREBTL</v>
          </cell>
          <cell r="B58" t="str">
            <v>AREEL BOX TRAY LINER</v>
          </cell>
          <cell r="C58">
            <v>25</v>
          </cell>
          <cell r="D58">
            <v>25</v>
          </cell>
          <cell r="E58">
            <v>25</v>
          </cell>
          <cell r="F58">
            <v>25</v>
          </cell>
          <cell r="G58">
            <v>25</v>
          </cell>
          <cell r="H58">
            <v>18.774999999999999</v>
          </cell>
        </row>
        <row r="59">
          <cell r="A59" t="str">
            <v>ARECA30</v>
          </cell>
          <cell r="B59" t="str">
            <v>AREEL  30m CABLE ASSEMBLY</v>
          </cell>
          <cell r="C59">
            <v>370</v>
          </cell>
          <cell r="D59">
            <v>370</v>
          </cell>
          <cell r="E59">
            <v>370</v>
          </cell>
          <cell r="F59">
            <v>370</v>
          </cell>
          <cell r="G59">
            <v>370</v>
          </cell>
          <cell r="H59">
            <v>292.97000000000003</v>
          </cell>
        </row>
        <row r="60">
          <cell r="A60" t="str">
            <v>ARECLPA</v>
          </cell>
          <cell r="B60" t="str">
            <v>AREEL  CLUTCH PAD SET</v>
          </cell>
          <cell r="C60">
            <v>16.75</v>
          </cell>
          <cell r="D60">
            <v>20.75</v>
          </cell>
          <cell r="E60">
            <v>20.75</v>
          </cell>
          <cell r="F60">
            <v>20.75</v>
          </cell>
          <cell r="G60">
            <v>20.75</v>
          </cell>
          <cell r="H60">
            <v>15.94</v>
          </cell>
          <cell r="I60">
            <v>39988</v>
          </cell>
        </row>
        <row r="61">
          <cell r="A61" t="str">
            <v>ARECOAS</v>
          </cell>
          <cell r="B61" t="str">
            <v>AREEL  CONTACT ASSY</v>
          </cell>
          <cell r="C61">
            <v>50</v>
          </cell>
          <cell r="D61">
            <v>50</v>
          </cell>
          <cell r="E61">
            <v>50</v>
          </cell>
          <cell r="F61">
            <v>50</v>
          </cell>
          <cell r="G61">
            <v>50</v>
          </cell>
          <cell r="H61">
            <v>16.5</v>
          </cell>
        </row>
        <row r="62">
          <cell r="A62" t="str">
            <v>ARECOBR</v>
          </cell>
          <cell r="B62" t="str">
            <v>AREEL CONTACT BRUSH</v>
          </cell>
          <cell r="C62">
            <v>6</v>
          </cell>
          <cell r="D62">
            <v>6</v>
          </cell>
          <cell r="E62">
            <v>6</v>
          </cell>
          <cell r="F62">
            <v>6</v>
          </cell>
          <cell r="G62">
            <v>6</v>
          </cell>
          <cell r="H62">
            <v>0</v>
          </cell>
        </row>
        <row r="63">
          <cell r="A63" t="str">
            <v>ARECOEX</v>
          </cell>
          <cell r="B63" t="str">
            <v>A REEL EXTENSION ARM COLLAR</v>
          </cell>
          <cell r="C63">
            <v>27</v>
          </cell>
          <cell r="D63">
            <v>27</v>
          </cell>
          <cell r="E63">
            <v>27</v>
          </cell>
          <cell r="F63">
            <v>27</v>
          </cell>
          <cell r="G63">
            <v>27</v>
          </cell>
          <cell r="H63">
            <v>0</v>
          </cell>
        </row>
        <row r="64">
          <cell r="A64" t="str">
            <v>ARECOGS</v>
          </cell>
          <cell r="B64" t="str">
            <v>AREEL  COG SET</v>
          </cell>
          <cell r="C64">
            <v>128</v>
          </cell>
          <cell r="D64">
            <v>159</v>
          </cell>
          <cell r="E64">
            <v>159</v>
          </cell>
          <cell r="F64">
            <v>159</v>
          </cell>
          <cell r="G64">
            <v>159</v>
          </cell>
          <cell r="H64">
            <v>121.95</v>
          </cell>
          <cell r="I64">
            <v>39881</v>
          </cell>
        </row>
        <row r="65">
          <cell r="A65" t="str">
            <v>ARECONN</v>
          </cell>
          <cell r="B65" t="str">
            <v>AREEL  CONNECTOR</v>
          </cell>
          <cell r="C65">
            <v>110</v>
          </cell>
          <cell r="D65">
            <v>110</v>
          </cell>
          <cell r="E65">
            <v>110</v>
          </cell>
          <cell r="F65">
            <v>110</v>
          </cell>
          <cell r="G65">
            <v>110</v>
          </cell>
          <cell r="H65">
            <v>84.366</v>
          </cell>
        </row>
        <row r="66">
          <cell r="A66" t="str">
            <v>ARECONW</v>
          </cell>
          <cell r="B66" t="str">
            <v>AREEL  CONNECTOR WEDGE</v>
          </cell>
          <cell r="C66">
            <v>11.92</v>
          </cell>
          <cell r="D66">
            <v>11.92</v>
          </cell>
          <cell r="E66">
            <v>11.92</v>
          </cell>
          <cell r="F66">
            <v>11.92</v>
          </cell>
          <cell r="G66">
            <v>11.92</v>
          </cell>
          <cell r="H66">
            <v>7.95</v>
          </cell>
        </row>
        <row r="67">
          <cell r="A67" t="str">
            <v>ARECOUN</v>
          </cell>
          <cell r="B67" t="str">
            <v>AREEL  COUNTER #RL-219-4</v>
          </cell>
          <cell r="C67">
            <v>80</v>
          </cell>
          <cell r="D67">
            <v>80</v>
          </cell>
          <cell r="E67">
            <v>80</v>
          </cell>
          <cell r="F67">
            <v>80</v>
          </cell>
          <cell r="G67">
            <v>80</v>
          </cell>
          <cell r="H67">
            <v>61.061999999999998</v>
          </cell>
        </row>
        <row r="68">
          <cell r="A68" t="str">
            <v>ARECOVE</v>
          </cell>
          <cell r="B68" t="str">
            <v>AREEL  COVER</v>
          </cell>
          <cell r="C68">
            <v>70</v>
          </cell>
          <cell r="D68">
            <v>70</v>
          </cell>
          <cell r="E68">
            <v>70</v>
          </cell>
          <cell r="F68">
            <v>70</v>
          </cell>
          <cell r="G68">
            <v>70</v>
          </cell>
          <cell r="H68">
            <v>52</v>
          </cell>
        </row>
        <row r="69">
          <cell r="A69" t="str">
            <v>AREDRCO</v>
          </cell>
          <cell r="B69" t="str">
            <v>AREEL  DRIVE COLLAR</v>
          </cell>
          <cell r="C69">
            <v>86</v>
          </cell>
          <cell r="D69">
            <v>86</v>
          </cell>
          <cell r="E69">
            <v>86</v>
          </cell>
          <cell r="F69">
            <v>86</v>
          </cell>
          <cell r="G69">
            <v>86</v>
          </cell>
          <cell r="H69">
            <v>66</v>
          </cell>
        </row>
        <row r="70">
          <cell r="A70" t="str">
            <v>AREELSB</v>
          </cell>
          <cell r="B70" t="str">
            <v>AREEL  COMPLETE SAFETY BRAKE VERSION</v>
          </cell>
          <cell r="C70">
            <v>2961</v>
          </cell>
          <cell r="D70">
            <v>3666</v>
          </cell>
          <cell r="E70">
            <v>3666</v>
          </cell>
          <cell r="F70">
            <v>3666</v>
          </cell>
          <cell r="G70">
            <v>3666</v>
          </cell>
          <cell r="H70">
            <v>2820</v>
          </cell>
          <cell r="I70">
            <v>39882</v>
          </cell>
        </row>
        <row r="71">
          <cell r="A71" t="str">
            <v>AREELST</v>
          </cell>
          <cell r="B71" t="str">
            <v>AREEL COMPLETE STD VERSION</v>
          </cell>
          <cell r="C71">
            <v>0</v>
          </cell>
          <cell r="D71">
            <v>0</v>
          </cell>
          <cell r="E71">
            <v>0</v>
          </cell>
          <cell r="F71">
            <v>0</v>
          </cell>
          <cell r="G71">
            <v>0</v>
          </cell>
          <cell r="H71">
            <v>0</v>
          </cell>
        </row>
        <row r="72">
          <cell r="A72" t="str">
            <v>AREESSK</v>
          </cell>
          <cell r="B72" t="str">
            <v>AREEL ECCENTRIC SHAFT SPRING KIT</v>
          </cell>
          <cell r="C72">
            <v>65</v>
          </cell>
          <cell r="D72">
            <v>65</v>
          </cell>
          <cell r="E72">
            <v>65</v>
          </cell>
          <cell r="F72">
            <v>65</v>
          </cell>
          <cell r="G72">
            <v>65</v>
          </cell>
          <cell r="H72">
            <v>48</v>
          </cell>
        </row>
        <row r="73">
          <cell r="A73" t="str">
            <v>AREEXKT</v>
          </cell>
          <cell r="B73" t="str">
            <v>AREEL  EXTENSION ARM KIT</v>
          </cell>
          <cell r="C73">
            <v>475</v>
          </cell>
          <cell r="D73">
            <v>475</v>
          </cell>
          <cell r="E73">
            <v>475</v>
          </cell>
          <cell r="F73">
            <v>475</v>
          </cell>
          <cell r="G73">
            <v>475</v>
          </cell>
          <cell r="H73">
            <v>341.4</v>
          </cell>
          <cell r="I73">
            <v>40284</v>
          </cell>
        </row>
        <row r="74">
          <cell r="A74" t="str">
            <v>AREFRAM</v>
          </cell>
          <cell r="B74" t="str">
            <v>AREEL  FRAME CASTING</v>
          </cell>
          <cell r="C74">
            <v>750</v>
          </cell>
          <cell r="D74">
            <v>750</v>
          </cell>
          <cell r="E74">
            <v>750</v>
          </cell>
          <cell r="F74">
            <v>750</v>
          </cell>
          <cell r="G74">
            <v>750</v>
          </cell>
          <cell r="H74">
            <v>0</v>
          </cell>
        </row>
        <row r="75">
          <cell r="A75" t="str">
            <v>AREG020</v>
          </cell>
          <cell r="B75" t="str">
            <v>AREEL  20 TOOTH GEAR</v>
          </cell>
          <cell r="C75">
            <v>68</v>
          </cell>
          <cell r="D75">
            <v>68</v>
          </cell>
          <cell r="E75">
            <v>68</v>
          </cell>
          <cell r="F75">
            <v>68</v>
          </cell>
          <cell r="G75">
            <v>68</v>
          </cell>
          <cell r="H75">
            <v>49</v>
          </cell>
        </row>
        <row r="76">
          <cell r="A76" t="str">
            <v>AREG064</v>
          </cell>
          <cell r="B76" t="str">
            <v>AREEL  64 TOOTH GEAR</v>
          </cell>
          <cell r="C76">
            <v>75</v>
          </cell>
          <cell r="D76">
            <v>75</v>
          </cell>
          <cell r="E76">
            <v>75</v>
          </cell>
          <cell r="F76">
            <v>75</v>
          </cell>
          <cell r="G76">
            <v>75</v>
          </cell>
          <cell r="H76">
            <v>0</v>
          </cell>
        </row>
        <row r="77">
          <cell r="A77" t="str">
            <v>AREHARA</v>
          </cell>
          <cell r="B77" t="str">
            <v>AREEL  CAST HANDLE</v>
          </cell>
          <cell r="C77">
            <v>315</v>
          </cell>
          <cell r="D77">
            <v>315</v>
          </cell>
          <cell r="E77">
            <v>315</v>
          </cell>
          <cell r="F77">
            <v>315</v>
          </cell>
          <cell r="G77">
            <v>315</v>
          </cell>
          <cell r="H77">
            <v>0</v>
          </cell>
        </row>
        <row r="78">
          <cell r="A78" t="str">
            <v>AREHENU</v>
          </cell>
          <cell r="B78" t="str">
            <v>AREEL  HEX NUT  STAINLESS STEEL M12 1.25</v>
          </cell>
          <cell r="C78">
            <v>3</v>
          </cell>
          <cell r="D78">
            <v>3</v>
          </cell>
          <cell r="E78">
            <v>3</v>
          </cell>
          <cell r="F78">
            <v>3</v>
          </cell>
          <cell r="G78">
            <v>3</v>
          </cell>
          <cell r="H78">
            <v>0</v>
          </cell>
        </row>
        <row r="79">
          <cell r="A79" t="str">
            <v>AREHPLA</v>
          </cell>
          <cell r="B79" t="str">
            <v>AREEL HANDLE PLASTIC SLEEVE</v>
          </cell>
          <cell r="C79">
            <v>2</v>
          </cell>
          <cell r="D79">
            <v>2</v>
          </cell>
          <cell r="E79">
            <v>2</v>
          </cell>
          <cell r="F79">
            <v>2</v>
          </cell>
          <cell r="G79">
            <v>2</v>
          </cell>
          <cell r="H79">
            <v>1.56</v>
          </cell>
        </row>
        <row r="80">
          <cell r="A80" t="str">
            <v>AREHSSA</v>
          </cell>
          <cell r="B80" t="str">
            <v>AREEL  HANDLE SHAFT</v>
          </cell>
          <cell r="C80">
            <v>42</v>
          </cell>
          <cell r="D80">
            <v>52</v>
          </cell>
          <cell r="E80">
            <v>52</v>
          </cell>
          <cell r="F80">
            <v>52</v>
          </cell>
          <cell r="G80">
            <v>52</v>
          </cell>
          <cell r="H80">
            <v>40.1</v>
          </cell>
        </row>
        <row r="81">
          <cell r="A81" t="str">
            <v>AREINSS</v>
          </cell>
          <cell r="B81" t="str">
            <v>AREEL  SMALL INSULATOR</v>
          </cell>
          <cell r="C81">
            <v>1.83</v>
          </cell>
          <cell r="D81">
            <v>2.27</v>
          </cell>
          <cell r="E81">
            <v>2.27</v>
          </cell>
          <cell r="F81">
            <v>2.27</v>
          </cell>
          <cell r="G81">
            <v>2.27</v>
          </cell>
          <cell r="H81">
            <v>1.7410000000000001</v>
          </cell>
        </row>
        <row r="82">
          <cell r="A82" t="str">
            <v>ARELYPI</v>
          </cell>
          <cell r="B82" t="str">
            <v>LYNCH PIN 4.5mm</v>
          </cell>
          <cell r="C82">
            <v>1.1000000000000001</v>
          </cell>
          <cell r="D82">
            <v>1.3</v>
          </cell>
          <cell r="E82">
            <v>1.3</v>
          </cell>
          <cell r="F82">
            <v>1.3</v>
          </cell>
          <cell r="G82">
            <v>1.3</v>
          </cell>
          <cell r="H82">
            <v>1</v>
          </cell>
        </row>
        <row r="83">
          <cell r="A83" t="str">
            <v>AREMOPL</v>
          </cell>
          <cell r="B83" t="str">
            <v>AREEL  MOUNTING PLATE</v>
          </cell>
          <cell r="C83">
            <v>98.75</v>
          </cell>
          <cell r="D83">
            <v>121.55</v>
          </cell>
          <cell r="E83">
            <v>121.55</v>
          </cell>
          <cell r="F83">
            <v>121.55</v>
          </cell>
          <cell r="G83">
            <v>121.55</v>
          </cell>
          <cell r="H83">
            <v>93.5</v>
          </cell>
        </row>
        <row r="84">
          <cell r="A84" t="str">
            <v>AREMSPA</v>
          </cell>
          <cell r="B84" t="str">
            <v>AREEL  COVER SPACERS</v>
          </cell>
          <cell r="C84">
            <v>17.350000000000001</v>
          </cell>
          <cell r="D84">
            <v>21.45</v>
          </cell>
          <cell r="E84">
            <v>21.45</v>
          </cell>
          <cell r="F84">
            <v>21.45</v>
          </cell>
          <cell r="G84">
            <v>21.45</v>
          </cell>
          <cell r="H84">
            <v>16.5</v>
          </cell>
        </row>
        <row r="85">
          <cell r="A85" t="str">
            <v>ARENUWI</v>
          </cell>
          <cell r="B85" t="str">
            <v>AREEL  WING NUT M10</v>
          </cell>
          <cell r="C85">
            <v>3.81</v>
          </cell>
          <cell r="D85">
            <v>5</v>
          </cell>
          <cell r="E85">
            <v>5</v>
          </cell>
          <cell r="F85">
            <v>5</v>
          </cell>
          <cell r="G85">
            <v>5</v>
          </cell>
          <cell r="H85">
            <v>3.63</v>
          </cell>
        </row>
        <row r="86">
          <cell r="A86" t="str">
            <v>AREPASP</v>
          </cell>
          <cell r="B86" t="str">
            <v>AREEL  PAWL SPRING</v>
          </cell>
          <cell r="C86">
            <v>15</v>
          </cell>
          <cell r="D86">
            <v>15</v>
          </cell>
          <cell r="E86">
            <v>15</v>
          </cell>
          <cell r="F86">
            <v>15</v>
          </cell>
          <cell r="G86">
            <v>15</v>
          </cell>
          <cell r="H86">
            <v>0</v>
          </cell>
        </row>
        <row r="87">
          <cell r="A87" t="str">
            <v>AREPBUS</v>
          </cell>
          <cell r="B87" t="str">
            <v>AREEL  PAWL BUSH</v>
          </cell>
          <cell r="C87">
            <v>30</v>
          </cell>
          <cell r="D87">
            <v>30</v>
          </cell>
          <cell r="E87">
            <v>30</v>
          </cell>
          <cell r="F87">
            <v>30</v>
          </cell>
          <cell r="G87">
            <v>30</v>
          </cell>
          <cell r="H87">
            <v>20.190000000000001</v>
          </cell>
        </row>
        <row r="88">
          <cell r="A88" t="str">
            <v>AREPIVO</v>
          </cell>
          <cell r="B88" t="str">
            <v>AREEL  PIVOT FOR ECCENTRIC SHAFT</v>
          </cell>
          <cell r="C88">
            <v>40</v>
          </cell>
          <cell r="D88">
            <v>40</v>
          </cell>
          <cell r="E88">
            <v>40</v>
          </cell>
          <cell r="F88">
            <v>40</v>
          </cell>
          <cell r="G88">
            <v>40</v>
          </cell>
          <cell r="H88">
            <v>0</v>
          </cell>
        </row>
        <row r="89">
          <cell r="A89" t="str">
            <v>AREPUTH</v>
          </cell>
          <cell r="B89" t="str">
            <v>AREEL  THREADED PULLEY</v>
          </cell>
          <cell r="C89">
            <v>39.090000000000003</v>
          </cell>
          <cell r="D89">
            <v>49</v>
          </cell>
          <cell r="E89">
            <v>49</v>
          </cell>
          <cell r="F89">
            <v>49</v>
          </cell>
          <cell r="G89">
            <v>49</v>
          </cell>
          <cell r="H89">
            <v>37.25</v>
          </cell>
          <cell r="I89">
            <v>40004</v>
          </cell>
        </row>
        <row r="90">
          <cell r="A90" t="str">
            <v>AREREDR</v>
          </cell>
          <cell r="B90" t="str">
            <v>AREEL   RECONDITIONED DRUM</v>
          </cell>
          <cell r="C90">
            <v>150</v>
          </cell>
          <cell r="D90">
            <v>150</v>
          </cell>
          <cell r="E90">
            <v>150</v>
          </cell>
          <cell r="F90">
            <v>150</v>
          </cell>
          <cell r="G90">
            <v>150</v>
          </cell>
          <cell r="H90">
            <v>108</v>
          </cell>
        </row>
        <row r="91">
          <cell r="A91" t="str">
            <v>ARERICO</v>
          </cell>
          <cell r="B91" t="str">
            <v>AREEL  CONTACT RING</v>
          </cell>
          <cell r="C91">
            <v>59</v>
          </cell>
          <cell r="D91">
            <v>72.95</v>
          </cell>
          <cell r="E91">
            <v>72.95</v>
          </cell>
          <cell r="F91">
            <v>72.95</v>
          </cell>
          <cell r="G91">
            <v>72.95</v>
          </cell>
          <cell r="H91">
            <v>56.11</v>
          </cell>
        </row>
        <row r="92">
          <cell r="A92" t="str">
            <v>ARERION</v>
          </cell>
          <cell r="B92" t="str">
            <v>AREEL  INSULATOR RING</v>
          </cell>
          <cell r="C92">
            <v>45</v>
          </cell>
          <cell r="D92">
            <v>45</v>
          </cell>
          <cell r="E92">
            <v>45</v>
          </cell>
          <cell r="F92">
            <v>45</v>
          </cell>
          <cell r="G92">
            <v>45</v>
          </cell>
          <cell r="H92">
            <v>8</v>
          </cell>
        </row>
        <row r="93">
          <cell r="A93" t="str">
            <v>ARESHEX</v>
          </cell>
          <cell r="B93" t="str">
            <v>AREEL  SHAFT EXTENSION LEFT HAND THREAD</v>
          </cell>
          <cell r="C93">
            <v>143</v>
          </cell>
          <cell r="D93">
            <v>143</v>
          </cell>
          <cell r="E93">
            <v>143</v>
          </cell>
          <cell r="F93">
            <v>143</v>
          </cell>
          <cell r="G93">
            <v>143</v>
          </cell>
          <cell r="H93">
            <v>104.5</v>
          </cell>
        </row>
        <row r="94">
          <cell r="A94" t="str">
            <v>ARESHSA</v>
          </cell>
          <cell r="B94" t="str">
            <v>AREEL  SHAFT FOR SAFETY BRAKE</v>
          </cell>
          <cell r="C94">
            <v>90</v>
          </cell>
          <cell r="D94">
            <v>90</v>
          </cell>
          <cell r="E94">
            <v>90</v>
          </cell>
          <cell r="F94">
            <v>90</v>
          </cell>
          <cell r="G94">
            <v>90</v>
          </cell>
          <cell r="H94">
            <v>62.067</v>
          </cell>
        </row>
        <row r="95">
          <cell r="A95" t="str">
            <v>ARESHTH</v>
          </cell>
          <cell r="B95" t="str">
            <v>AREEL  SCREWED SHAFT PULLEY AND NUTS</v>
          </cell>
          <cell r="C95">
            <v>105</v>
          </cell>
          <cell r="D95">
            <v>105</v>
          </cell>
          <cell r="E95">
            <v>105</v>
          </cell>
          <cell r="F95">
            <v>105</v>
          </cell>
          <cell r="G95">
            <v>105</v>
          </cell>
          <cell r="H95">
            <v>36.94</v>
          </cell>
        </row>
        <row r="96">
          <cell r="A96" t="str">
            <v>ARESKIT</v>
          </cell>
          <cell r="B96" t="str">
            <v>AREEL  SAFETY BRAKE KIT</v>
          </cell>
          <cell r="C96">
            <v>1077.5</v>
          </cell>
          <cell r="D96">
            <v>1335</v>
          </cell>
          <cell r="E96">
            <v>1335</v>
          </cell>
          <cell r="F96">
            <v>1335</v>
          </cell>
          <cell r="G96">
            <v>1335</v>
          </cell>
          <cell r="H96">
            <v>1026.356</v>
          </cell>
        </row>
        <row r="97">
          <cell r="A97" t="str">
            <v>ARESPCO</v>
          </cell>
          <cell r="B97" t="str">
            <v>AREEL  SPRING CONTACT</v>
          </cell>
          <cell r="C97">
            <v>24</v>
          </cell>
          <cell r="D97">
            <v>24</v>
          </cell>
          <cell r="E97">
            <v>24</v>
          </cell>
          <cell r="F97">
            <v>24</v>
          </cell>
          <cell r="G97">
            <v>24</v>
          </cell>
          <cell r="H97">
            <v>18.100000000000001</v>
          </cell>
        </row>
        <row r="98">
          <cell r="A98" t="str">
            <v>ARESPPA</v>
          </cell>
          <cell r="B98" t="str">
            <v>AREEL  PAWL SPRING</v>
          </cell>
          <cell r="C98">
            <v>24.95</v>
          </cell>
          <cell r="D98">
            <v>24.95</v>
          </cell>
          <cell r="E98">
            <v>24.95</v>
          </cell>
          <cell r="F98">
            <v>24.95</v>
          </cell>
          <cell r="G98">
            <v>24.95</v>
          </cell>
          <cell r="H98">
            <v>14.5</v>
          </cell>
        </row>
        <row r="99">
          <cell r="A99" t="str">
            <v>ARESRLH</v>
          </cell>
          <cell r="B99" t="str">
            <v>AREEL  STAINLESS STEEL SCREWED ROD (LHAN</v>
          </cell>
          <cell r="C99">
            <v>85</v>
          </cell>
          <cell r="D99">
            <v>85</v>
          </cell>
          <cell r="E99">
            <v>85</v>
          </cell>
          <cell r="F99">
            <v>85</v>
          </cell>
          <cell r="G99">
            <v>85</v>
          </cell>
          <cell r="H99">
            <v>0</v>
          </cell>
        </row>
        <row r="100">
          <cell r="A100" t="str">
            <v>ARESRRH</v>
          </cell>
          <cell r="B100" t="str">
            <v>AREEL  STAINLESS STEEL SCREWED ROD (RHAN</v>
          </cell>
          <cell r="C100">
            <v>53</v>
          </cell>
          <cell r="D100">
            <v>53</v>
          </cell>
          <cell r="E100">
            <v>53</v>
          </cell>
          <cell r="F100">
            <v>53</v>
          </cell>
          <cell r="G100">
            <v>53</v>
          </cell>
          <cell r="H100">
            <v>0</v>
          </cell>
        </row>
        <row r="101">
          <cell r="A101" t="str">
            <v>ARESTBR</v>
          </cell>
          <cell r="B101" t="str">
            <v>"STUD BRASS 10mm TO 3-8"".FOR FRAME #28"</v>
          </cell>
          <cell r="C101">
            <v>10</v>
          </cell>
          <cell r="D101">
            <v>10</v>
          </cell>
          <cell r="E101">
            <v>10</v>
          </cell>
          <cell r="F101">
            <v>10</v>
          </cell>
          <cell r="G101">
            <v>10</v>
          </cell>
          <cell r="H101">
            <v>5.3</v>
          </cell>
        </row>
        <row r="102">
          <cell r="A102" t="str">
            <v>AREWASH</v>
          </cell>
          <cell r="B102" t="str">
            <v>AREEL  WASHER</v>
          </cell>
          <cell r="C102">
            <v>12</v>
          </cell>
          <cell r="D102">
            <v>12</v>
          </cell>
          <cell r="E102">
            <v>12</v>
          </cell>
          <cell r="F102">
            <v>12</v>
          </cell>
          <cell r="G102">
            <v>12</v>
          </cell>
          <cell r="H102">
            <v>0</v>
          </cell>
        </row>
        <row r="103">
          <cell r="A103" t="str">
            <v>AREWIHA</v>
          </cell>
          <cell r="B103" t="str">
            <v>AREEL WINCH HANDLE ASSY</v>
          </cell>
          <cell r="C103">
            <v>179.55</v>
          </cell>
          <cell r="D103">
            <v>223</v>
          </cell>
          <cell r="E103">
            <v>223</v>
          </cell>
          <cell r="F103">
            <v>223</v>
          </cell>
          <cell r="G103">
            <v>223</v>
          </cell>
          <cell r="H103">
            <v>170.541</v>
          </cell>
        </row>
        <row r="104">
          <cell r="A104" t="str">
            <v>AUTOSOL</v>
          </cell>
          <cell r="B104" t="str">
            <v>AUTOSOL METAL POLISHER (100gm TUBE)</v>
          </cell>
          <cell r="C104">
            <v>13</v>
          </cell>
          <cell r="D104">
            <v>13</v>
          </cell>
          <cell r="E104">
            <v>13</v>
          </cell>
          <cell r="F104">
            <v>13</v>
          </cell>
          <cell r="G104">
            <v>13</v>
          </cell>
          <cell r="H104">
            <v>9.7279999999999998</v>
          </cell>
          <cell r="I104">
            <v>40323</v>
          </cell>
        </row>
        <row r="105">
          <cell r="A105" t="str">
            <v>BABBULL</v>
          </cell>
          <cell r="B105" t="str">
            <v>BABELBULLET PCB</v>
          </cell>
          <cell r="C105">
            <v>550</v>
          </cell>
          <cell r="D105">
            <v>682</v>
          </cell>
          <cell r="E105">
            <v>682</v>
          </cell>
          <cell r="F105">
            <v>682</v>
          </cell>
          <cell r="G105">
            <v>682</v>
          </cell>
          <cell r="H105">
            <v>349.49400000000003</v>
          </cell>
          <cell r="I105">
            <v>39882</v>
          </cell>
        </row>
        <row r="106">
          <cell r="A106" t="str">
            <v>BANDBAN</v>
          </cell>
          <cell r="B106" t="str">
            <v>BAND IT BAND 3/8"</v>
          </cell>
          <cell r="C106">
            <v>52.5</v>
          </cell>
          <cell r="D106">
            <v>65</v>
          </cell>
          <cell r="E106">
            <v>65</v>
          </cell>
          <cell r="F106">
            <v>65</v>
          </cell>
          <cell r="G106">
            <v>65</v>
          </cell>
          <cell r="H106">
            <v>50</v>
          </cell>
        </row>
        <row r="107">
          <cell r="A107" t="str">
            <v>BANDBUC</v>
          </cell>
          <cell r="B107" t="str">
            <v>BAND IT BUCKLES 3/8"</v>
          </cell>
          <cell r="C107">
            <v>65</v>
          </cell>
          <cell r="D107">
            <v>65</v>
          </cell>
          <cell r="E107">
            <v>65</v>
          </cell>
          <cell r="F107">
            <v>65</v>
          </cell>
          <cell r="G107">
            <v>65</v>
          </cell>
          <cell r="H107">
            <v>45</v>
          </cell>
        </row>
        <row r="108">
          <cell r="A108" t="str">
            <v>BAT-9V</v>
          </cell>
          <cell r="B108" t="str">
            <v>BATTERY 9 VOLT</v>
          </cell>
          <cell r="C108">
            <v>4.1500000000000004</v>
          </cell>
          <cell r="D108">
            <v>4.1500000000000004</v>
          </cell>
          <cell r="E108">
            <v>4.1500000000000004</v>
          </cell>
          <cell r="F108">
            <v>4.1500000000000004</v>
          </cell>
          <cell r="G108">
            <v>4.1500000000000004</v>
          </cell>
          <cell r="H108">
            <v>2.1</v>
          </cell>
        </row>
        <row r="109">
          <cell r="A109" t="str">
            <v>BAT-AA</v>
          </cell>
          <cell r="B109" t="str">
            <v>BATTERY AA  ALKALINE</v>
          </cell>
          <cell r="C109">
            <v>2</v>
          </cell>
          <cell r="D109">
            <v>2</v>
          </cell>
          <cell r="E109">
            <v>2</v>
          </cell>
          <cell r="F109">
            <v>2</v>
          </cell>
          <cell r="G109">
            <v>2</v>
          </cell>
          <cell r="H109">
            <v>0.89</v>
          </cell>
        </row>
        <row r="110">
          <cell r="A110" t="str">
            <v>BAT-AAA</v>
          </cell>
          <cell r="B110" t="str">
            <v>BATTERY AAA ALKALINE</v>
          </cell>
          <cell r="C110">
            <v>1.85</v>
          </cell>
          <cell r="D110">
            <v>1.85</v>
          </cell>
          <cell r="E110">
            <v>1.85</v>
          </cell>
          <cell r="F110">
            <v>1.85</v>
          </cell>
          <cell r="G110">
            <v>1.85</v>
          </cell>
          <cell r="H110">
            <v>0.79900000000000004</v>
          </cell>
        </row>
        <row r="111">
          <cell r="A111" t="str">
            <v>BAT-C</v>
          </cell>
          <cell r="B111" t="str">
            <v>BATTERY C ALKALINE</v>
          </cell>
          <cell r="C111">
            <v>3.5</v>
          </cell>
          <cell r="D111">
            <v>3.5</v>
          </cell>
          <cell r="E111">
            <v>3.5</v>
          </cell>
          <cell r="F111">
            <v>3.5</v>
          </cell>
          <cell r="G111">
            <v>3.5</v>
          </cell>
          <cell r="H111">
            <v>1.47</v>
          </cell>
        </row>
        <row r="112">
          <cell r="A112" t="str">
            <v>BAT-D</v>
          </cell>
          <cell r="B112" t="str">
            <v>BATTERY D ALKALINE</v>
          </cell>
          <cell r="C112">
            <v>2.6</v>
          </cell>
          <cell r="D112">
            <v>2.6</v>
          </cell>
          <cell r="E112">
            <v>2.6</v>
          </cell>
          <cell r="F112">
            <v>2.6</v>
          </cell>
          <cell r="G112">
            <v>2.6</v>
          </cell>
          <cell r="H112">
            <v>1.673</v>
          </cell>
        </row>
        <row r="113">
          <cell r="A113" t="str">
            <v>BAT005D</v>
          </cell>
          <cell r="B113" t="str">
            <v>PANASONIC INDUSTRIAL D BATTERY</v>
          </cell>
          <cell r="C113">
            <v>3.5</v>
          </cell>
          <cell r="D113">
            <v>3.5</v>
          </cell>
          <cell r="E113">
            <v>3.5</v>
          </cell>
          <cell r="F113">
            <v>3.5</v>
          </cell>
          <cell r="G113">
            <v>3.5</v>
          </cell>
          <cell r="H113">
            <v>1.631</v>
          </cell>
        </row>
        <row r="114">
          <cell r="A114" t="str">
            <v>BAT0122</v>
          </cell>
          <cell r="B114" t="str">
            <v>BATTERY NICAD AA 1.2v</v>
          </cell>
          <cell r="C114">
            <v>8.4</v>
          </cell>
          <cell r="D114">
            <v>10.4</v>
          </cell>
          <cell r="E114">
            <v>10.4</v>
          </cell>
          <cell r="F114">
            <v>10.4</v>
          </cell>
          <cell r="G114">
            <v>10.4</v>
          </cell>
          <cell r="H114">
            <v>7.98</v>
          </cell>
        </row>
        <row r="115">
          <cell r="A115" t="str">
            <v>BAT030L</v>
          </cell>
          <cell r="B115" t="str">
            <v>BATTERY LITHIUM 3V 160mAH</v>
          </cell>
          <cell r="C115">
            <v>12</v>
          </cell>
          <cell r="D115">
            <v>12</v>
          </cell>
          <cell r="E115">
            <v>12</v>
          </cell>
          <cell r="F115">
            <v>12</v>
          </cell>
          <cell r="G115">
            <v>12</v>
          </cell>
          <cell r="H115">
            <v>0</v>
          </cell>
        </row>
        <row r="116">
          <cell r="A116" t="str">
            <v>BAT036A</v>
          </cell>
          <cell r="B116" t="str">
            <v>BATTERY LITHIUM 3.6V AA</v>
          </cell>
          <cell r="C116">
            <v>19.5</v>
          </cell>
          <cell r="D116">
            <v>19.5</v>
          </cell>
          <cell r="E116">
            <v>19.5</v>
          </cell>
          <cell r="F116">
            <v>19.5</v>
          </cell>
          <cell r="G116">
            <v>19.5</v>
          </cell>
          <cell r="H116">
            <v>12.9</v>
          </cell>
        </row>
        <row r="117">
          <cell r="A117" t="str">
            <v>BAT036D</v>
          </cell>
          <cell r="B117" t="str">
            <v>BATTERY 3.6V LITHIUM D SIZE</v>
          </cell>
          <cell r="C117">
            <v>41.2</v>
          </cell>
          <cell r="D117">
            <v>51</v>
          </cell>
          <cell r="E117">
            <v>51</v>
          </cell>
          <cell r="F117">
            <v>51</v>
          </cell>
          <cell r="G117">
            <v>51</v>
          </cell>
          <cell r="H117">
            <v>39.17</v>
          </cell>
        </row>
        <row r="118">
          <cell r="A118" t="str">
            <v>BAT036P</v>
          </cell>
          <cell r="B118" t="str">
            <v>BATTERY 3V6 LITHIUM 2/3AA</v>
          </cell>
          <cell r="C118">
            <v>13.8</v>
          </cell>
          <cell r="D118">
            <v>17</v>
          </cell>
          <cell r="E118">
            <v>17</v>
          </cell>
          <cell r="F118">
            <v>17</v>
          </cell>
          <cell r="G118">
            <v>17</v>
          </cell>
          <cell r="H118">
            <v>13.194000000000001</v>
          </cell>
        </row>
        <row r="119">
          <cell r="A119" t="str">
            <v>BAT036T</v>
          </cell>
          <cell r="B119" t="str">
            <v>BATTERY LITHIUM 3.6 VOLT TADIRAN</v>
          </cell>
          <cell r="C119">
            <v>22</v>
          </cell>
          <cell r="D119">
            <v>22</v>
          </cell>
          <cell r="E119">
            <v>22</v>
          </cell>
          <cell r="F119">
            <v>22</v>
          </cell>
          <cell r="G119">
            <v>22</v>
          </cell>
          <cell r="H119">
            <v>14</v>
          </cell>
        </row>
        <row r="120">
          <cell r="A120" t="str">
            <v>BAT072N</v>
          </cell>
          <cell r="B120" t="str">
            <v>BATTERY NICAD 7.2v 700mAH</v>
          </cell>
          <cell r="C120">
            <v>75</v>
          </cell>
          <cell r="D120">
            <v>75</v>
          </cell>
          <cell r="E120">
            <v>75</v>
          </cell>
          <cell r="F120">
            <v>75</v>
          </cell>
          <cell r="G120">
            <v>75</v>
          </cell>
          <cell r="H120">
            <v>57.23</v>
          </cell>
        </row>
        <row r="121">
          <cell r="A121" t="str">
            <v>BAT090L</v>
          </cell>
          <cell r="B121" t="str">
            <v>BATTERY 9.6v LITHIUM</v>
          </cell>
          <cell r="C121">
            <v>30.55</v>
          </cell>
          <cell r="D121">
            <v>30.55</v>
          </cell>
          <cell r="E121">
            <v>30.55</v>
          </cell>
          <cell r="F121">
            <v>30.55</v>
          </cell>
          <cell r="G121">
            <v>30.55</v>
          </cell>
          <cell r="H121">
            <v>0</v>
          </cell>
        </row>
        <row r="122">
          <cell r="A122" t="str">
            <v>BAT090N</v>
          </cell>
          <cell r="B122" t="str">
            <v>BATTERY NICAD 9v</v>
          </cell>
          <cell r="C122">
            <v>32</v>
          </cell>
          <cell r="D122">
            <v>32</v>
          </cell>
          <cell r="E122">
            <v>32</v>
          </cell>
          <cell r="F122">
            <v>32</v>
          </cell>
          <cell r="G122">
            <v>32</v>
          </cell>
          <cell r="H122">
            <v>0</v>
          </cell>
        </row>
        <row r="123">
          <cell r="A123" t="str">
            <v>BAT1207</v>
          </cell>
          <cell r="B123" t="str">
            <v>BATTERY SEALED 12v 6.5AH</v>
          </cell>
          <cell r="C123">
            <v>24</v>
          </cell>
          <cell r="D123">
            <v>28</v>
          </cell>
          <cell r="E123">
            <v>28</v>
          </cell>
          <cell r="F123">
            <v>28</v>
          </cell>
          <cell r="G123">
            <v>28</v>
          </cell>
          <cell r="H123">
            <v>19.913</v>
          </cell>
          <cell r="I123">
            <v>40101</v>
          </cell>
        </row>
        <row r="124">
          <cell r="A124" t="str">
            <v>BAT1212</v>
          </cell>
          <cell r="B124" t="str">
            <v>BATTERY 12V 1.2aH</v>
          </cell>
          <cell r="C124">
            <v>21</v>
          </cell>
          <cell r="D124">
            <v>21</v>
          </cell>
          <cell r="E124">
            <v>21</v>
          </cell>
          <cell r="F124">
            <v>21</v>
          </cell>
          <cell r="G124">
            <v>21</v>
          </cell>
          <cell r="H124">
            <v>16.059999999999999</v>
          </cell>
          <cell r="I124">
            <v>40246</v>
          </cell>
        </row>
        <row r="125">
          <cell r="A125" t="str">
            <v>BAT1217</v>
          </cell>
          <cell r="B125" t="str">
            <v>BATTERY SEALED 12v 17 AH</v>
          </cell>
          <cell r="C125">
            <v>75</v>
          </cell>
          <cell r="D125">
            <v>114</v>
          </cell>
          <cell r="E125">
            <v>114</v>
          </cell>
          <cell r="F125">
            <v>114</v>
          </cell>
          <cell r="G125">
            <v>114</v>
          </cell>
          <cell r="H125">
            <v>70.819999999999993</v>
          </cell>
        </row>
        <row r="126">
          <cell r="A126" t="str">
            <v>BAT1219</v>
          </cell>
          <cell r="B126" t="str">
            <v>BATTERY SEALED 12v  1.9AH</v>
          </cell>
          <cell r="C126">
            <v>28</v>
          </cell>
          <cell r="D126">
            <v>28</v>
          </cell>
          <cell r="E126">
            <v>28</v>
          </cell>
          <cell r="F126">
            <v>28</v>
          </cell>
          <cell r="G126">
            <v>28</v>
          </cell>
          <cell r="H126">
            <v>19.829999999999998</v>
          </cell>
        </row>
        <row r="127">
          <cell r="A127" t="str">
            <v>BAT1224</v>
          </cell>
          <cell r="B127" t="str">
            <v>BATTERY SEALED 12v 24AH</v>
          </cell>
          <cell r="C127">
            <v>115</v>
          </cell>
          <cell r="D127">
            <v>130</v>
          </cell>
          <cell r="E127">
            <v>130</v>
          </cell>
          <cell r="F127">
            <v>130</v>
          </cell>
          <cell r="G127">
            <v>130</v>
          </cell>
          <cell r="H127">
            <v>90</v>
          </cell>
          <cell r="I127">
            <v>40101</v>
          </cell>
        </row>
        <row r="128">
          <cell r="A128" t="str">
            <v>BAT1238</v>
          </cell>
          <cell r="B128" t="str">
            <v>BATTERY 12V 38AH</v>
          </cell>
          <cell r="C128">
            <v>195</v>
          </cell>
          <cell r="D128">
            <v>225</v>
          </cell>
          <cell r="E128">
            <v>225</v>
          </cell>
          <cell r="F128">
            <v>225</v>
          </cell>
          <cell r="G128">
            <v>225</v>
          </cell>
          <cell r="H128">
            <v>177.13</v>
          </cell>
          <cell r="I128">
            <v>40101</v>
          </cell>
        </row>
        <row r="129">
          <cell r="A129" t="str">
            <v>BAT1265</v>
          </cell>
          <cell r="B129" t="str">
            <v>BATTERY SEALED 12v 65AH</v>
          </cell>
          <cell r="C129">
            <v>265</v>
          </cell>
          <cell r="D129">
            <v>325</v>
          </cell>
          <cell r="E129">
            <v>325</v>
          </cell>
          <cell r="F129">
            <v>325</v>
          </cell>
          <cell r="G129">
            <v>325</v>
          </cell>
          <cell r="H129">
            <v>246.44</v>
          </cell>
        </row>
        <row r="130">
          <cell r="A130" t="str">
            <v>BAT1299</v>
          </cell>
          <cell r="B130" t="str">
            <v>BATTERY SEALED 12v 100AH</v>
          </cell>
          <cell r="C130">
            <v>310</v>
          </cell>
          <cell r="D130">
            <v>385</v>
          </cell>
          <cell r="E130">
            <v>385</v>
          </cell>
          <cell r="F130">
            <v>385</v>
          </cell>
          <cell r="G130">
            <v>385</v>
          </cell>
          <cell r="H130">
            <v>294.24</v>
          </cell>
        </row>
        <row r="131">
          <cell r="A131" t="str">
            <v>BAT23A</v>
          </cell>
          <cell r="B131" t="str">
            <v>BATTERY 23A 12V</v>
          </cell>
          <cell r="C131">
            <v>5.5</v>
          </cell>
          <cell r="D131">
            <v>7</v>
          </cell>
          <cell r="E131">
            <v>7</v>
          </cell>
          <cell r="F131">
            <v>7</v>
          </cell>
          <cell r="G131">
            <v>7</v>
          </cell>
          <cell r="H131">
            <v>5</v>
          </cell>
        </row>
        <row r="132">
          <cell r="A132" t="str">
            <v>BATADCP</v>
          </cell>
          <cell r="B132" t="str">
            <v>ALKALINE BATTERY PACK FOR WORKHORSE</v>
          </cell>
          <cell r="C132">
            <v>265</v>
          </cell>
          <cell r="D132">
            <v>265</v>
          </cell>
          <cell r="E132">
            <v>265</v>
          </cell>
          <cell r="F132">
            <v>265</v>
          </cell>
          <cell r="G132">
            <v>265</v>
          </cell>
          <cell r="H132">
            <v>193.10300000000001</v>
          </cell>
          <cell r="I132">
            <v>40147</v>
          </cell>
        </row>
        <row r="133">
          <cell r="A133" t="str">
            <v>BATADP</v>
          </cell>
          <cell r="B133" t="str">
            <v>ADP BATTERY PACK (18VDC) 36 D CELLS</v>
          </cell>
          <cell r="C133">
            <v>304.5</v>
          </cell>
          <cell r="D133">
            <v>377</v>
          </cell>
          <cell r="E133">
            <v>377</v>
          </cell>
          <cell r="F133">
            <v>377</v>
          </cell>
          <cell r="G133">
            <v>377</v>
          </cell>
          <cell r="H133">
            <v>290</v>
          </cell>
          <cell r="I133">
            <v>39882</v>
          </cell>
        </row>
        <row r="134">
          <cell r="A134" t="str">
            <v>BATBUOY</v>
          </cell>
          <cell r="B134" t="str">
            <v>BUOY BATTERY 80Wh 1.5V</v>
          </cell>
          <cell r="C134">
            <v>60</v>
          </cell>
          <cell r="D134">
            <v>60</v>
          </cell>
          <cell r="E134">
            <v>60</v>
          </cell>
          <cell r="F134">
            <v>60</v>
          </cell>
          <cell r="G134">
            <v>60</v>
          </cell>
          <cell r="H134">
            <v>0</v>
          </cell>
        </row>
        <row r="135">
          <cell r="A135" t="str">
            <v>BATBUOY1</v>
          </cell>
          <cell r="B135" t="str">
            <v>BUOY BATTERY 200Wh RC20B</v>
          </cell>
          <cell r="C135">
            <v>200</v>
          </cell>
          <cell r="D135">
            <v>200</v>
          </cell>
          <cell r="E135">
            <v>200</v>
          </cell>
          <cell r="F135">
            <v>200</v>
          </cell>
          <cell r="G135">
            <v>200</v>
          </cell>
          <cell r="H135">
            <v>142.72499999999999</v>
          </cell>
        </row>
        <row r="136">
          <cell r="A136" t="str">
            <v>BATC123A</v>
          </cell>
          <cell r="B136" t="str">
            <v>LITHIUM BATTERY C123A</v>
          </cell>
          <cell r="C136">
            <v>11.5</v>
          </cell>
          <cell r="D136">
            <v>11.5</v>
          </cell>
          <cell r="E136">
            <v>11.5</v>
          </cell>
          <cell r="F136">
            <v>11.5</v>
          </cell>
          <cell r="G136">
            <v>11.5</v>
          </cell>
          <cell r="H136">
            <v>9.08</v>
          </cell>
        </row>
        <row r="137">
          <cell r="A137" t="str">
            <v>BATCHGR</v>
          </cell>
          <cell r="B137" t="str">
            <v>BMS2000 BATTERY MANAGEMENT SYSTEM</v>
          </cell>
          <cell r="C137">
            <v>2350</v>
          </cell>
          <cell r="D137">
            <v>2350</v>
          </cell>
          <cell r="E137">
            <v>2350</v>
          </cell>
          <cell r="F137">
            <v>2350</v>
          </cell>
          <cell r="G137">
            <v>2350</v>
          </cell>
          <cell r="H137">
            <v>0</v>
          </cell>
        </row>
        <row r="138">
          <cell r="A138" t="str">
            <v>BATNAS2</v>
          </cell>
          <cell r="B138" t="str">
            <v>NAS2 BATTERY PACK 12VDC 40 CELL</v>
          </cell>
          <cell r="C138">
            <v>430</v>
          </cell>
          <cell r="D138">
            <v>520</v>
          </cell>
          <cell r="E138">
            <v>520</v>
          </cell>
          <cell r="F138">
            <v>520</v>
          </cell>
          <cell r="G138">
            <v>520</v>
          </cell>
          <cell r="H138">
            <v>408</v>
          </cell>
        </row>
        <row r="139">
          <cell r="A139" t="str">
            <v>BATSAFT</v>
          </cell>
          <cell r="B139" t="str">
            <v>SAFT LSH20 LITHIUM D BATTERY</v>
          </cell>
          <cell r="C139">
            <v>90</v>
          </cell>
          <cell r="D139">
            <v>90</v>
          </cell>
          <cell r="E139">
            <v>90</v>
          </cell>
          <cell r="F139">
            <v>90</v>
          </cell>
          <cell r="G139">
            <v>90</v>
          </cell>
          <cell r="H139">
            <v>69</v>
          </cell>
          <cell r="I139">
            <v>40339</v>
          </cell>
        </row>
        <row r="140">
          <cell r="A140" t="str">
            <v>BATSQUI</v>
          </cell>
          <cell r="B140" t="str">
            <v>BATTERY PACK FOR SQUIRTEK 16 x D CELLS</v>
          </cell>
          <cell r="C140">
            <v>195</v>
          </cell>
          <cell r="D140">
            <v>195</v>
          </cell>
          <cell r="E140">
            <v>195</v>
          </cell>
          <cell r="F140">
            <v>195</v>
          </cell>
          <cell r="G140">
            <v>195</v>
          </cell>
          <cell r="H140">
            <v>143</v>
          </cell>
        </row>
        <row r="141">
          <cell r="A141" t="str">
            <v>BATTANA</v>
          </cell>
          <cell r="B141" t="str">
            <v>BATTERY ANALYSER CBA2</v>
          </cell>
          <cell r="C141">
            <v>300</v>
          </cell>
          <cell r="D141">
            <v>300</v>
          </cell>
          <cell r="E141">
            <v>300</v>
          </cell>
          <cell r="F141">
            <v>300</v>
          </cell>
          <cell r="G141">
            <v>300</v>
          </cell>
          <cell r="H141">
            <v>230.28800000000001</v>
          </cell>
        </row>
        <row r="142">
          <cell r="A142" t="str">
            <v>BATWAVE</v>
          </cell>
          <cell r="B142" t="str">
            <v>BATTERY WAVERIDER DIRECTIONAL BUOY</v>
          </cell>
          <cell r="C142">
            <v>200</v>
          </cell>
          <cell r="D142">
            <v>200</v>
          </cell>
          <cell r="E142">
            <v>200</v>
          </cell>
          <cell r="F142">
            <v>200</v>
          </cell>
          <cell r="G142">
            <v>200</v>
          </cell>
          <cell r="H142">
            <v>0</v>
          </cell>
        </row>
        <row r="143">
          <cell r="A143" t="str">
            <v>BMS4004</v>
          </cell>
          <cell r="B143" t="str">
            <v>BATTERY MGT SYSTEM 4 CHANNEL</v>
          </cell>
          <cell r="C143">
            <v>2048</v>
          </cell>
          <cell r="D143">
            <v>2535</v>
          </cell>
          <cell r="E143">
            <v>2535</v>
          </cell>
          <cell r="F143">
            <v>2535</v>
          </cell>
          <cell r="G143">
            <v>2535</v>
          </cell>
          <cell r="H143">
            <v>1950</v>
          </cell>
        </row>
        <row r="144">
          <cell r="A144" t="str">
            <v>BMSBOCH</v>
          </cell>
          <cell r="B144" t="str">
            <v>BMS2000 ASSEMBLED CHANNEL PCB</v>
          </cell>
          <cell r="C144">
            <v>220</v>
          </cell>
          <cell r="D144">
            <v>220</v>
          </cell>
          <cell r="E144">
            <v>220</v>
          </cell>
          <cell r="F144">
            <v>220</v>
          </cell>
          <cell r="G144">
            <v>220</v>
          </cell>
          <cell r="H144">
            <v>0</v>
          </cell>
        </row>
        <row r="145">
          <cell r="A145" t="str">
            <v>BMSBODI</v>
          </cell>
          <cell r="B145" t="str">
            <v>BMS2000 ASSEMBLED DISPLAY PCB</v>
          </cell>
          <cell r="C145">
            <v>145</v>
          </cell>
          <cell r="D145">
            <v>145</v>
          </cell>
          <cell r="E145">
            <v>145</v>
          </cell>
          <cell r="F145">
            <v>145</v>
          </cell>
          <cell r="G145">
            <v>145</v>
          </cell>
          <cell r="H145">
            <v>0</v>
          </cell>
        </row>
        <row r="146">
          <cell r="A146" t="str">
            <v>BMSBOFP</v>
          </cell>
          <cell r="B146" t="str">
            <v>BMS2000 ASSEMBLED FRONT PANEL PCB</v>
          </cell>
          <cell r="C146">
            <v>78</v>
          </cell>
          <cell r="D146">
            <v>78</v>
          </cell>
          <cell r="E146">
            <v>78</v>
          </cell>
          <cell r="F146">
            <v>78</v>
          </cell>
          <cell r="G146">
            <v>78</v>
          </cell>
          <cell r="H146">
            <v>0</v>
          </cell>
        </row>
        <row r="147">
          <cell r="A147" t="str">
            <v>BMSBOUG</v>
          </cell>
          <cell r="B147" t="str">
            <v>BMS2000 ASSEMBLED UPGRADE PCB</v>
          </cell>
          <cell r="C147">
            <v>100</v>
          </cell>
          <cell r="D147">
            <v>100</v>
          </cell>
          <cell r="E147">
            <v>100</v>
          </cell>
          <cell r="F147">
            <v>100</v>
          </cell>
          <cell r="G147">
            <v>100</v>
          </cell>
          <cell r="H147">
            <v>0</v>
          </cell>
        </row>
        <row r="148">
          <cell r="A148" t="str">
            <v>BMSENCL</v>
          </cell>
          <cell r="B148" t="str">
            <v>BMS2000 ENCLOSURE</v>
          </cell>
          <cell r="C148">
            <v>250</v>
          </cell>
          <cell r="D148">
            <v>250</v>
          </cell>
          <cell r="E148">
            <v>250</v>
          </cell>
          <cell r="F148">
            <v>250</v>
          </cell>
          <cell r="G148">
            <v>250</v>
          </cell>
          <cell r="H148">
            <v>0</v>
          </cell>
        </row>
        <row r="149">
          <cell r="A149" t="str">
            <v>BMSHEAT</v>
          </cell>
          <cell r="B149" t="str">
            <v>BMS2000 HEATSINK</v>
          </cell>
          <cell r="C149">
            <v>80</v>
          </cell>
          <cell r="D149">
            <v>80</v>
          </cell>
          <cell r="E149">
            <v>80</v>
          </cell>
          <cell r="F149">
            <v>80</v>
          </cell>
          <cell r="G149">
            <v>80</v>
          </cell>
          <cell r="H149">
            <v>0</v>
          </cell>
        </row>
        <row r="150">
          <cell r="A150" t="str">
            <v>BMSLABS</v>
          </cell>
          <cell r="B150" t="str">
            <v>BMS4000 LABEL</v>
          </cell>
          <cell r="C150">
            <v>52</v>
          </cell>
          <cell r="D150">
            <v>64.45</v>
          </cell>
          <cell r="E150">
            <v>64.45</v>
          </cell>
          <cell r="F150">
            <v>64.45</v>
          </cell>
          <cell r="G150">
            <v>64.45</v>
          </cell>
          <cell r="H150">
            <v>44.89</v>
          </cell>
        </row>
        <row r="151">
          <cell r="A151" t="str">
            <v>BMSMKIT</v>
          </cell>
          <cell r="B151" t="str">
            <v>BMS2000 MOD KIT</v>
          </cell>
          <cell r="C151">
            <v>138</v>
          </cell>
          <cell r="D151">
            <v>138</v>
          </cell>
          <cell r="E151">
            <v>138</v>
          </cell>
          <cell r="F151">
            <v>138</v>
          </cell>
          <cell r="G151">
            <v>138</v>
          </cell>
          <cell r="H151">
            <v>0</v>
          </cell>
        </row>
        <row r="152">
          <cell r="A152" t="str">
            <v>BOACBCC</v>
          </cell>
          <cell r="B152" t="str">
            <v>PCB AQUITEL CROW BAR CONTROL BARE</v>
          </cell>
          <cell r="C152">
            <v>12.55</v>
          </cell>
          <cell r="D152">
            <v>12.55</v>
          </cell>
          <cell r="E152">
            <v>12.55</v>
          </cell>
          <cell r="F152">
            <v>12.55</v>
          </cell>
          <cell r="G152">
            <v>12.55</v>
          </cell>
          <cell r="H152">
            <v>0</v>
          </cell>
        </row>
        <row r="153">
          <cell r="A153" t="str">
            <v>BOACONV</v>
          </cell>
          <cell r="B153" t="str">
            <v>PCB.AQUITEL CONVERTER ANALOGUE TO PULSE.</v>
          </cell>
          <cell r="C153">
            <v>58.2</v>
          </cell>
          <cell r="D153">
            <v>58.2</v>
          </cell>
          <cell r="E153">
            <v>58.2</v>
          </cell>
          <cell r="F153">
            <v>58.2</v>
          </cell>
          <cell r="G153">
            <v>58.2</v>
          </cell>
          <cell r="H153">
            <v>0</v>
          </cell>
        </row>
        <row r="154">
          <cell r="A154" t="str">
            <v>BOARD-VERO</v>
          </cell>
          <cell r="B154" t="str">
            <v>VEROBOARD 121.92x101.6mm</v>
          </cell>
          <cell r="C154">
            <v>75</v>
          </cell>
          <cell r="D154">
            <v>75</v>
          </cell>
          <cell r="E154">
            <v>75</v>
          </cell>
          <cell r="F154">
            <v>75</v>
          </cell>
          <cell r="G154">
            <v>75</v>
          </cell>
          <cell r="H154">
            <v>19.489999999999998</v>
          </cell>
        </row>
        <row r="155">
          <cell r="A155" t="str">
            <v>BOBMSCH</v>
          </cell>
          <cell r="B155" t="str">
            <v>PCB  BMS CHANNEL BOARD</v>
          </cell>
          <cell r="C155">
            <v>28</v>
          </cell>
          <cell r="D155">
            <v>28</v>
          </cell>
          <cell r="E155">
            <v>28</v>
          </cell>
          <cell r="F155">
            <v>28</v>
          </cell>
          <cell r="G155">
            <v>28</v>
          </cell>
          <cell r="H155">
            <v>0</v>
          </cell>
        </row>
        <row r="156">
          <cell r="A156" t="str">
            <v>BOBMSDI</v>
          </cell>
          <cell r="B156" t="str">
            <v>PCB  BMS DISPLAY BOARD</v>
          </cell>
          <cell r="C156">
            <v>22</v>
          </cell>
          <cell r="D156">
            <v>22</v>
          </cell>
          <cell r="E156">
            <v>22</v>
          </cell>
          <cell r="F156">
            <v>22</v>
          </cell>
          <cell r="G156">
            <v>22</v>
          </cell>
          <cell r="H156">
            <v>0</v>
          </cell>
        </row>
        <row r="157">
          <cell r="A157" t="str">
            <v>BOBMSFP</v>
          </cell>
          <cell r="B157" t="str">
            <v>PCB  BMS FRONT PANEL</v>
          </cell>
          <cell r="C157">
            <v>15</v>
          </cell>
          <cell r="D157">
            <v>15</v>
          </cell>
          <cell r="E157">
            <v>15</v>
          </cell>
          <cell r="F157">
            <v>15</v>
          </cell>
          <cell r="G157">
            <v>15</v>
          </cell>
          <cell r="H157">
            <v>0</v>
          </cell>
        </row>
        <row r="158">
          <cell r="A158" t="str">
            <v>BOBMSUP</v>
          </cell>
          <cell r="B158" t="str">
            <v>PCB  BMS UPGRADE BOARD</v>
          </cell>
          <cell r="C158">
            <v>75</v>
          </cell>
          <cell r="D158">
            <v>75</v>
          </cell>
          <cell r="E158">
            <v>75</v>
          </cell>
          <cell r="F158">
            <v>75</v>
          </cell>
          <cell r="G158">
            <v>75</v>
          </cell>
          <cell r="H158">
            <v>0</v>
          </cell>
        </row>
        <row r="159">
          <cell r="A159" t="str">
            <v>BOCONVE</v>
          </cell>
          <cell r="B159" t="str">
            <v>PCB 4 TO 20ma CONVERTER</v>
          </cell>
          <cell r="C159">
            <v>21.84</v>
          </cell>
          <cell r="D159">
            <v>21.84</v>
          </cell>
          <cell r="E159">
            <v>21.84</v>
          </cell>
          <cell r="F159">
            <v>21.84</v>
          </cell>
          <cell r="G159">
            <v>21.84</v>
          </cell>
          <cell r="H159">
            <v>0</v>
          </cell>
        </row>
        <row r="160">
          <cell r="A160" t="str">
            <v>BODOBIE</v>
          </cell>
          <cell r="B160" t="str">
            <v>PCB  DOBIE</v>
          </cell>
          <cell r="C160">
            <v>26</v>
          </cell>
          <cell r="D160">
            <v>26</v>
          </cell>
          <cell r="E160">
            <v>26</v>
          </cell>
          <cell r="F160">
            <v>26</v>
          </cell>
          <cell r="G160">
            <v>26</v>
          </cell>
          <cell r="H160">
            <v>0</v>
          </cell>
        </row>
        <row r="161">
          <cell r="A161" t="str">
            <v>BODRORG</v>
          </cell>
          <cell r="B161" t="str">
            <v>PCB  DROP RAINGUAGE</v>
          </cell>
          <cell r="C161">
            <v>35</v>
          </cell>
          <cell r="D161">
            <v>35</v>
          </cell>
          <cell r="E161">
            <v>35</v>
          </cell>
          <cell r="F161">
            <v>35</v>
          </cell>
          <cell r="G161">
            <v>35</v>
          </cell>
          <cell r="H161">
            <v>0</v>
          </cell>
        </row>
        <row r="162">
          <cell r="A162" t="str">
            <v>BOEFCON</v>
          </cell>
          <cell r="B162" t="str">
            <v>PCB  E/FISHING CONTROLLER EFM300 V1.2</v>
          </cell>
          <cell r="C162">
            <v>205.95</v>
          </cell>
          <cell r="D162">
            <v>255</v>
          </cell>
          <cell r="E162">
            <v>255</v>
          </cell>
          <cell r="F162">
            <v>255</v>
          </cell>
          <cell r="G162">
            <v>255</v>
          </cell>
          <cell r="H162">
            <v>62.698999999999998</v>
          </cell>
        </row>
        <row r="163">
          <cell r="A163" t="str">
            <v>BOEFCOP</v>
          </cell>
          <cell r="B163" t="str">
            <v>PCB  ELECTRIC FISHING CONTROLLER PIGGY B</v>
          </cell>
          <cell r="C163">
            <v>71.89</v>
          </cell>
          <cell r="D163">
            <v>89</v>
          </cell>
          <cell r="E163">
            <v>89</v>
          </cell>
          <cell r="F163">
            <v>89</v>
          </cell>
          <cell r="G163">
            <v>89</v>
          </cell>
          <cell r="H163">
            <v>33.543999999999997</v>
          </cell>
        </row>
        <row r="164">
          <cell r="A164" t="str">
            <v>BOEFDIS</v>
          </cell>
          <cell r="B164" t="str">
            <v>PCB  ELECTRIC FISHING DISPLAY</v>
          </cell>
          <cell r="C164">
            <v>130</v>
          </cell>
          <cell r="D164">
            <v>130</v>
          </cell>
          <cell r="E164">
            <v>130</v>
          </cell>
          <cell r="F164">
            <v>130</v>
          </cell>
          <cell r="G164">
            <v>130</v>
          </cell>
          <cell r="H164">
            <v>59.720999999999997</v>
          </cell>
        </row>
        <row r="165">
          <cell r="A165" t="str">
            <v>BOEFWAN</v>
          </cell>
          <cell r="B165" t="str">
            <v>PCB  ELECTRIC FISHING WAND</v>
          </cell>
          <cell r="C165">
            <v>33.6</v>
          </cell>
          <cell r="D165">
            <v>41.6</v>
          </cell>
          <cell r="E165">
            <v>41.6</v>
          </cell>
          <cell r="F165">
            <v>41.6</v>
          </cell>
          <cell r="G165">
            <v>41.6</v>
          </cell>
          <cell r="H165">
            <v>9.4209999999999994</v>
          </cell>
        </row>
        <row r="166">
          <cell r="A166" t="str">
            <v>BOEFWDC</v>
          </cell>
          <cell r="B166" t="str">
            <v>PCB WATER DETECTOR CIRCUIT</v>
          </cell>
          <cell r="C166">
            <v>20</v>
          </cell>
          <cell r="D166">
            <v>20</v>
          </cell>
          <cell r="E166">
            <v>20</v>
          </cell>
          <cell r="F166">
            <v>20</v>
          </cell>
          <cell r="G166">
            <v>20</v>
          </cell>
          <cell r="H166">
            <v>14.753</v>
          </cell>
          <cell r="I166">
            <v>40165</v>
          </cell>
        </row>
        <row r="167">
          <cell r="A167" t="str">
            <v>BOENCIN</v>
          </cell>
          <cell r="B167" t="str">
            <v>PCB  KAINGA ENCODER INTERFACE</v>
          </cell>
          <cell r="C167">
            <v>70.2</v>
          </cell>
          <cell r="D167">
            <v>70.2</v>
          </cell>
          <cell r="E167">
            <v>70.2</v>
          </cell>
          <cell r="F167">
            <v>70.2</v>
          </cell>
          <cell r="G167">
            <v>70.2</v>
          </cell>
          <cell r="H167">
            <v>0</v>
          </cell>
        </row>
        <row r="168">
          <cell r="A168" t="str">
            <v>BOENCOD</v>
          </cell>
          <cell r="B168" t="str">
            <v>PCB  KAINGA ENCODER</v>
          </cell>
          <cell r="C168">
            <v>40.450000000000003</v>
          </cell>
          <cell r="D168">
            <v>40.450000000000003</v>
          </cell>
          <cell r="E168">
            <v>40.450000000000003</v>
          </cell>
          <cell r="F168">
            <v>40.450000000000003</v>
          </cell>
          <cell r="G168">
            <v>40.450000000000003</v>
          </cell>
          <cell r="H168">
            <v>0</v>
          </cell>
        </row>
        <row r="169">
          <cell r="A169" t="str">
            <v>BOENCPR</v>
          </cell>
          <cell r="B169" t="str">
            <v>PCB  KAINGA ENCODER PRESET UNIT</v>
          </cell>
          <cell r="C169">
            <v>45.48</v>
          </cell>
          <cell r="D169">
            <v>45.48</v>
          </cell>
          <cell r="E169">
            <v>45.48</v>
          </cell>
          <cell r="F169">
            <v>45.48</v>
          </cell>
          <cell r="G169">
            <v>45.48</v>
          </cell>
          <cell r="H169">
            <v>0</v>
          </cell>
        </row>
        <row r="170">
          <cell r="A170" t="str">
            <v>BOENINT</v>
          </cell>
          <cell r="B170" t="str">
            <v>PCB  ENCODER INTERFACE</v>
          </cell>
          <cell r="C170">
            <v>24</v>
          </cell>
          <cell r="D170">
            <v>24</v>
          </cell>
          <cell r="E170">
            <v>24</v>
          </cell>
          <cell r="F170">
            <v>24</v>
          </cell>
          <cell r="G170">
            <v>24</v>
          </cell>
          <cell r="H170">
            <v>16</v>
          </cell>
        </row>
        <row r="171">
          <cell r="A171" t="str">
            <v>BOEPBBU</v>
          </cell>
          <cell r="B171" t="str">
            <v>PCB  EPB BUZZER UNIT</v>
          </cell>
          <cell r="C171">
            <v>16</v>
          </cell>
          <cell r="D171">
            <v>16</v>
          </cell>
          <cell r="E171">
            <v>16</v>
          </cell>
          <cell r="F171">
            <v>16</v>
          </cell>
          <cell r="G171">
            <v>16</v>
          </cell>
          <cell r="H171">
            <v>0</v>
          </cell>
        </row>
        <row r="172">
          <cell r="A172" t="str">
            <v>BOIRRGC</v>
          </cell>
          <cell r="B172" t="str">
            <v>PCB, IRRIGATION GATE CONTROLLER V2</v>
          </cell>
          <cell r="C172">
            <v>80</v>
          </cell>
          <cell r="D172">
            <v>80</v>
          </cell>
          <cell r="E172">
            <v>80</v>
          </cell>
          <cell r="F172">
            <v>80</v>
          </cell>
          <cell r="G172">
            <v>80</v>
          </cell>
          <cell r="H172">
            <v>49.753</v>
          </cell>
        </row>
        <row r="173">
          <cell r="A173" t="str">
            <v>BOKAIRA</v>
          </cell>
          <cell r="B173" t="str">
            <v>PCB  KAINGA RADIO MODEM</v>
          </cell>
          <cell r="C173">
            <v>88.43</v>
          </cell>
          <cell r="D173">
            <v>88.43</v>
          </cell>
          <cell r="E173">
            <v>88.43</v>
          </cell>
          <cell r="F173">
            <v>88.43</v>
          </cell>
          <cell r="G173">
            <v>88.43</v>
          </cell>
          <cell r="H173">
            <v>0</v>
          </cell>
        </row>
        <row r="174">
          <cell r="A174" t="str">
            <v>BOKCLMP</v>
          </cell>
          <cell r="B174" t="str">
            <v>PCB  KCLM MODULE WIRING PANEL</v>
          </cell>
          <cell r="C174">
            <v>77.5</v>
          </cell>
          <cell r="D174">
            <v>77.5</v>
          </cell>
          <cell r="E174">
            <v>77.5</v>
          </cell>
          <cell r="F174">
            <v>77.5</v>
          </cell>
          <cell r="G174">
            <v>77.5</v>
          </cell>
          <cell r="H174">
            <v>0</v>
          </cell>
        </row>
        <row r="175">
          <cell r="A175" t="str">
            <v>BOKCMCO</v>
          </cell>
          <cell r="B175" t="str">
            <v>PCB  KAINGA CURRENT METER COUNTER</v>
          </cell>
          <cell r="C175">
            <v>71</v>
          </cell>
          <cell r="D175">
            <v>71</v>
          </cell>
          <cell r="E175">
            <v>71</v>
          </cell>
          <cell r="F175">
            <v>71</v>
          </cell>
          <cell r="G175">
            <v>71</v>
          </cell>
          <cell r="H175">
            <v>0</v>
          </cell>
        </row>
        <row r="176">
          <cell r="A176" t="str">
            <v>BOLEUST</v>
          </cell>
          <cell r="B176" t="str">
            <v>PCB  LEUPOLD &amp; STEVENS</v>
          </cell>
          <cell r="C176">
            <v>8</v>
          </cell>
          <cell r="D176">
            <v>8</v>
          </cell>
          <cell r="E176">
            <v>8</v>
          </cell>
          <cell r="F176">
            <v>8</v>
          </cell>
          <cell r="G176">
            <v>8</v>
          </cell>
          <cell r="H176">
            <v>0</v>
          </cell>
        </row>
        <row r="177">
          <cell r="A177" t="str">
            <v>BOLSDUA</v>
          </cell>
          <cell r="B177" t="str">
            <v>PCB  LEUPOLD &amp; STEVENS DUAL TIMER</v>
          </cell>
          <cell r="C177">
            <v>12.5</v>
          </cell>
          <cell r="D177">
            <v>12.5</v>
          </cell>
          <cell r="E177">
            <v>12.5</v>
          </cell>
          <cell r="F177">
            <v>12.5</v>
          </cell>
          <cell r="G177">
            <v>12.5</v>
          </cell>
          <cell r="H177">
            <v>0</v>
          </cell>
        </row>
        <row r="178">
          <cell r="A178" t="str">
            <v>BOMICEC</v>
          </cell>
          <cell r="B178" t="str">
            <v>PCB  MICROLOGGER EXTERNAL CONDITION MODU</v>
          </cell>
          <cell r="C178">
            <v>39.450000000000003</v>
          </cell>
          <cell r="D178">
            <v>39.450000000000003</v>
          </cell>
          <cell r="E178">
            <v>39.450000000000003</v>
          </cell>
          <cell r="F178">
            <v>39.450000000000003</v>
          </cell>
          <cell r="G178">
            <v>39.450000000000003</v>
          </cell>
          <cell r="H178">
            <v>0</v>
          </cell>
        </row>
        <row r="179">
          <cell r="A179" t="str">
            <v>BOOTTSC</v>
          </cell>
          <cell r="B179" t="str">
            <v>PCB  OTT CURRENT METER SCALER</v>
          </cell>
          <cell r="C179">
            <v>6.45</v>
          </cell>
          <cell r="D179">
            <v>6.45</v>
          </cell>
          <cell r="E179">
            <v>6.45</v>
          </cell>
          <cell r="F179">
            <v>6.45</v>
          </cell>
          <cell r="G179">
            <v>6.45</v>
          </cell>
          <cell r="H179">
            <v>0</v>
          </cell>
        </row>
        <row r="180">
          <cell r="A180" t="str">
            <v>BOPCACB</v>
          </cell>
          <cell r="B180" t="str">
            <v>PCB AQUITEL CROW BAR CONTROL ASSEMBLED</v>
          </cell>
          <cell r="C180">
            <v>35</v>
          </cell>
          <cell r="D180">
            <v>35</v>
          </cell>
          <cell r="E180">
            <v>35</v>
          </cell>
          <cell r="F180">
            <v>35</v>
          </cell>
          <cell r="G180">
            <v>35</v>
          </cell>
          <cell r="H180">
            <v>22</v>
          </cell>
        </row>
        <row r="181">
          <cell r="A181" t="str">
            <v>BOPCACP</v>
          </cell>
          <cell r="B181" t="str">
            <v>PCB AQUITEL CPU MKII ASSEMBLED</v>
          </cell>
          <cell r="C181">
            <v>322</v>
          </cell>
          <cell r="D181">
            <v>322</v>
          </cell>
          <cell r="E181">
            <v>322</v>
          </cell>
          <cell r="F181">
            <v>322</v>
          </cell>
          <cell r="G181">
            <v>322</v>
          </cell>
          <cell r="H181">
            <v>0</v>
          </cell>
        </row>
        <row r="182">
          <cell r="A182" t="str">
            <v>BOPCADC</v>
          </cell>
          <cell r="B182" t="str">
            <v>PCB AQUITEL DUAL COMMS ASSEMBLED</v>
          </cell>
          <cell r="C182">
            <v>580.05999999999995</v>
          </cell>
          <cell r="D182">
            <v>580.05999999999995</v>
          </cell>
          <cell r="E182">
            <v>580.05999999999995</v>
          </cell>
          <cell r="F182">
            <v>580.05999999999995</v>
          </cell>
          <cell r="G182">
            <v>580.05999999999995</v>
          </cell>
          <cell r="H182">
            <v>0</v>
          </cell>
        </row>
        <row r="183">
          <cell r="A183" t="str">
            <v>BOPCADR</v>
          </cell>
          <cell r="B183" t="str">
            <v>PCB ADCP TRAVELLER REMOTE</v>
          </cell>
          <cell r="C183">
            <v>37.799999999999997</v>
          </cell>
          <cell r="D183">
            <v>46.8</v>
          </cell>
          <cell r="E183">
            <v>46.8</v>
          </cell>
          <cell r="F183">
            <v>46.8</v>
          </cell>
          <cell r="G183">
            <v>46.8</v>
          </cell>
          <cell r="H183">
            <v>35.634</v>
          </cell>
        </row>
        <row r="184">
          <cell r="A184" t="str">
            <v>BOPCADT</v>
          </cell>
          <cell r="B184" t="str">
            <v>PCB ADCP TRAVELLER</v>
          </cell>
          <cell r="C184">
            <v>55</v>
          </cell>
          <cell r="D184">
            <v>55</v>
          </cell>
          <cell r="E184">
            <v>55</v>
          </cell>
          <cell r="F184">
            <v>55</v>
          </cell>
          <cell r="G184">
            <v>55</v>
          </cell>
          <cell r="H184">
            <v>27.907</v>
          </cell>
        </row>
        <row r="185">
          <cell r="A185" t="str">
            <v>BOPCAIO</v>
          </cell>
          <cell r="B185" t="str">
            <v>PCB AQUITEL I O CONTROL 16 BIT</v>
          </cell>
          <cell r="C185">
            <v>450</v>
          </cell>
          <cell r="D185">
            <v>450</v>
          </cell>
          <cell r="E185">
            <v>450</v>
          </cell>
          <cell r="F185">
            <v>450</v>
          </cell>
          <cell r="G185">
            <v>450</v>
          </cell>
          <cell r="H185">
            <v>0</v>
          </cell>
        </row>
        <row r="186">
          <cell r="A186" t="str">
            <v>BOPCAU2</v>
          </cell>
          <cell r="B186" t="str">
            <v>PCB AQUITEL U2 PWR SUPPLY ASSEMBLED</v>
          </cell>
          <cell r="C186">
            <v>29</v>
          </cell>
          <cell r="D186">
            <v>29</v>
          </cell>
          <cell r="E186">
            <v>29</v>
          </cell>
          <cell r="F186">
            <v>29</v>
          </cell>
          <cell r="G186">
            <v>29</v>
          </cell>
          <cell r="H186">
            <v>0</v>
          </cell>
        </row>
        <row r="187">
          <cell r="A187" t="str">
            <v>BOPCBAB</v>
          </cell>
          <cell r="B187" t="str">
            <v>PCB BABELBULLET V2.1</v>
          </cell>
          <cell r="C187">
            <v>65</v>
          </cell>
          <cell r="D187">
            <v>65</v>
          </cell>
          <cell r="E187">
            <v>65</v>
          </cell>
          <cell r="F187">
            <v>65</v>
          </cell>
          <cell r="G187">
            <v>65</v>
          </cell>
          <cell r="H187">
            <v>45.005000000000003</v>
          </cell>
        </row>
        <row r="188">
          <cell r="A188" t="str">
            <v>BOPCIRRC</v>
          </cell>
          <cell r="B188" t="str">
            <v>HSIO 8 CHANNEL RELAY MODULE PCB</v>
          </cell>
          <cell r="C188">
            <v>69</v>
          </cell>
          <cell r="D188">
            <v>86</v>
          </cell>
          <cell r="E188">
            <v>86</v>
          </cell>
          <cell r="F188">
            <v>86</v>
          </cell>
          <cell r="G188">
            <v>86</v>
          </cell>
          <cell r="H188">
            <v>65.763999999999996</v>
          </cell>
        </row>
        <row r="189">
          <cell r="A189" t="str">
            <v>BOPCPAM</v>
          </cell>
          <cell r="B189" t="str">
            <v>PCB. KAINGA DATALOGGER PAMELTRONIC 14 BI</v>
          </cell>
          <cell r="C189">
            <v>878</v>
          </cell>
          <cell r="D189">
            <v>878</v>
          </cell>
          <cell r="E189">
            <v>878</v>
          </cell>
          <cell r="F189">
            <v>878</v>
          </cell>
          <cell r="G189">
            <v>878</v>
          </cell>
          <cell r="H189">
            <v>0</v>
          </cell>
        </row>
        <row r="190">
          <cell r="A190" t="str">
            <v>BOPCSRG</v>
          </cell>
          <cell r="B190" t="str">
            <v>PCB SMART RAIN GAUGE v2.1</v>
          </cell>
          <cell r="C190">
            <v>80</v>
          </cell>
          <cell r="D190">
            <v>80</v>
          </cell>
          <cell r="E190">
            <v>80</v>
          </cell>
          <cell r="F190">
            <v>80</v>
          </cell>
          <cell r="G190">
            <v>80</v>
          </cell>
          <cell r="H190">
            <v>37.850999999999999</v>
          </cell>
        </row>
        <row r="191">
          <cell r="A191" t="str">
            <v>BOPCSWR</v>
          </cell>
          <cell r="B191" t="str">
            <v>PCB  RELAY SWITCHER</v>
          </cell>
          <cell r="C191">
            <v>45</v>
          </cell>
          <cell r="D191">
            <v>55</v>
          </cell>
          <cell r="E191">
            <v>55</v>
          </cell>
          <cell r="F191">
            <v>55</v>
          </cell>
          <cell r="G191">
            <v>55</v>
          </cell>
          <cell r="H191">
            <v>43.143999999999998</v>
          </cell>
          <cell r="I191">
            <v>39988</v>
          </cell>
        </row>
        <row r="192">
          <cell r="A192" t="str">
            <v>BOPDSPR</v>
          </cell>
          <cell r="B192" t="str">
            <v>PCB  DUAL SOLAR PANEL REGULATOR</v>
          </cell>
          <cell r="C192">
            <v>22</v>
          </cell>
          <cell r="D192">
            <v>22</v>
          </cell>
          <cell r="E192">
            <v>22</v>
          </cell>
          <cell r="F192">
            <v>22</v>
          </cell>
          <cell r="G192">
            <v>22</v>
          </cell>
          <cell r="H192">
            <v>9.6739999999999995</v>
          </cell>
        </row>
        <row r="193">
          <cell r="A193" t="str">
            <v>BOPLIF</v>
          </cell>
          <cell r="B193" t="str">
            <v>PCB LICOR INTERFACE</v>
          </cell>
          <cell r="C193">
            <v>10</v>
          </cell>
          <cell r="D193">
            <v>10</v>
          </cell>
          <cell r="E193">
            <v>10</v>
          </cell>
          <cell r="F193">
            <v>10</v>
          </cell>
          <cell r="G193">
            <v>10</v>
          </cell>
          <cell r="H193">
            <v>6.9870000000000001</v>
          </cell>
        </row>
        <row r="194">
          <cell r="A194" t="str">
            <v>BOPOSIF</v>
          </cell>
          <cell r="B194" t="str">
            <v>PCB  OFFSET INTERFACE</v>
          </cell>
          <cell r="C194">
            <v>0</v>
          </cell>
          <cell r="D194">
            <v>0</v>
          </cell>
          <cell r="E194">
            <v>0</v>
          </cell>
          <cell r="F194">
            <v>0</v>
          </cell>
          <cell r="G194">
            <v>0</v>
          </cell>
          <cell r="H194">
            <v>0</v>
          </cell>
        </row>
        <row r="195">
          <cell r="A195" t="str">
            <v>BOPSPRE</v>
          </cell>
          <cell r="B195" t="str">
            <v>PCB  SOLAR PANEL REGULATOR</v>
          </cell>
          <cell r="C195">
            <v>5.95</v>
          </cell>
          <cell r="D195">
            <v>5.95</v>
          </cell>
          <cell r="E195">
            <v>5.95</v>
          </cell>
          <cell r="F195">
            <v>5.95</v>
          </cell>
          <cell r="G195">
            <v>5.95</v>
          </cell>
          <cell r="H195">
            <v>0</v>
          </cell>
        </row>
        <row r="196">
          <cell r="A196" t="str">
            <v>BOPTAMP</v>
          </cell>
          <cell r="B196" t="str">
            <v>PCB  KAINGA PRESSURE TRANSDUCER PTAMP</v>
          </cell>
          <cell r="C196">
            <v>13.5</v>
          </cell>
          <cell r="D196">
            <v>13.5</v>
          </cell>
          <cell r="E196">
            <v>13.5</v>
          </cell>
          <cell r="F196">
            <v>13.5</v>
          </cell>
          <cell r="G196">
            <v>13.5</v>
          </cell>
          <cell r="H196">
            <v>0</v>
          </cell>
        </row>
        <row r="197">
          <cell r="A197" t="str">
            <v>BORAICO</v>
          </cell>
          <cell r="B197" t="str">
            <v>PCB  RAINGAUGE COUNTER</v>
          </cell>
          <cell r="C197">
            <v>15</v>
          </cell>
          <cell r="D197">
            <v>18.600000000000001</v>
          </cell>
          <cell r="E197">
            <v>18.600000000000001</v>
          </cell>
          <cell r="F197">
            <v>18.600000000000001</v>
          </cell>
          <cell r="G197">
            <v>18.600000000000001</v>
          </cell>
          <cell r="H197">
            <v>14.244999999999999</v>
          </cell>
          <cell r="I197">
            <v>40106</v>
          </cell>
        </row>
        <row r="198">
          <cell r="A198" t="str">
            <v>BORELSW</v>
          </cell>
          <cell r="B198" t="str">
            <v>PCB  RELAY SWITCHER</v>
          </cell>
          <cell r="C198">
            <v>0</v>
          </cell>
          <cell r="D198">
            <v>0</v>
          </cell>
          <cell r="E198">
            <v>0</v>
          </cell>
          <cell r="F198">
            <v>0</v>
          </cell>
          <cell r="G198">
            <v>0</v>
          </cell>
          <cell r="H198">
            <v>0</v>
          </cell>
        </row>
        <row r="199">
          <cell r="A199" t="str">
            <v>BOTEMTR</v>
          </cell>
          <cell r="B199" t="str">
            <v>PCB  TEMPERATURE TRANSDUCER</v>
          </cell>
          <cell r="C199">
            <v>13</v>
          </cell>
          <cell r="D199">
            <v>13</v>
          </cell>
          <cell r="E199">
            <v>13</v>
          </cell>
          <cell r="F199">
            <v>13</v>
          </cell>
          <cell r="G199">
            <v>13</v>
          </cell>
          <cell r="H199">
            <v>0</v>
          </cell>
        </row>
        <row r="200">
          <cell r="A200" t="str">
            <v>BOTPOL2</v>
          </cell>
          <cell r="B200" t="str">
            <v>BOTTLE.125ml.HD POLYPROP</v>
          </cell>
          <cell r="C200">
            <v>2.6</v>
          </cell>
          <cell r="D200">
            <v>2.6</v>
          </cell>
          <cell r="E200">
            <v>2.6</v>
          </cell>
          <cell r="F200">
            <v>2.6</v>
          </cell>
          <cell r="G200">
            <v>2.6</v>
          </cell>
          <cell r="H200">
            <v>0</v>
          </cell>
        </row>
        <row r="201">
          <cell r="A201" t="str">
            <v>BOTPOL4</v>
          </cell>
          <cell r="B201" t="str">
            <v>BOTTLE.125ml.HD.POLYPROP</v>
          </cell>
          <cell r="C201">
            <v>2.56</v>
          </cell>
          <cell r="D201">
            <v>2.56</v>
          </cell>
          <cell r="E201">
            <v>2.56</v>
          </cell>
          <cell r="F201">
            <v>2.56</v>
          </cell>
          <cell r="G201">
            <v>2.56</v>
          </cell>
          <cell r="H201">
            <v>0</v>
          </cell>
        </row>
        <row r="202">
          <cell r="A202" t="str">
            <v>BOTSQU1</v>
          </cell>
          <cell r="B202" t="str">
            <v>BOTTLE PLASTIC SQUARE 1 LITRE C/W CAP</v>
          </cell>
          <cell r="C202">
            <v>1.1000000000000001</v>
          </cell>
          <cell r="D202">
            <v>1.25</v>
          </cell>
          <cell r="E202">
            <v>1.25</v>
          </cell>
          <cell r="F202">
            <v>1.25</v>
          </cell>
          <cell r="G202">
            <v>1.25</v>
          </cell>
          <cell r="H202">
            <v>1.034</v>
          </cell>
        </row>
        <row r="203">
          <cell r="A203" t="str">
            <v>BOUCRBA</v>
          </cell>
          <cell r="B203" t="str">
            <v>BATTERY CRADLE (KAINGA BOUY)</v>
          </cell>
          <cell r="C203">
            <v>104</v>
          </cell>
          <cell r="D203">
            <v>104</v>
          </cell>
          <cell r="E203">
            <v>104</v>
          </cell>
          <cell r="F203">
            <v>104</v>
          </cell>
          <cell r="G203">
            <v>104</v>
          </cell>
          <cell r="H203">
            <v>0</v>
          </cell>
        </row>
        <row r="204">
          <cell r="A204" t="str">
            <v>BOUCRBE</v>
          </cell>
          <cell r="B204" t="str">
            <v>BRACKET  MOUNTING (KAINGA BOUY)</v>
          </cell>
          <cell r="C204">
            <v>110</v>
          </cell>
          <cell r="D204">
            <v>110</v>
          </cell>
          <cell r="E204">
            <v>110</v>
          </cell>
          <cell r="F204">
            <v>110</v>
          </cell>
          <cell r="G204">
            <v>110</v>
          </cell>
          <cell r="H204">
            <v>0</v>
          </cell>
        </row>
        <row r="205">
          <cell r="A205" t="str">
            <v>BOXABS1</v>
          </cell>
          <cell r="B205" t="str">
            <v>ABS BOX 150 x 150mm</v>
          </cell>
          <cell r="C205">
            <v>40</v>
          </cell>
          <cell r="D205">
            <v>40</v>
          </cell>
          <cell r="E205">
            <v>40</v>
          </cell>
          <cell r="F205">
            <v>40</v>
          </cell>
          <cell r="G205">
            <v>40</v>
          </cell>
          <cell r="H205">
            <v>26.12</v>
          </cell>
        </row>
        <row r="206">
          <cell r="A206" t="str">
            <v>BOXACC1</v>
          </cell>
          <cell r="B206" t="str">
            <v>ACCESSORY BOX</v>
          </cell>
          <cell r="C206">
            <v>135</v>
          </cell>
          <cell r="D206">
            <v>158.54</v>
          </cell>
          <cell r="E206">
            <v>158.54</v>
          </cell>
          <cell r="F206">
            <v>158.54</v>
          </cell>
          <cell r="G206">
            <v>158.54</v>
          </cell>
          <cell r="H206">
            <v>129.55500000000001</v>
          </cell>
        </row>
        <row r="207">
          <cell r="A207" t="str">
            <v>BOXACC2</v>
          </cell>
          <cell r="B207" t="str">
            <v>ACCESSORY BOX (LOW PROFILE VERSION)</v>
          </cell>
          <cell r="C207">
            <v>130</v>
          </cell>
          <cell r="D207">
            <v>130</v>
          </cell>
          <cell r="E207">
            <v>130</v>
          </cell>
          <cell r="F207">
            <v>130</v>
          </cell>
          <cell r="G207">
            <v>130</v>
          </cell>
          <cell r="H207">
            <v>98.120999999999995</v>
          </cell>
        </row>
        <row r="208">
          <cell r="A208" t="str">
            <v>BOXAREE</v>
          </cell>
          <cell r="B208" t="str">
            <v>PLASTIC BOX TMC600</v>
          </cell>
          <cell r="C208">
            <v>250</v>
          </cell>
          <cell r="D208">
            <v>250</v>
          </cell>
          <cell r="E208">
            <v>250</v>
          </cell>
          <cell r="F208">
            <v>250</v>
          </cell>
          <cell r="G208">
            <v>250</v>
          </cell>
          <cell r="H208">
            <v>0</v>
          </cell>
        </row>
        <row r="209">
          <cell r="A209" t="str">
            <v>BOXBAWP</v>
          </cell>
          <cell r="B209" t="str">
            <v>WATERPROOF BATTERY CONTAINER</v>
          </cell>
          <cell r="C209">
            <v>315</v>
          </cell>
          <cell r="D209">
            <v>315</v>
          </cell>
          <cell r="E209">
            <v>315</v>
          </cell>
          <cell r="F209">
            <v>315</v>
          </cell>
          <cell r="G209">
            <v>315</v>
          </cell>
          <cell r="H209">
            <v>0</v>
          </cell>
        </row>
        <row r="210">
          <cell r="A210" t="str">
            <v>BOXBLPD</v>
          </cell>
          <cell r="B210" t="str">
            <v>PLATE  BOX BLANKING D9 HOLES</v>
          </cell>
          <cell r="C210">
            <v>6.2</v>
          </cell>
          <cell r="D210">
            <v>6.2</v>
          </cell>
          <cell r="E210">
            <v>6.2</v>
          </cell>
          <cell r="F210">
            <v>6.2</v>
          </cell>
          <cell r="G210">
            <v>6.2</v>
          </cell>
          <cell r="H210">
            <v>0</v>
          </cell>
        </row>
        <row r="211">
          <cell r="A211" t="str">
            <v>BOXBLPL</v>
          </cell>
          <cell r="B211" t="str">
            <v>PLATE  BOX BLANKING AMP CONNECTORS</v>
          </cell>
          <cell r="C211">
            <v>6.12</v>
          </cell>
          <cell r="D211">
            <v>6.12</v>
          </cell>
          <cell r="E211">
            <v>6.12</v>
          </cell>
          <cell r="F211">
            <v>6.12</v>
          </cell>
          <cell r="G211">
            <v>6.12</v>
          </cell>
          <cell r="H211">
            <v>0</v>
          </cell>
        </row>
        <row r="212">
          <cell r="A212" t="str">
            <v>BOXCEL1</v>
          </cell>
          <cell r="B212" t="str">
            <v>BOX CELLPHONE ASSEMBL.(NO MODEM OR PHONE</v>
          </cell>
          <cell r="C212">
            <v>430</v>
          </cell>
          <cell r="D212">
            <v>430</v>
          </cell>
          <cell r="E212">
            <v>430</v>
          </cell>
          <cell r="F212">
            <v>430</v>
          </cell>
          <cell r="G212">
            <v>430</v>
          </cell>
          <cell r="H212">
            <v>0</v>
          </cell>
        </row>
        <row r="213">
          <cell r="A213" t="str">
            <v>BOXDC04</v>
          </cell>
          <cell r="B213" t="str">
            <v>BOX  DIE CAST 92x38x27mm</v>
          </cell>
          <cell r="C213">
            <v>15</v>
          </cell>
          <cell r="D213">
            <v>15</v>
          </cell>
          <cell r="E213">
            <v>15</v>
          </cell>
          <cell r="F213">
            <v>15</v>
          </cell>
          <cell r="G213">
            <v>15</v>
          </cell>
          <cell r="H213">
            <v>9.0730000000000004</v>
          </cell>
        </row>
        <row r="214">
          <cell r="A214" t="str">
            <v>BOXDC06</v>
          </cell>
          <cell r="B214" t="str">
            <v>BOX  DIECAST 188x188x64mm</v>
          </cell>
          <cell r="C214">
            <v>19.489999999999998</v>
          </cell>
          <cell r="D214">
            <v>19.489999999999998</v>
          </cell>
          <cell r="E214">
            <v>19.489999999999998</v>
          </cell>
          <cell r="F214">
            <v>19.489999999999998</v>
          </cell>
          <cell r="G214">
            <v>19.489999999999998</v>
          </cell>
          <cell r="H214">
            <v>0</v>
          </cell>
        </row>
        <row r="215">
          <cell r="A215" t="str">
            <v>BOXDC08</v>
          </cell>
          <cell r="B215" t="str">
            <v>BOX  DIECAST 120x95x30mm</v>
          </cell>
          <cell r="C215">
            <v>16.170000000000002</v>
          </cell>
          <cell r="D215">
            <v>20.02</v>
          </cell>
          <cell r="E215">
            <v>20.02</v>
          </cell>
          <cell r="F215">
            <v>20.02</v>
          </cell>
          <cell r="G215">
            <v>20.02</v>
          </cell>
          <cell r="H215">
            <v>15.4</v>
          </cell>
          <cell r="I215">
            <v>39883</v>
          </cell>
        </row>
        <row r="216">
          <cell r="A216" t="str">
            <v>BOXDC12</v>
          </cell>
          <cell r="B216" t="str">
            <v>BOX  DIECAST</v>
          </cell>
          <cell r="C216">
            <v>26.05</v>
          </cell>
          <cell r="D216">
            <v>26.05</v>
          </cell>
          <cell r="E216">
            <v>26.05</v>
          </cell>
          <cell r="F216">
            <v>26.05</v>
          </cell>
          <cell r="G216">
            <v>26.05</v>
          </cell>
          <cell r="H216">
            <v>0</v>
          </cell>
        </row>
        <row r="217">
          <cell r="A217" t="str">
            <v>BOXDOB2</v>
          </cell>
          <cell r="B217" t="str">
            <v>BOX  PLASTIC MULTIICOMP 90x115x50</v>
          </cell>
          <cell r="C217">
            <v>41.37</v>
          </cell>
          <cell r="D217">
            <v>51.22</v>
          </cell>
          <cell r="E217">
            <v>51.22</v>
          </cell>
          <cell r="F217">
            <v>51.22</v>
          </cell>
          <cell r="G217">
            <v>51.22</v>
          </cell>
          <cell r="H217">
            <v>39.619999999999997</v>
          </cell>
          <cell r="I217">
            <v>39883</v>
          </cell>
        </row>
        <row r="218">
          <cell r="A218" t="str">
            <v>BOXFIB1</v>
          </cell>
          <cell r="B218" t="str">
            <v>BOX FIBOX 180x130x75</v>
          </cell>
          <cell r="C218">
            <v>90</v>
          </cell>
          <cell r="D218">
            <v>90</v>
          </cell>
          <cell r="E218">
            <v>90</v>
          </cell>
          <cell r="F218">
            <v>90</v>
          </cell>
          <cell r="G218">
            <v>90</v>
          </cell>
          <cell r="H218">
            <v>67.17</v>
          </cell>
        </row>
        <row r="219">
          <cell r="A219" t="str">
            <v>BOXFIB2</v>
          </cell>
          <cell r="B219" t="str">
            <v>BOX FIBOX 255 x 180 x 60</v>
          </cell>
          <cell r="C219">
            <v>75</v>
          </cell>
          <cell r="D219">
            <v>75</v>
          </cell>
          <cell r="E219">
            <v>75</v>
          </cell>
          <cell r="F219">
            <v>75</v>
          </cell>
          <cell r="G219">
            <v>75</v>
          </cell>
          <cell r="H219">
            <v>58.14</v>
          </cell>
        </row>
        <row r="220">
          <cell r="A220" t="str">
            <v>BOXFIB3</v>
          </cell>
          <cell r="B220" t="str">
            <v>BOX FIBOX 130x130x75 (MNX)</v>
          </cell>
          <cell r="C220">
            <v>65</v>
          </cell>
          <cell r="D220">
            <v>65</v>
          </cell>
          <cell r="E220">
            <v>65</v>
          </cell>
          <cell r="F220">
            <v>65</v>
          </cell>
          <cell r="G220">
            <v>65</v>
          </cell>
          <cell r="H220">
            <v>49.43</v>
          </cell>
        </row>
        <row r="221">
          <cell r="A221" t="str">
            <v>BOXFIBO</v>
          </cell>
          <cell r="B221" t="str">
            <v>BOX  PLASTIC FIBOX 125x75x75</v>
          </cell>
          <cell r="C221">
            <v>60</v>
          </cell>
          <cell r="D221">
            <v>60</v>
          </cell>
          <cell r="E221">
            <v>60</v>
          </cell>
          <cell r="F221">
            <v>60</v>
          </cell>
          <cell r="G221">
            <v>60</v>
          </cell>
          <cell r="H221">
            <v>42.66</v>
          </cell>
        </row>
        <row r="222">
          <cell r="A222" t="str">
            <v>BOXFIBP</v>
          </cell>
          <cell r="B222" t="str">
            <v>PLUG  BLIND FOR FISKABOX</v>
          </cell>
          <cell r="C222">
            <v>0.98</v>
          </cell>
          <cell r="D222">
            <v>0.98</v>
          </cell>
          <cell r="E222">
            <v>0.98</v>
          </cell>
          <cell r="F222">
            <v>0.98</v>
          </cell>
          <cell r="G222">
            <v>0.98</v>
          </cell>
          <cell r="H222">
            <v>0</v>
          </cell>
        </row>
        <row r="223">
          <cell r="A223" t="str">
            <v>BOXHAM1</v>
          </cell>
          <cell r="B223" t="str">
            <v>BOX  PLASTIC HAMMOND 100x50x21</v>
          </cell>
          <cell r="C223">
            <v>8.1999999999999993</v>
          </cell>
          <cell r="D223">
            <v>8.1999999999999993</v>
          </cell>
          <cell r="E223">
            <v>8.1999999999999993</v>
          </cell>
          <cell r="F223">
            <v>8.1999999999999993</v>
          </cell>
          <cell r="G223">
            <v>8.1999999999999993</v>
          </cell>
          <cell r="H223">
            <v>0</v>
          </cell>
        </row>
        <row r="224">
          <cell r="A224" t="str">
            <v>BOXIRRC</v>
          </cell>
          <cell r="B224" t="str">
            <v>FIBOX ENCLOSURE PCF65G</v>
          </cell>
          <cell r="C224">
            <v>100</v>
          </cell>
          <cell r="D224">
            <v>100</v>
          </cell>
          <cell r="E224">
            <v>100</v>
          </cell>
          <cell r="F224">
            <v>100</v>
          </cell>
          <cell r="G224">
            <v>100</v>
          </cell>
          <cell r="H224">
            <v>77.37</v>
          </cell>
        </row>
        <row r="225">
          <cell r="A225" t="str">
            <v>BOXLI100</v>
          </cell>
          <cell r="B225" t="str">
            <v>LINER SET FOR 100LB COLUMBUS WEIGHT</v>
          </cell>
          <cell r="C225">
            <v>130</v>
          </cell>
          <cell r="D225">
            <v>130</v>
          </cell>
          <cell r="E225">
            <v>130</v>
          </cell>
          <cell r="F225">
            <v>130</v>
          </cell>
          <cell r="G225">
            <v>130</v>
          </cell>
          <cell r="H225">
            <v>106.6</v>
          </cell>
          <cell r="I225">
            <v>40217</v>
          </cell>
        </row>
        <row r="226">
          <cell r="A226" t="str">
            <v>BOXLI50</v>
          </cell>
          <cell r="B226" t="str">
            <v>LINER SET FOR 50LB COLUMBUS WEIGHT</v>
          </cell>
          <cell r="C226">
            <v>126.5</v>
          </cell>
          <cell r="D226">
            <v>126.5</v>
          </cell>
          <cell r="E226">
            <v>126.5</v>
          </cell>
          <cell r="F226">
            <v>126.5</v>
          </cell>
          <cell r="G226">
            <v>126.5</v>
          </cell>
          <cell r="H226">
            <v>97.2</v>
          </cell>
          <cell r="I226">
            <v>40217</v>
          </cell>
        </row>
        <row r="227">
          <cell r="A227" t="str">
            <v>BOXLI75</v>
          </cell>
          <cell r="B227" t="str">
            <v>LINER SET FOR 75LB COLUMBUS WEIGHT</v>
          </cell>
          <cell r="C227">
            <v>160</v>
          </cell>
          <cell r="D227">
            <v>160</v>
          </cell>
          <cell r="E227">
            <v>160</v>
          </cell>
          <cell r="F227">
            <v>160</v>
          </cell>
          <cell r="G227">
            <v>160</v>
          </cell>
          <cell r="H227">
            <v>125.4</v>
          </cell>
          <cell r="I227">
            <v>40217</v>
          </cell>
        </row>
        <row r="228">
          <cell r="A228" t="str">
            <v>BOXPBLI</v>
          </cell>
          <cell r="B228" t="str">
            <v>BOX  PLASTIC WITH MOUNTING TABS 85x85x31</v>
          </cell>
          <cell r="C228">
            <v>8.5</v>
          </cell>
          <cell r="D228">
            <v>8.5</v>
          </cell>
          <cell r="E228">
            <v>8.5</v>
          </cell>
          <cell r="F228">
            <v>8.5</v>
          </cell>
          <cell r="G228">
            <v>8.5</v>
          </cell>
          <cell r="H228">
            <v>5.57</v>
          </cell>
        </row>
        <row r="229">
          <cell r="A229" t="str">
            <v>BOXPICC</v>
          </cell>
          <cell r="B229" t="str">
            <v>BOX  PLASTIC PICCO H95PG</v>
          </cell>
          <cell r="C229">
            <v>75</v>
          </cell>
          <cell r="D229">
            <v>75</v>
          </cell>
          <cell r="E229">
            <v>75</v>
          </cell>
          <cell r="F229">
            <v>75</v>
          </cell>
          <cell r="G229">
            <v>75</v>
          </cell>
          <cell r="H229">
            <v>56.82</v>
          </cell>
        </row>
        <row r="230">
          <cell r="A230" t="str">
            <v>BOXPLBE</v>
          </cell>
          <cell r="B230" t="str">
            <v>BOX  PLASTIC BET-BOX</v>
          </cell>
          <cell r="C230">
            <v>22</v>
          </cell>
          <cell r="D230">
            <v>22</v>
          </cell>
          <cell r="E230">
            <v>22</v>
          </cell>
          <cell r="F230">
            <v>22</v>
          </cell>
          <cell r="G230">
            <v>22</v>
          </cell>
          <cell r="H230">
            <v>0</v>
          </cell>
        </row>
        <row r="231">
          <cell r="A231" t="str">
            <v>BOXRTMOUNT</v>
          </cell>
          <cell r="B231" t="str">
            <v>XRT SUPPORT BOARD ADAPTOR</v>
          </cell>
          <cell r="C231">
            <v>7</v>
          </cell>
          <cell r="D231">
            <v>9</v>
          </cell>
          <cell r="E231">
            <v>9</v>
          </cell>
          <cell r="F231">
            <v>9</v>
          </cell>
          <cell r="G231">
            <v>9</v>
          </cell>
          <cell r="H231">
            <v>5.8049999999999997</v>
          </cell>
        </row>
        <row r="232">
          <cell r="A232" t="str">
            <v>BOXRTSU</v>
          </cell>
          <cell r="B232" t="str">
            <v>PCB XRT SUPPORT BOARD</v>
          </cell>
          <cell r="C232">
            <v>48</v>
          </cell>
          <cell r="D232">
            <v>59.2</v>
          </cell>
          <cell r="E232">
            <v>59.2</v>
          </cell>
          <cell r="F232">
            <v>59.2</v>
          </cell>
          <cell r="G232">
            <v>59.2</v>
          </cell>
          <cell r="H232">
            <v>45.518999999999998</v>
          </cell>
        </row>
        <row r="233">
          <cell r="A233" t="str">
            <v>BOXRX18</v>
          </cell>
          <cell r="B233" t="str">
            <v>BOX  ABS PLASTIC 18x40x28</v>
          </cell>
          <cell r="C233">
            <v>4</v>
          </cell>
          <cell r="D233">
            <v>5</v>
          </cell>
          <cell r="E233">
            <v>5</v>
          </cell>
          <cell r="F233">
            <v>5</v>
          </cell>
          <cell r="G233">
            <v>5</v>
          </cell>
          <cell r="H233">
            <v>3.04</v>
          </cell>
          <cell r="I233">
            <v>39883</v>
          </cell>
        </row>
        <row r="234">
          <cell r="A234" t="str">
            <v>BOXTREM</v>
          </cell>
          <cell r="B234" t="str">
            <v>PLASTIC REMOTE BOX 135x70x24mm</v>
          </cell>
          <cell r="C234">
            <v>15</v>
          </cell>
          <cell r="D234">
            <v>15</v>
          </cell>
          <cell r="E234">
            <v>15</v>
          </cell>
          <cell r="F234">
            <v>15</v>
          </cell>
          <cell r="G234">
            <v>15</v>
          </cell>
          <cell r="H234">
            <v>10</v>
          </cell>
        </row>
        <row r="235">
          <cell r="A235" t="str">
            <v>BOXVE02</v>
          </cell>
          <cell r="B235" t="str">
            <v>BOX  PLASTIC VER0 2860J</v>
          </cell>
          <cell r="C235">
            <v>15.52</v>
          </cell>
          <cell r="D235">
            <v>19.25</v>
          </cell>
          <cell r="E235">
            <v>19.25</v>
          </cell>
          <cell r="F235">
            <v>19.25</v>
          </cell>
          <cell r="G235">
            <v>19.25</v>
          </cell>
          <cell r="H235">
            <v>15.09</v>
          </cell>
          <cell r="I235">
            <v>39883</v>
          </cell>
        </row>
        <row r="236">
          <cell r="A236" t="str">
            <v>BOXVE04</v>
          </cell>
          <cell r="B236" t="str">
            <v>BOX  PLASTIC VERO 2861D</v>
          </cell>
          <cell r="C236">
            <v>26.08</v>
          </cell>
          <cell r="D236">
            <v>33</v>
          </cell>
          <cell r="E236">
            <v>33</v>
          </cell>
          <cell r="F236">
            <v>33</v>
          </cell>
          <cell r="G236">
            <v>33</v>
          </cell>
          <cell r="H236">
            <v>24.83</v>
          </cell>
          <cell r="I236">
            <v>40106</v>
          </cell>
        </row>
        <row r="237">
          <cell r="A237" t="str">
            <v>BOXVYN1</v>
          </cell>
          <cell r="B237" t="str">
            <v>BOX VYNCO AP01</v>
          </cell>
          <cell r="C237">
            <v>91</v>
          </cell>
          <cell r="D237">
            <v>91</v>
          </cell>
          <cell r="E237">
            <v>91</v>
          </cell>
          <cell r="F237">
            <v>91</v>
          </cell>
          <cell r="G237">
            <v>91</v>
          </cell>
          <cell r="H237">
            <v>69.563999999999993</v>
          </cell>
        </row>
        <row r="238">
          <cell r="A238" t="str">
            <v>BOXVYN2</v>
          </cell>
          <cell r="B238" t="str">
            <v>BOX  VYNCO NEAT 1929</v>
          </cell>
          <cell r="C238">
            <v>99</v>
          </cell>
          <cell r="D238">
            <v>99</v>
          </cell>
          <cell r="E238">
            <v>99</v>
          </cell>
          <cell r="F238">
            <v>99</v>
          </cell>
          <cell r="G238">
            <v>99</v>
          </cell>
          <cell r="H238">
            <v>76.23</v>
          </cell>
          <cell r="I238">
            <v>40057</v>
          </cell>
        </row>
        <row r="239">
          <cell r="A239" t="str">
            <v>BOXVYN3</v>
          </cell>
          <cell r="B239" t="str">
            <v>POLYESTER BOX AP031 C/W INTERNAL PLATE</v>
          </cell>
          <cell r="C239">
            <v>150</v>
          </cell>
          <cell r="D239">
            <v>150</v>
          </cell>
          <cell r="E239">
            <v>150</v>
          </cell>
          <cell r="F239">
            <v>150</v>
          </cell>
          <cell r="G239">
            <v>150</v>
          </cell>
          <cell r="H239">
            <v>88.2</v>
          </cell>
        </row>
        <row r="240">
          <cell r="A240" t="str">
            <v>BOXVYN4</v>
          </cell>
          <cell r="B240" t="str">
            <v>BOX AP051 C/W MOUNTING PANEL AP051PP</v>
          </cell>
          <cell r="C240">
            <v>275</v>
          </cell>
          <cell r="D240">
            <v>275</v>
          </cell>
          <cell r="E240">
            <v>275</v>
          </cell>
          <cell r="F240">
            <v>275</v>
          </cell>
          <cell r="G240">
            <v>275</v>
          </cell>
          <cell r="H240">
            <v>147.80000000000001</v>
          </cell>
        </row>
        <row r="241">
          <cell r="A241" t="str">
            <v>BOXVYN5</v>
          </cell>
          <cell r="B241" t="str">
            <v>ABS BOX 390x290x160 NEAT1939</v>
          </cell>
          <cell r="C241">
            <v>116</v>
          </cell>
          <cell r="D241">
            <v>145</v>
          </cell>
          <cell r="E241">
            <v>145</v>
          </cell>
          <cell r="F241">
            <v>145</v>
          </cell>
          <cell r="G241">
            <v>145</v>
          </cell>
          <cell r="H241">
            <v>89.62</v>
          </cell>
          <cell r="I241">
            <v>40316</v>
          </cell>
        </row>
        <row r="242">
          <cell r="A242" t="str">
            <v>BOXVYN6</v>
          </cell>
          <cell r="B242" t="str">
            <v>APO BOX O41 c/w mounting plate</v>
          </cell>
          <cell r="C242">
            <v>150</v>
          </cell>
          <cell r="D242">
            <v>150</v>
          </cell>
          <cell r="E242">
            <v>150</v>
          </cell>
          <cell r="F242">
            <v>150</v>
          </cell>
          <cell r="G242">
            <v>150</v>
          </cell>
          <cell r="H242">
            <v>0</v>
          </cell>
        </row>
        <row r="243">
          <cell r="A243" t="str">
            <v>BOXW150</v>
          </cell>
          <cell r="B243" t="str">
            <v>BOX  150LB COLUMBUS WEIGHT</v>
          </cell>
          <cell r="C243">
            <v>1375</v>
          </cell>
          <cell r="D243">
            <v>1375</v>
          </cell>
          <cell r="E243">
            <v>1375</v>
          </cell>
          <cell r="F243">
            <v>1375</v>
          </cell>
          <cell r="G243">
            <v>1375</v>
          </cell>
          <cell r="H243">
            <v>0</v>
          </cell>
        </row>
        <row r="244">
          <cell r="A244" t="str">
            <v>BOXW50LB</v>
          </cell>
          <cell r="B244" t="str">
            <v>50LB COLUMBUS WEIGHT BOX</v>
          </cell>
          <cell r="C244">
            <v>393.75</v>
          </cell>
          <cell r="D244">
            <v>488</v>
          </cell>
          <cell r="E244">
            <v>488</v>
          </cell>
          <cell r="F244">
            <v>488</v>
          </cell>
          <cell r="G244">
            <v>488</v>
          </cell>
          <cell r="H244">
            <v>355.87</v>
          </cell>
          <cell r="I244">
            <v>40113</v>
          </cell>
        </row>
        <row r="245">
          <cell r="A245" t="str">
            <v>BOXW75LB</v>
          </cell>
          <cell r="B245" t="str">
            <v>BOX  75LB COLUMBUS WEIGHT</v>
          </cell>
          <cell r="C245">
            <v>393.75</v>
          </cell>
          <cell r="D245">
            <v>488</v>
          </cell>
          <cell r="E245">
            <v>488</v>
          </cell>
          <cell r="F245">
            <v>488</v>
          </cell>
          <cell r="G245">
            <v>488</v>
          </cell>
          <cell r="H245">
            <v>355.87</v>
          </cell>
          <cell r="I245">
            <v>40113</v>
          </cell>
        </row>
        <row r="246">
          <cell r="A246" t="str">
            <v>BOXWCOL</v>
          </cell>
          <cell r="B246" t="str">
            <v>BOX 50,75,100LB WEIGHT</v>
          </cell>
          <cell r="C246">
            <v>416</v>
          </cell>
          <cell r="D246">
            <v>416</v>
          </cell>
          <cell r="E246">
            <v>416</v>
          </cell>
          <cell r="F246">
            <v>416</v>
          </cell>
          <cell r="G246">
            <v>416</v>
          </cell>
          <cell r="H246">
            <v>320</v>
          </cell>
          <cell r="I246">
            <v>40205</v>
          </cell>
        </row>
        <row r="247">
          <cell r="A247" t="str">
            <v>BUBEC40</v>
          </cell>
          <cell r="B247" t="str">
            <v>S/STEEL 316 END CAP 1 1/2" BSP</v>
          </cell>
          <cell r="C247">
            <v>13</v>
          </cell>
          <cell r="D247">
            <v>13</v>
          </cell>
          <cell r="E247">
            <v>13</v>
          </cell>
          <cell r="F247">
            <v>13</v>
          </cell>
          <cell r="G247">
            <v>13</v>
          </cell>
          <cell r="H247">
            <v>9.81</v>
          </cell>
        </row>
        <row r="248">
          <cell r="A248" t="str">
            <v>BUBOR40</v>
          </cell>
          <cell r="B248" t="str">
            <v>BUBBLER ORIFICE 40mm</v>
          </cell>
          <cell r="C248">
            <v>126</v>
          </cell>
          <cell r="D248">
            <v>126</v>
          </cell>
          <cell r="E248">
            <v>126</v>
          </cell>
          <cell r="F248">
            <v>126</v>
          </cell>
          <cell r="G248">
            <v>126</v>
          </cell>
          <cell r="H248">
            <v>98</v>
          </cell>
          <cell r="I248">
            <v>40379</v>
          </cell>
        </row>
        <row r="249">
          <cell r="A249" t="str">
            <v>BUBOR50</v>
          </cell>
          <cell r="B249" t="str">
            <v>BUBBLER ORIFICE 50mm</v>
          </cell>
          <cell r="C249">
            <v>105</v>
          </cell>
          <cell r="D249">
            <v>105</v>
          </cell>
          <cell r="E249">
            <v>105</v>
          </cell>
          <cell r="F249">
            <v>105</v>
          </cell>
          <cell r="G249">
            <v>105</v>
          </cell>
          <cell r="H249">
            <v>70.272999999999996</v>
          </cell>
        </row>
        <row r="250">
          <cell r="A250" t="str">
            <v>BUBORC</v>
          </cell>
          <cell r="B250" t="str">
            <v>3/8" x 1/4" NPT BRASS MALE CONNECTOR</v>
          </cell>
          <cell r="C250">
            <v>7.5</v>
          </cell>
          <cell r="D250">
            <v>9.25</v>
          </cell>
          <cell r="E250">
            <v>9.25</v>
          </cell>
          <cell r="F250">
            <v>9.25</v>
          </cell>
          <cell r="G250">
            <v>9.25</v>
          </cell>
          <cell r="H250">
            <v>7.1749999999999998</v>
          </cell>
          <cell r="I250">
            <v>39882</v>
          </cell>
        </row>
        <row r="251">
          <cell r="A251" t="str">
            <v>CAB-20WAY</v>
          </cell>
          <cell r="B251" t="str">
            <v>CABLE 20 WAY RIBBON</v>
          </cell>
          <cell r="C251">
            <v>2.9</v>
          </cell>
          <cell r="D251">
            <v>2.9</v>
          </cell>
          <cell r="E251">
            <v>2.9</v>
          </cell>
          <cell r="F251">
            <v>2.9</v>
          </cell>
          <cell r="G251">
            <v>2.9</v>
          </cell>
          <cell r="H251">
            <v>2.218</v>
          </cell>
        </row>
        <row r="252">
          <cell r="A252" t="str">
            <v>CAB-2C05</v>
          </cell>
          <cell r="B252" t="str">
            <v>CABLE 2 CORE 0.5mm CIRC FLEX</v>
          </cell>
          <cell r="C252">
            <v>4</v>
          </cell>
          <cell r="D252">
            <v>4</v>
          </cell>
          <cell r="E252">
            <v>4</v>
          </cell>
          <cell r="F252">
            <v>4</v>
          </cell>
          <cell r="G252">
            <v>4</v>
          </cell>
          <cell r="H252">
            <v>3.0070000000000001</v>
          </cell>
          <cell r="I252">
            <v>40157</v>
          </cell>
        </row>
        <row r="253">
          <cell r="A253" t="str">
            <v>CAB-2C75</v>
          </cell>
          <cell r="B253" t="str">
            <v>CABLE TPS FLEX CORD  2 CORE 0.75mm2</v>
          </cell>
          <cell r="C253">
            <v>2.5</v>
          </cell>
          <cell r="D253">
            <v>2.5</v>
          </cell>
          <cell r="E253">
            <v>2.5</v>
          </cell>
          <cell r="F253">
            <v>2.5</v>
          </cell>
          <cell r="G253">
            <v>2.5</v>
          </cell>
          <cell r="H253">
            <v>2.0569999999999999</v>
          </cell>
        </row>
        <row r="254">
          <cell r="A254" t="str">
            <v>CAB-AUTO055</v>
          </cell>
          <cell r="B254" t="str">
            <v>CABLE  AUTO RED BLACK 0.55mm</v>
          </cell>
          <cell r="C254">
            <v>1.3</v>
          </cell>
          <cell r="D254">
            <v>1.3</v>
          </cell>
          <cell r="E254">
            <v>1.3</v>
          </cell>
          <cell r="F254">
            <v>1.3</v>
          </cell>
          <cell r="G254">
            <v>1.3</v>
          </cell>
          <cell r="H254">
            <v>0.67600000000000005</v>
          </cell>
        </row>
        <row r="255">
          <cell r="A255" t="str">
            <v>CAB-AUTO153</v>
          </cell>
          <cell r="B255" t="str">
            <v>CABLE AUTO 153 28 0.3mm2 RED BLACK</v>
          </cell>
          <cell r="C255">
            <v>3.55</v>
          </cell>
          <cell r="D255">
            <v>3.55</v>
          </cell>
          <cell r="E255">
            <v>3.55</v>
          </cell>
          <cell r="F255">
            <v>3.55</v>
          </cell>
          <cell r="G255">
            <v>3.55</v>
          </cell>
          <cell r="H255">
            <v>2.62</v>
          </cell>
        </row>
        <row r="256">
          <cell r="A256" t="str">
            <v>CAB-RG58</v>
          </cell>
          <cell r="B256" t="str">
            <v>CABLE COAXIAL.RG58</v>
          </cell>
          <cell r="C256">
            <v>1.92</v>
          </cell>
          <cell r="D256">
            <v>1.92</v>
          </cell>
          <cell r="E256">
            <v>1.92</v>
          </cell>
          <cell r="F256">
            <v>1.92</v>
          </cell>
          <cell r="G256">
            <v>1.92</v>
          </cell>
          <cell r="H256">
            <v>0</v>
          </cell>
        </row>
        <row r="257">
          <cell r="A257" t="str">
            <v>CABACR1</v>
          </cell>
          <cell r="B257" t="str">
            <v>CABLE  AQUITEL COMMS REMOTE TO BLOCK</v>
          </cell>
          <cell r="C257">
            <v>95</v>
          </cell>
          <cell r="D257">
            <v>95</v>
          </cell>
          <cell r="E257">
            <v>95</v>
          </cell>
          <cell r="F257">
            <v>95</v>
          </cell>
          <cell r="G257">
            <v>95</v>
          </cell>
          <cell r="H257">
            <v>0</v>
          </cell>
        </row>
        <row r="258">
          <cell r="A258" t="str">
            <v>CABACRA</v>
          </cell>
          <cell r="B258" t="str">
            <v>CABLE  AQUITEL COMMS RADIO TO REMOTE</v>
          </cell>
          <cell r="C258">
            <v>77.84</v>
          </cell>
          <cell r="D258">
            <v>77.84</v>
          </cell>
          <cell r="E258">
            <v>77.84</v>
          </cell>
          <cell r="F258">
            <v>77.84</v>
          </cell>
          <cell r="G258">
            <v>77.84</v>
          </cell>
          <cell r="H258">
            <v>0</v>
          </cell>
        </row>
        <row r="259">
          <cell r="A259" t="str">
            <v>CABANA1</v>
          </cell>
          <cell r="B259" t="str">
            <v>CABLE  MICROWIRE  ANALOGUE END</v>
          </cell>
          <cell r="C259">
            <v>75</v>
          </cell>
          <cell r="D259">
            <v>75</v>
          </cell>
          <cell r="E259">
            <v>75</v>
          </cell>
          <cell r="F259">
            <v>75</v>
          </cell>
          <cell r="G259">
            <v>75</v>
          </cell>
          <cell r="H259">
            <v>0</v>
          </cell>
        </row>
        <row r="260">
          <cell r="A260" t="str">
            <v>CABAPWR</v>
          </cell>
          <cell r="B260" t="str">
            <v>CABLE AQUITEL-REMOTE POWER..</v>
          </cell>
          <cell r="C260">
            <v>48</v>
          </cell>
          <cell r="D260">
            <v>48</v>
          </cell>
          <cell r="E260">
            <v>48</v>
          </cell>
          <cell r="F260">
            <v>48</v>
          </cell>
          <cell r="G260">
            <v>48</v>
          </cell>
          <cell r="H260">
            <v>0</v>
          </cell>
        </row>
        <row r="261">
          <cell r="A261" t="str">
            <v>CABARAI</v>
          </cell>
          <cell r="B261" t="str">
            <v>CABLE AQUITEL-REMOTE.RAIN FALL CABLE.</v>
          </cell>
          <cell r="C261">
            <v>48</v>
          </cell>
          <cell r="D261">
            <v>48</v>
          </cell>
          <cell r="E261">
            <v>48</v>
          </cell>
          <cell r="F261">
            <v>48</v>
          </cell>
          <cell r="G261">
            <v>48</v>
          </cell>
          <cell r="H261">
            <v>0</v>
          </cell>
        </row>
        <row r="262">
          <cell r="A262" t="str">
            <v>CABARTC</v>
          </cell>
          <cell r="B262" t="str">
            <v>CABLE  AREEL TO KAINGA COUNTER</v>
          </cell>
          <cell r="C262">
            <v>80</v>
          </cell>
          <cell r="D262">
            <v>80</v>
          </cell>
          <cell r="E262">
            <v>80</v>
          </cell>
          <cell r="F262">
            <v>80</v>
          </cell>
          <cell r="G262">
            <v>80</v>
          </cell>
          <cell r="H262">
            <v>0</v>
          </cell>
        </row>
        <row r="263">
          <cell r="A263" t="str">
            <v>CABARWL</v>
          </cell>
          <cell r="B263" t="str">
            <v>CABLE AQUITEL-REMOTE WATER LEVEL TO DIGI</v>
          </cell>
          <cell r="C263">
            <v>209</v>
          </cell>
          <cell r="D263">
            <v>209</v>
          </cell>
          <cell r="E263">
            <v>209</v>
          </cell>
          <cell r="F263">
            <v>209</v>
          </cell>
          <cell r="G263">
            <v>209</v>
          </cell>
          <cell r="H263">
            <v>0</v>
          </cell>
        </row>
        <row r="264">
          <cell r="A264" t="str">
            <v>CABASUP</v>
          </cell>
          <cell r="B264" t="str">
            <v>CABLE  AQUITEL SUPPORT COMMS</v>
          </cell>
          <cell r="C264">
            <v>60</v>
          </cell>
          <cell r="D264">
            <v>60</v>
          </cell>
          <cell r="E264">
            <v>60</v>
          </cell>
          <cell r="F264">
            <v>60</v>
          </cell>
          <cell r="G264">
            <v>60</v>
          </cell>
          <cell r="H264">
            <v>0</v>
          </cell>
        </row>
        <row r="265">
          <cell r="A265" t="str">
            <v>CABBMSC</v>
          </cell>
          <cell r="B265" t="str">
            <v>CABLE  230VAC CORD SET FOC-W IEC PLUG (B</v>
          </cell>
          <cell r="C265">
            <v>38</v>
          </cell>
          <cell r="D265">
            <v>38</v>
          </cell>
          <cell r="E265">
            <v>38</v>
          </cell>
          <cell r="F265">
            <v>38</v>
          </cell>
          <cell r="G265">
            <v>38</v>
          </cell>
          <cell r="H265">
            <v>0</v>
          </cell>
        </row>
        <row r="266">
          <cell r="A266" t="str">
            <v>CABCAM1</v>
          </cell>
          <cell r="B266" t="str">
            <v>CABLE  CAMPBELL TO HILLTOP MODEM</v>
          </cell>
          <cell r="C266">
            <v>35</v>
          </cell>
          <cell r="D266">
            <v>35</v>
          </cell>
          <cell r="E266">
            <v>35</v>
          </cell>
          <cell r="F266">
            <v>35</v>
          </cell>
          <cell r="G266">
            <v>35</v>
          </cell>
          <cell r="H266">
            <v>0</v>
          </cell>
        </row>
        <row r="267">
          <cell r="A267" t="str">
            <v>CABCAM2</v>
          </cell>
          <cell r="B267" t="str">
            <v>CABLE  CAMPBELL SC43A TO WAVECOM MODEM</v>
          </cell>
          <cell r="C267">
            <v>50</v>
          </cell>
          <cell r="D267">
            <v>50</v>
          </cell>
          <cell r="E267">
            <v>50</v>
          </cell>
          <cell r="F267">
            <v>50</v>
          </cell>
          <cell r="G267">
            <v>50</v>
          </cell>
          <cell r="H267">
            <v>0</v>
          </cell>
        </row>
        <row r="268">
          <cell r="A268" t="str">
            <v>CABCAM4</v>
          </cell>
          <cell r="B268" t="str">
            <v>CABLE  CSI SC32B TO WAVECOM MODEM</v>
          </cell>
          <cell r="C268">
            <v>55</v>
          </cell>
          <cell r="D268">
            <v>55</v>
          </cell>
          <cell r="E268">
            <v>55</v>
          </cell>
          <cell r="F268">
            <v>55</v>
          </cell>
          <cell r="G268">
            <v>55</v>
          </cell>
          <cell r="H268">
            <v>29.969000000000001</v>
          </cell>
        </row>
        <row r="269">
          <cell r="A269" t="str">
            <v>CABCAM5</v>
          </cell>
          <cell r="B269" t="str">
            <v>CABLE  CSI SC32B TO HARVEST GPRS MODEM</v>
          </cell>
          <cell r="C269">
            <v>70</v>
          </cell>
          <cell r="D269">
            <v>70</v>
          </cell>
          <cell r="E269">
            <v>70</v>
          </cell>
          <cell r="F269">
            <v>70</v>
          </cell>
          <cell r="G269">
            <v>70</v>
          </cell>
          <cell r="H269">
            <v>41.65</v>
          </cell>
        </row>
        <row r="270">
          <cell r="A270" t="str">
            <v>CABCAM6</v>
          </cell>
          <cell r="B270" t="str">
            <v>CABLE, CAMPBELL SC32B TO WAVECOM MODEM</v>
          </cell>
          <cell r="C270">
            <v>40</v>
          </cell>
          <cell r="D270">
            <v>40</v>
          </cell>
          <cell r="E270">
            <v>40</v>
          </cell>
          <cell r="F270">
            <v>40</v>
          </cell>
          <cell r="G270">
            <v>40</v>
          </cell>
          <cell r="H270">
            <v>29</v>
          </cell>
        </row>
        <row r="271">
          <cell r="A271" t="str">
            <v>CABCAM7</v>
          </cell>
          <cell r="B271" t="str">
            <v>CABLE, CAMPBELL SC32A TO MAXON MODEM</v>
          </cell>
          <cell r="C271">
            <v>99</v>
          </cell>
          <cell r="D271">
            <v>123</v>
          </cell>
          <cell r="E271">
            <v>123</v>
          </cell>
          <cell r="F271">
            <v>123</v>
          </cell>
          <cell r="G271">
            <v>123</v>
          </cell>
          <cell r="H271">
            <v>94.201999999999998</v>
          </cell>
          <cell r="I271">
            <v>40106</v>
          </cell>
        </row>
        <row r="272">
          <cell r="A272" t="str">
            <v>CABCAM8</v>
          </cell>
          <cell r="B272" t="str">
            <v>CABLE, CAMPBELL LOGGER TO HARVEST GPRS</v>
          </cell>
          <cell r="C272">
            <v>37</v>
          </cell>
          <cell r="D272">
            <v>46</v>
          </cell>
          <cell r="E272">
            <v>46</v>
          </cell>
          <cell r="F272">
            <v>46</v>
          </cell>
          <cell r="G272">
            <v>46</v>
          </cell>
          <cell r="H272">
            <v>34.896999999999998</v>
          </cell>
          <cell r="I272">
            <v>39883</v>
          </cell>
        </row>
        <row r="273">
          <cell r="A273" t="str">
            <v>CABCEL1</v>
          </cell>
          <cell r="B273" t="str">
            <v>CABLE  INTERNAL COMMS SC32A TO D9</v>
          </cell>
          <cell r="C273">
            <v>41.5</v>
          </cell>
          <cell r="D273">
            <v>52</v>
          </cell>
          <cell r="E273">
            <v>52</v>
          </cell>
          <cell r="F273">
            <v>52</v>
          </cell>
          <cell r="G273">
            <v>52</v>
          </cell>
          <cell r="H273">
            <v>39.433</v>
          </cell>
          <cell r="I273">
            <v>40106</v>
          </cell>
        </row>
        <row r="274">
          <cell r="A274" t="str">
            <v>CABCEL2</v>
          </cell>
          <cell r="B274" t="str">
            <v>CABLE  INTERNAL COMMS MICROCOMM TO SC32A</v>
          </cell>
          <cell r="C274">
            <v>92.25</v>
          </cell>
          <cell r="D274">
            <v>92.25</v>
          </cell>
          <cell r="E274">
            <v>92.25</v>
          </cell>
          <cell r="F274">
            <v>92.25</v>
          </cell>
          <cell r="G274">
            <v>92.25</v>
          </cell>
          <cell r="H274">
            <v>0</v>
          </cell>
        </row>
        <row r="275">
          <cell r="A275" t="str">
            <v>CABCEL3</v>
          </cell>
          <cell r="B275" t="str">
            <v>CABEL INTERNAL COMMS MODEM TO CELLULAR C</v>
          </cell>
          <cell r="C275">
            <v>30</v>
          </cell>
          <cell r="D275">
            <v>30</v>
          </cell>
          <cell r="E275">
            <v>30</v>
          </cell>
          <cell r="F275">
            <v>30</v>
          </cell>
          <cell r="G275">
            <v>30</v>
          </cell>
          <cell r="H275">
            <v>0</v>
          </cell>
        </row>
        <row r="276">
          <cell r="A276" t="str">
            <v>CABCEL4</v>
          </cell>
          <cell r="B276" t="str">
            <v>CABLE  CELLPHONE MODULE  EF7 TO SC32A</v>
          </cell>
          <cell r="C276">
            <v>60</v>
          </cell>
          <cell r="D276">
            <v>60</v>
          </cell>
          <cell r="E276">
            <v>60</v>
          </cell>
          <cell r="F276">
            <v>60</v>
          </cell>
          <cell r="G276">
            <v>60</v>
          </cell>
          <cell r="H276">
            <v>0</v>
          </cell>
        </row>
        <row r="277">
          <cell r="A277" t="str">
            <v>CABCEL5</v>
          </cell>
          <cell r="B277" t="str">
            <v>CABLE. CPM TO E7F MODEM</v>
          </cell>
          <cell r="C277">
            <v>30</v>
          </cell>
          <cell r="D277">
            <v>30</v>
          </cell>
          <cell r="E277">
            <v>30</v>
          </cell>
          <cell r="F277">
            <v>30</v>
          </cell>
          <cell r="G277">
            <v>30</v>
          </cell>
          <cell r="H277">
            <v>0</v>
          </cell>
        </row>
        <row r="278">
          <cell r="A278" t="str">
            <v>CABCOBR</v>
          </cell>
          <cell r="B278" t="str">
            <v>BRAID COPPER 12mmx2.3mm(90 AMP).RS #365-</v>
          </cell>
          <cell r="C278">
            <v>13.5</v>
          </cell>
          <cell r="D278">
            <v>16.5</v>
          </cell>
          <cell r="E278">
            <v>16.5</v>
          </cell>
          <cell r="F278">
            <v>16.5</v>
          </cell>
          <cell r="G278">
            <v>16.5</v>
          </cell>
          <cell r="H278">
            <v>12.692</v>
          </cell>
          <cell r="I278">
            <v>40106</v>
          </cell>
        </row>
        <row r="279">
          <cell r="A279" t="str">
            <v>CABD15ST</v>
          </cell>
          <cell r="B279" t="str">
            <v>CABLE D15M TO D15M VGA MONITOR #WC-7582</v>
          </cell>
          <cell r="C279">
            <v>7.2</v>
          </cell>
          <cell r="D279">
            <v>9</v>
          </cell>
          <cell r="E279">
            <v>9</v>
          </cell>
          <cell r="F279">
            <v>9</v>
          </cell>
          <cell r="G279">
            <v>9</v>
          </cell>
          <cell r="H279">
            <v>6.7850000000000001</v>
          </cell>
          <cell r="I279">
            <v>39883</v>
          </cell>
        </row>
        <row r="280">
          <cell r="A280" t="str">
            <v>CABD25C</v>
          </cell>
          <cell r="B280" t="str">
            <v>CABLE  RS232(SERIAL)CROSSED D25M TO D25</v>
          </cell>
          <cell r="C280">
            <v>31.95</v>
          </cell>
          <cell r="D280">
            <v>31.95</v>
          </cell>
          <cell r="E280">
            <v>31.95</v>
          </cell>
          <cell r="F280">
            <v>31.95</v>
          </cell>
          <cell r="G280">
            <v>31.95</v>
          </cell>
          <cell r="H280">
            <v>0</v>
          </cell>
        </row>
        <row r="281">
          <cell r="A281" t="str">
            <v>CABD25S</v>
          </cell>
          <cell r="B281" t="str">
            <v>CABLE RS232(SERIAL) STRAIGHT D25M-D25 F-</v>
          </cell>
          <cell r="C281">
            <v>26.95</v>
          </cell>
          <cell r="D281">
            <v>26.95</v>
          </cell>
          <cell r="E281">
            <v>26.95</v>
          </cell>
          <cell r="F281">
            <v>26.95</v>
          </cell>
          <cell r="G281">
            <v>26.95</v>
          </cell>
          <cell r="H281">
            <v>0</v>
          </cell>
        </row>
        <row r="282">
          <cell r="A282" t="str">
            <v>CABD9D25</v>
          </cell>
          <cell r="B282" t="str">
            <v>CABLE, SERIAL MODEM D9F - D25M</v>
          </cell>
          <cell r="C282">
            <v>5.5</v>
          </cell>
          <cell r="D282">
            <v>5.5</v>
          </cell>
          <cell r="E282">
            <v>5.5</v>
          </cell>
          <cell r="F282">
            <v>5.5</v>
          </cell>
          <cell r="G282">
            <v>5.5</v>
          </cell>
          <cell r="H282">
            <v>2.85</v>
          </cell>
        </row>
        <row r="283">
          <cell r="A283" t="str">
            <v>CABD9D3</v>
          </cell>
          <cell r="B283" t="str">
            <v>CABLE D9 F-M TO D25 MALE</v>
          </cell>
          <cell r="C283">
            <v>23</v>
          </cell>
          <cell r="D283">
            <v>23</v>
          </cell>
          <cell r="E283">
            <v>23</v>
          </cell>
          <cell r="F283">
            <v>23</v>
          </cell>
          <cell r="G283">
            <v>23</v>
          </cell>
          <cell r="H283">
            <v>5.69</v>
          </cell>
        </row>
        <row r="284">
          <cell r="A284" t="str">
            <v>CABD9D9</v>
          </cell>
          <cell r="B284" t="str">
            <v>CABLE D9 F-M TO D9 F-M MALE STRAIGHT</v>
          </cell>
          <cell r="C284">
            <v>41.6</v>
          </cell>
          <cell r="D284">
            <v>41.6</v>
          </cell>
          <cell r="E284">
            <v>41.6</v>
          </cell>
          <cell r="F284">
            <v>41.6</v>
          </cell>
          <cell r="G284">
            <v>41.6</v>
          </cell>
          <cell r="H284">
            <v>0</v>
          </cell>
        </row>
        <row r="285">
          <cell r="A285" t="str">
            <v>CABD9ST</v>
          </cell>
          <cell r="B285" t="str">
            <v>CABLE D9M TO D9F SERIAL #WC-7534</v>
          </cell>
          <cell r="C285">
            <v>14</v>
          </cell>
          <cell r="D285">
            <v>14</v>
          </cell>
          <cell r="E285">
            <v>14</v>
          </cell>
          <cell r="F285">
            <v>14</v>
          </cell>
          <cell r="G285">
            <v>14</v>
          </cell>
          <cell r="H285">
            <v>3.94</v>
          </cell>
        </row>
        <row r="286">
          <cell r="A286" t="str">
            <v>CABDAA2</v>
          </cell>
          <cell r="B286" t="str">
            <v>CABLE  DAA LOGGER POWER</v>
          </cell>
          <cell r="C286">
            <v>39</v>
          </cell>
          <cell r="D286">
            <v>39</v>
          </cell>
          <cell r="E286">
            <v>39</v>
          </cell>
          <cell r="F286">
            <v>39</v>
          </cell>
          <cell r="G286">
            <v>39</v>
          </cell>
          <cell r="H286">
            <v>20.422999999999998</v>
          </cell>
        </row>
        <row r="287">
          <cell r="A287" t="str">
            <v>CABDAA3</v>
          </cell>
          <cell r="B287" t="str">
            <v>CABLE  DAA LOGGER TO HARVEST SPE MODEM</v>
          </cell>
          <cell r="C287">
            <v>80</v>
          </cell>
          <cell r="D287">
            <v>80</v>
          </cell>
          <cell r="E287">
            <v>80</v>
          </cell>
          <cell r="F287">
            <v>80</v>
          </cell>
          <cell r="G287">
            <v>80</v>
          </cell>
          <cell r="H287">
            <v>60.26</v>
          </cell>
        </row>
        <row r="288">
          <cell r="A288" t="str">
            <v>CABDAA4</v>
          </cell>
          <cell r="B288" t="str">
            <v>CABLE  DAA LOGGER TO MAXON MODEM</v>
          </cell>
          <cell r="C288">
            <v>58</v>
          </cell>
          <cell r="D288">
            <v>58</v>
          </cell>
          <cell r="E288">
            <v>58</v>
          </cell>
          <cell r="F288">
            <v>58</v>
          </cell>
          <cell r="G288">
            <v>58</v>
          </cell>
          <cell r="H288">
            <v>0</v>
          </cell>
        </row>
        <row r="289">
          <cell r="A289" t="str">
            <v>CABDAAE</v>
          </cell>
          <cell r="B289" t="str">
            <v>CABLE  DAA ENCODER H-331 POWER</v>
          </cell>
          <cell r="C289">
            <v>75</v>
          </cell>
          <cell r="D289">
            <v>75</v>
          </cell>
          <cell r="E289">
            <v>75</v>
          </cell>
          <cell r="F289">
            <v>75</v>
          </cell>
          <cell r="G289">
            <v>75</v>
          </cell>
          <cell r="H289">
            <v>0</v>
          </cell>
        </row>
        <row r="290">
          <cell r="A290" t="str">
            <v>CABDCPW</v>
          </cell>
          <cell r="B290" t="str">
            <v>CABLE DC POWER</v>
          </cell>
          <cell r="C290">
            <v>20</v>
          </cell>
          <cell r="D290">
            <v>20</v>
          </cell>
          <cell r="E290">
            <v>20</v>
          </cell>
          <cell r="F290">
            <v>20</v>
          </cell>
          <cell r="G290">
            <v>20</v>
          </cell>
          <cell r="H290">
            <v>0</v>
          </cell>
        </row>
        <row r="291">
          <cell r="A291" t="str">
            <v>CABELSW</v>
          </cell>
          <cell r="B291" t="str">
            <v>CABLE ELSWORTH.FOR A REEL&amp; E REEL-DATA B</v>
          </cell>
          <cell r="C291">
            <v>6.75</v>
          </cell>
          <cell r="D291">
            <v>6.75</v>
          </cell>
          <cell r="E291">
            <v>6.75</v>
          </cell>
          <cell r="F291">
            <v>6.75</v>
          </cell>
          <cell r="G291">
            <v>6.75</v>
          </cell>
          <cell r="H291">
            <v>4.399</v>
          </cell>
        </row>
        <row r="292">
          <cell r="A292" t="str">
            <v>CABENST</v>
          </cell>
          <cell r="B292" t="str">
            <v>CABLE Kainga Encoder to Logger Pulse Inp</v>
          </cell>
          <cell r="C292">
            <v>36.75</v>
          </cell>
          <cell r="D292">
            <v>45.5</v>
          </cell>
          <cell r="E292">
            <v>45.5</v>
          </cell>
          <cell r="F292">
            <v>45.5</v>
          </cell>
          <cell r="G292">
            <v>45.5</v>
          </cell>
          <cell r="H292">
            <v>0</v>
          </cell>
          <cell r="I292">
            <v>39883</v>
          </cell>
        </row>
        <row r="293">
          <cell r="A293" t="str">
            <v>CABFISW</v>
          </cell>
          <cell r="B293" t="str">
            <v>CABLE OLFLEX FD855P 5 X 1.0 #27563</v>
          </cell>
          <cell r="C293">
            <v>16</v>
          </cell>
          <cell r="D293">
            <v>16</v>
          </cell>
          <cell r="E293">
            <v>16</v>
          </cell>
          <cell r="F293">
            <v>16</v>
          </cell>
          <cell r="G293">
            <v>16</v>
          </cell>
          <cell r="H293">
            <v>11.35</v>
          </cell>
        </row>
        <row r="294">
          <cell r="A294" t="str">
            <v>CABGREC</v>
          </cell>
          <cell r="B294" t="str">
            <v>CABLE  COMMS GREENSPAN 300 TO WAVECOM MO</v>
          </cell>
          <cell r="C294">
            <v>80</v>
          </cell>
          <cell r="D294">
            <v>80</v>
          </cell>
          <cell r="E294">
            <v>80</v>
          </cell>
          <cell r="F294">
            <v>80</v>
          </cell>
          <cell r="G294">
            <v>80</v>
          </cell>
          <cell r="H294">
            <v>0</v>
          </cell>
        </row>
        <row r="295">
          <cell r="A295" t="str">
            <v>CABHILL1</v>
          </cell>
          <cell r="B295" t="str">
            <v>CABLE  PC TO MODEM</v>
          </cell>
          <cell r="C295">
            <v>65</v>
          </cell>
          <cell r="D295">
            <v>65</v>
          </cell>
          <cell r="E295">
            <v>65</v>
          </cell>
          <cell r="F295">
            <v>65</v>
          </cell>
          <cell r="G295">
            <v>65</v>
          </cell>
          <cell r="H295">
            <v>39.658000000000001</v>
          </cell>
        </row>
        <row r="296">
          <cell r="A296" t="str">
            <v>CABHILL2</v>
          </cell>
          <cell r="B296" t="str">
            <v>CABLE  MODEM TO RADIO</v>
          </cell>
          <cell r="C296">
            <v>50</v>
          </cell>
          <cell r="D296">
            <v>50</v>
          </cell>
          <cell r="E296">
            <v>50</v>
          </cell>
          <cell r="F296">
            <v>50</v>
          </cell>
          <cell r="G296">
            <v>50</v>
          </cell>
          <cell r="H296">
            <v>33.625</v>
          </cell>
        </row>
        <row r="297">
          <cell r="A297" t="str">
            <v>CABKMBS</v>
          </cell>
          <cell r="B297" t="str">
            <v>CABLE KAINGA MODEM TO BASE</v>
          </cell>
          <cell r="C297">
            <v>40</v>
          </cell>
          <cell r="D297">
            <v>40</v>
          </cell>
          <cell r="E297">
            <v>40</v>
          </cell>
          <cell r="F297">
            <v>40</v>
          </cell>
          <cell r="G297">
            <v>40</v>
          </cell>
          <cell r="H297">
            <v>0</v>
          </cell>
        </row>
        <row r="298">
          <cell r="A298" t="str">
            <v>CABKMPC</v>
          </cell>
          <cell r="B298" t="str">
            <v>CABLE.KAINGA MODEM TO PC</v>
          </cell>
          <cell r="C298">
            <v>38</v>
          </cell>
          <cell r="D298">
            <v>38</v>
          </cell>
          <cell r="E298">
            <v>38</v>
          </cell>
          <cell r="F298">
            <v>38</v>
          </cell>
          <cell r="G298">
            <v>38</v>
          </cell>
          <cell r="H298">
            <v>0</v>
          </cell>
        </row>
        <row r="299">
          <cell r="A299" t="str">
            <v>CABLOPW</v>
          </cell>
          <cell r="B299" t="str">
            <v>CABLE  LOGGER POWER</v>
          </cell>
          <cell r="C299">
            <v>53</v>
          </cell>
          <cell r="D299">
            <v>53</v>
          </cell>
          <cell r="E299">
            <v>53</v>
          </cell>
          <cell r="F299">
            <v>53</v>
          </cell>
          <cell r="G299">
            <v>53</v>
          </cell>
          <cell r="H299">
            <v>48.298000000000002</v>
          </cell>
          <cell r="I299">
            <v>40256</v>
          </cell>
        </row>
        <row r="300">
          <cell r="A300" t="str">
            <v>CABM02F</v>
          </cell>
          <cell r="B300" t="str">
            <v>CABLE 2 CORE FLEX. 16 .2mm</v>
          </cell>
          <cell r="C300">
            <v>5.2</v>
          </cell>
          <cell r="D300">
            <v>6.37</v>
          </cell>
          <cell r="E300">
            <v>6.37</v>
          </cell>
          <cell r="F300">
            <v>6.37</v>
          </cell>
          <cell r="G300">
            <v>6.37</v>
          </cell>
          <cell r="H300">
            <v>4.8639999999999999</v>
          </cell>
          <cell r="I300">
            <v>39883</v>
          </cell>
        </row>
        <row r="301">
          <cell r="A301" t="str">
            <v>CABM04B</v>
          </cell>
          <cell r="B301" t="str">
            <v>CABLE  4 CORE SCREENED 16 0.2mm</v>
          </cell>
          <cell r="C301">
            <v>9.75</v>
          </cell>
          <cell r="D301">
            <v>9.75</v>
          </cell>
          <cell r="E301">
            <v>9.75</v>
          </cell>
          <cell r="F301">
            <v>9.75</v>
          </cell>
          <cell r="G301">
            <v>9.75</v>
          </cell>
          <cell r="H301">
            <v>7.5</v>
          </cell>
          <cell r="I301">
            <v>40252</v>
          </cell>
        </row>
        <row r="302">
          <cell r="A302" t="str">
            <v>CABM04S</v>
          </cell>
          <cell r="B302" t="str">
            <v>B4104 CABLE SCREENED 7x0.5mm2</v>
          </cell>
          <cell r="C302">
            <v>5.62</v>
          </cell>
          <cell r="D302">
            <v>7</v>
          </cell>
          <cell r="E302">
            <v>7</v>
          </cell>
          <cell r="F302">
            <v>7</v>
          </cell>
          <cell r="G302">
            <v>7</v>
          </cell>
          <cell r="H302">
            <v>5.35</v>
          </cell>
          <cell r="I302">
            <v>39883</v>
          </cell>
        </row>
        <row r="303">
          <cell r="A303" t="str">
            <v>CABM04U</v>
          </cell>
          <cell r="B303" t="str">
            <v>CABLE 4 CORE UNSCREENED</v>
          </cell>
          <cell r="C303">
            <v>3.05</v>
          </cell>
          <cell r="D303">
            <v>4</v>
          </cell>
          <cell r="E303">
            <v>4</v>
          </cell>
          <cell r="F303">
            <v>4</v>
          </cell>
          <cell r="G303">
            <v>4</v>
          </cell>
          <cell r="H303">
            <v>2.65</v>
          </cell>
          <cell r="I303">
            <v>39883</v>
          </cell>
        </row>
        <row r="304">
          <cell r="A304" t="str">
            <v>CABM04X</v>
          </cell>
          <cell r="B304" t="str">
            <v>CABLE  4 CORE 1.5mm2 V75 ORD FLEX BLACK</v>
          </cell>
          <cell r="C304">
            <v>7.5</v>
          </cell>
          <cell r="D304">
            <v>7.5</v>
          </cell>
          <cell r="E304">
            <v>7.5</v>
          </cell>
          <cell r="F304">
            <v>7.5</v>
          </cell>
          <cell r="G304">
            <v>7.5</v>
          </cell>
          <cell r="H304">
            <v>0</v>
          </cell>
        </row>
        <row r="305">
          <cell r="A305" t="str">
            <v>CABM05T</v>
          </cell>
          <cell r="B305" t="str">
            <v>CABLE  5 CORE 1mm. TPR FLEX CORD</v>
          </cell>
          <cell r="C305">
            <v>8</v>
          </cell>
          <cell r="D305">
            <v>8</v>
          </cell>
          <cell r="E305">
            <v>8</v>
          </cell>
          <cell r="F305">
            <v>8</v>
          </cell>
          <cell r="G305">
            <v>8</v>
          </cell>
          <cell r="H305">
            <v>0</v>
          </cell>
        </row>
        <row r="306">
          <cell r="A306" t="str">
            <v>CABM06M</v>
          </cell>
          <cell r="B306" t="str">
            <v>CABLE  6 CORE MULTICORE OVERALL SCREEN</v>
          </cell>
          <cell r="C306">
            <v>7.5</v>
          </cell>
          <cell r="D306">
            <v>9.18</v>
          </cell>
          <cell r="E306">
            <v>9.18</v>
          </cell>
          <cell r="F306">
            <v>9.18</v>
          </cell>
          <cell r="G306">
            <v>9.18</v>
          </cell>
          <cell r="H306">
            <v>4.5</v>
          </cell>
          <cell r="I306">
            <v>39945</v>
          </cell>
        </row>
        <row r="307">
          <cell r="A307" t="str">
            <v>CABM06S</v>
          </cell>
          <cell r="B307" t="str">
            <v>CABLE 6 CORE SCREENED  7 x 0.15mm2</v>
          </cell>
          <cell r="C307">
            <v>6</v>
          </cell>
          <cell r="D307">
            <v>6.5</v>
          </cell>
          <cell r="E307">
            <v>6.5</v>
          </cell>
          <cell r="F307">
            <v>6.5</v>
          </cell>
          <cell r="G307">
            <v>6.5</v>
          </cell>
          <cell r="H307">
            <v>4.95</v>
          </cell>
          <cell r="I307">
            <v>39883</v>
          </cell>
        </row>
        <row r="308">
          <cell r="A308" t="str">
            <v>CABM06X</v>
          </cell>
          <cell r="B308" t="str">
            <v>CABLE 6 CORE SCREENED</v>
          </cell>
          <cell r="C308">
            <v>10</v>
          </cell>
          <cell r="D308">
            <v>10</v>
          </cell>
          <cell r="E308">
            <v>10</v>
          </cell>
          <cell r="F308">
            <v>10</v>
          </cell>
          <cell r="G308">
            <v>10</v>
          </cell>
          <cell r="H308">
            <v>6.1</v>
          </cell>
        </row>
        <row r="309">
          <cell r="A309" t="str">
            <v>CABM07P</v>
          </cell>
          <cell r="B309" t="str">
            <v>CABLE  7 PAIR 0.63 TELEPHONE CABLE</v>
          </cell>
          <cell r="C309">
            <v>4.8</v>
          </cell>
          <cell r="D309">
            <v>4.8</v>
          </cell>
          <cell r="E309">
            <v>4.8</v>
          </cell>
          <cell r="F309">
            <v>4.8</v>
          </cell>
          <cell r="G309">
            <v>4.8</v>
          </cell>
          <cell r="H309">
            <v>3.8</v>
          </cell>
        </row>
        <row r="310">
          <cell r="A310" t="str">
            <v>CABM08S</v>
          </cell>
          <cell r="B310" t="str">
            <v>CABLE  8 CORE SCREENED 7mm X 0.2mm</v>
          </cell>
          <cell r="C310">
            <v>11</v>
          </cell>
          <cell r="D310">
            <v>11</v>
          </cell>
          <cell r="E310">
            <v>11</v>
          </cell>
          <cell r="F310">
            <v>11</v>
          </cell>
          <cell r="G310">
            <v>11</v>
          </cell>
          <cell r="H310">
            <v>6.14</v>
          </cell>
        </row>
        <row r="311">
          <cell r="A311" t="str">
            <v>CABM10M500</v>
          </cell>
          <cell r="B311" t="str">
            <v>CABLE 10 CORE CS MULTICORE 500M</v>
          </cell>
          <cell r="C311">
            <v>7.5</v>
          </cell>
          <cell r="D311">
            <v>9.18</v>
          </cell>
          <cell r="E311">
            <v>9.18</v>
          </cell>
          <cell r="F311">
            <v>9.18</v>
          </cell>
          <cell r="G311">
            <v>9.18</v>
          </cell>
          <cell r="H311">
            <v>7.06</v>
          </cell>
          <cell r="I311">
            <v>39945</v>
          </cell>
        </row>
        <row r="312">
          <cell r="A312" t="str">
            <v>CABM12M</v>
          </cell>
          <cell r="B312" t="str">
            <v>CABLE 12 CORE 16/.02mm TCBS PVC BLACK</v>
          </cell>
          <cell r="C312">
            <v>7.5</v>
          </cell>
          <cell r="D312">
            <v>9.18</v>
          </cell>
          <cell r="E312">
            <v>9.18</v>
          </cell>
          <cell r="F312">
            <v>9.18</v>
          </cell>
          <cell r="G312">
            <v>9.18</v>
          </cell>
          <cell r="H312">
            <v>7.06</v>
          </cell>
          <cell r="I312">
            <v>39951</v>
          </cell>
        </row>
        <row r="313">
          <cell r="A313" t="str">
            <v>CABM12S</v>
          </cell>
          <cell r="B313" t="str">
            <v>CABLE  12 CORE MULTICORE 7 0.2mm TINED C</v>
          </cell>
          <cell r="C313">
            <v>9.1</v>
          </cell>
          <cell r="D313">
            <v>11.5</v>
          </cell>
          <cell r="E313">
            <v>11.5</v>
          </cell>
          <cell r="F313">
            <v>11.5</v>
          </cell>
          <cell r="G313">
            <v>11.5</v>
          </cell>
          <cell r="H313">
            <v>8.61</v>
          </cell>
          <cell r="I313">
            <v>39883</v>
          </cell>
        </row>
        <row r="314">
          <cell r="A314" t="str">
            <v>CABM12X</v>
          </cell>
          <cell r="B314" t="str">
            <v>CABLE. 12 CORE SCREENED 16 X 0.2mm</v>
          </cell>
          <cell r="C314">
            <v>19.5</v>
          </cell>
          <cell r="D314">
            <v>19.5</v>
          </cell>
          <cell r="E314">
            <v>19.5</v>
          </cell>
          <cell r="F314">
            <v>19.5</v>
          </cell>
          <cell r="G314">
            <v>19.5</v>
          </cell>
          <cell r="H314">
            <v>12.22</v>
          </cell>
          <cell r="I314">
            <v>40242</v>
          </cell>
        </row>
        <row r="315">
          <cell r="A315" t="str">
            <v>CABM40R</v>
          </cell>
          <cell r="B315" t="str">
            <v>CABLE  40 WAY RIBBON</v>
          </cell>
          <cell r="C315">
            <v>4.2</v>
          </cell>
          <cell r="D315">
            <v>4.2</v>
          </cell>
          <cell r="E315">
            <v>4.2</v>
          </cell>
          <cell r="F315">
            <v>4.2</v>
          </cell>
          <cell r="G315">
            <v>4.2</v>
          </cell>
          <cell r="H315">
            <v>0</v>
          </cell>
        </row>
        <row r="316">
          <cell r="A316" t="str">
            <v>CABM7PRS</v>
          </cell>
          <cell r="B316" t="str">
            <v>TELEPHONE CABLE 7 PAIR SHIELDED 0.63mm</v>
          </cell>
          <cell r="C316">
            <v>6</v>
          </cell>
          <cell r="D316">
            <v>6</v>
          </cell>
          <cell r="E316">
            <v>6</v>
          </cell>
          <cell r="F316">
            <v>6</v>
          </cell>
          <cell r="G316">
            <v>6</v>
          </cell>
          <cell r="H316">
            <v>4.5999999999999996</v>
          </cell>
        </row>
        <row r="317">
          <cell r="A317" t="str">
            <v>CABMAR2</v>
          </cell>
          <cell r="B317" t="str">
            <v>CABLE, MARINE 2 CORE 1.5mm H07RN-F</v>
          </cell>
          <cell r="C317">
            <v>5.5</v>
          </cell>
          <cell r="D317">
            <v>5.5</v>
          </cell>
          <cell r="E317">
            <v>5.5</v>
          </cell>
          <cell r="F317">
            <v>5.5</v>
          </cell>
          <cell r="G317">
            <v>5.5</v>
          </cell>
          <cell r="H317">
            <v>4.22</v>
          </cell>
        </row>
        <row r="318">
          <cell r="A318" t="str">
            <v>CABMAR4</v>
          </cell>
          <cell r="B318" t="str">
            <v>CABLE, MARINE 4 CORE 1.5mm H07RN-F</v>
          </cell>
          <cell r="C318">
            <v>7.7</v>
          </cell>
          <cell r="D318">
            <v>7.7</v>
          </cell>
          <cell r="E318">
            <v>7.7</v>
          </cell>
          <cell r="F318">
            <v>7.7</v>
          </cell>
          <cell r="G318">
            <v>7.7</v>
          </cell>
          <cell r="H318">
            <v>5.86</v>
          </cell>
        </row>
        <row r="319">
          <cell r="A319" t="str">
            <v>CABMAX1</v>
          </cell>
          <cell r="B319" t="str">
            <v>CABLE, MAXSTREAM MODEM TO WAVECOM</v>
          </cell>
          <cell r="C319">
            <v>55</v>
          </cell>
          <cell r="D319">
            <v>55</v>
          </cell>
          <cell r="E319">
            <v>55</v>
          </cell>
          <cell r="F319">
            <v>55</v>
          </cell>
          <cell r="G319">
            <v>55</v>
          </cell>
          <cell r="H319">
            <v>40.988999999999997</v>
          </cell>
        </row>
        <row r="320">
          <cell r="A320" t="str">
            <v>CABMAX2</v>
          </cell>
          <cell r="B320" t="str">
            <v>CABLE, MAXSTREAM MODEM TO S/LOGGER MOD</v>
          </cell>
          <cell r="C320">
            <v>55</v>
          </cell>
          <cell r="D320">
            <v>55</v>
          </cell>
          <cell r="E320">
            <v>55</v>
          </cell>
          <cell r="F320">
            <v>55</v>
          </cell>
          <cell r="G320">
            <v>55</v>
          </cell>
          <cell r="H320">
            <v>34.4</v>
          </cell>
        </row>
        <row r="321">
          <cell r="A321" t="str">
            <v>CABMAX3</v>
          </cell>
          <cell r="B321" t="str">
            <v>CABLE, MAXSTREAM MODEM TO UNIDATA</v>
          </cell>
          <cell r="C321">
            <v>40.5</v>
          </cell>
          <cell r="D321">
            <v>50</v>
          </cell>
          <cell r="E321">
            <v>50</v>
          </cell>
          <cell r="F321">
            <v>50</v>
          </cell>
          <cell r="G321">
            <v>50</v>
          </cell>
          <cell r="H321">
            <v>30.702999999999999</v>
          </cell>
          <cell r="I321">
            <v>39883</v>
          </cell>
        </row>
        <row r="322">
          <cell r="A322" t="str">
            <v>CABMAX4</v>
          </cell>
          <cell r="B322" t="str">
            <v>CABLE MAXON MODEM TO MAXSTREAM MODEM</v>
          </cell>
          <cell r="C322">
            <v>42</v>
          </cell>
          <cell r="D322">
            <v>42</v>
          </cell>
          <cell r="E322">
            <v>42</v>
          </cell>
          <cell r="F322">
            <v>42</v>
          </cell>
          <cell r="G322">
            <v>42</v>
          </cell>
          <cell r="H322">
            <v>28.966000000000001</v>
          </cell>
        </row>
        <row r="323">
          <cell r="A323" t="str">
            <v>CABMAX5</v>
          </cell>
          <cell r="B323" t="str">
            <v>CABLE, MAXSTREAM TO HARVEST GPRS</v>
          </cell>
          <cell r="C323">
            <v>43</v>
          </cell>
          <cell r="D323">
            <v>53.5</v>
          </cell>
          <cell r="E323">
            <v>53.5</v>
          </cell>
          <cell r="F323">
            <v>53.5</v>
          </cell>
          <cell r="G323">
            <v>53.5</v>
          </cell>
          <cell r="H323">
            <v>40.283000000000001</v>
          </cell>
          <cell r="I323">
            <v>40106</v>
          </cell>
        </row>
        <row r="324">
          <cell r="A324" t="str">
            <v>CABMAX6</v>
          </cell>
          <cell r="B324" t="str">
            <v>CABLE, MAXSTREAM MODEM TO TAIT 3DK</v>
          </cell>
          <cell r="C324">
            <v>105</v>
          </cell>
          <cell r="D324">
            <v>105</v>
          </cell>
          <cell r="E324">
            <v>105</v>
          </cell>
          <cell r="F324">
            <v>105</v>
          </cell>
          <cell r="G324">
            <v>105</v>
          </cell>
          <cell r="H324">
            <v>80.230999999999995</v>
          </cell>
        </row>
        <row r="325">
          <cell r="A325" t="str">
            <v>CABMAX7</v>
          </cell>
          <cell r="B325" t="str">
            <v>CABLE, MAXSTREAM MODEM TO DAA LOGGER</v>
          </cell>
          <cell r="C325">
            <v>73</v>
          </cell>
          <cell r="D325">
            <v>73</v>
          </cell>
          <cell r="E325">
            <v>73</v>
          </cell>
          <cell r="F325">
            <v>73</v>
          </cell>
          <cell r="G325">
            <v>73</v>
          </cell>
          <cell r="H325">
            <v>56.177999999999997</v>
          </cell>
        </row>
        <row r="326">
          <cell r="A326" t="str">
            <v>CABNMPS</v>
          </cell>
          <cell r="B326" t="str">
            <v>CABLE  NULL MODEM PSION</v>
          </cell>
          <cell r="C326">
            <v>30</v>
          </cell>
          <cell r="D326">
            <v>30</v>
          </cell>
          <cell r="E326">
            <v>30</v>
          </cell>
          <cell r="F326">
            <v>30</v>
          </cell>
          <cell r="G326">
            <v>30</v>
          </cell>
          <cell r="H326">
            <v>0</v>
          </cell>
        </row>
        <row r="327">
          <cell r="A327" t="str">
            <v>CABOBS3</v>
          </cell>
          <cell r="B327" t="str">
            <v>CABLE  OBS3 &amp; DOBIE 5M</v>
          </cell>
          <cell r="C327">
            <v>515</v>
          </cell>
          <cell r="D327">
            <v>515</v>
          </cell>
          <cell r="E327">
            <v>515</v>
          </cell>
          <cell r="F327">
            <v>515</v>
          </cell>
          <cell r="G327">
            <v>515</v>
          </cell>
          <cell r="H327">
            <v>0</v>
          </cell>
        </row>
        <row r="328">
          <cell r="A328" t="str">
            <v>CABPATCH</v>
          </cell>
          <cell r="B328" t="str">
            <v>N MALE TO N FEMALE PATCH CABLE</v>
          </cell>
          <cell r="C328">
            <v>83</v>
          </cell>
          <cell r="D328">
            <v>95</v>
          </cell>
          <cell r="E328">
            <v>95</v>
          </cell>
          <cell r="F328">
            <v>95</v>
          </cell>
          <cell r="G328">
            <v>95</v>
          </cell>
          <cell r="H328">
            <v>81.7</v>
          </cell>
          <cell r="I328">
            <v>40350</v>
          </cell>
        </row>
        <row r="329">
          <cell r="A329" t="str">
            <v>CABPYCM</v>
          </cell>
          <cell r="B329" t="str">
            <v>CABLE  PYGMY TO CURRENT METER COUNTER</v>
          </cell>
          <cell r="C329">
            <v>58.5</v>
          </cell>
          <cell r="D329">
            <v>58.5</v>
          </cell>
          <cell r="E329">
            <v>58.5</v>
          </cell>
          <cell r="F329">
            <v>58.5</v>
          </cell>
          <cell r="G329">
            <v>58.5</v>
          </cell>
          <cell r="H329">
            <v>44.585999999999999</v>
          </cell>
        </row>
        <row r="330">
          <cell r="A330" t="str">
            <v>CABRAEV</v>
          </cell>
          <cell r="B330" t="str">
            <v>CABLE  RAINLOGGER EVENT</v>
          </cell>
          <cell r="C330">
            <v>30</v>
          </cell>
          <cell r="D330">
            <v>30</v>
          </cell>
          <cell r="E330">
            <v>30</v>
          </cell>
          <cell r="F330">
            <v>30</v>
          </cell>
          <cell r="G330">
            <v>30</v>
          </cell>
          <cell r="H330">
            <v>0</v>
          </cell>
        </row>
        <row r="331">
          <cell r="A331" t="str">
            <v>CABRAPW</v>
          </cell>
          <cell r="B331" t="str">
            <v>CABLE  RAINLOGGER POWER</v>
          </cell>
          <cell r="C331">
            <v>50</v>
          </cell>
          <cell r="D331">
            <v>50</v>
          </cell>
          <cell r="E331">
            <v>50</v>
          </cell>
          <cell r="F331">
            <v>50</v>
          </cell>
          <cell r="G331">
            <v>50</v>
          </cell>
          <cell r="H331">
            <v>0</v>
          </cell>
        </row>
        <row r="332">
          <cell r="A332" t="str">
            <v>CABRARE</v>
          </cell>
          <cell r="B332" t="str">
            <v>CABLE, RADIO TO REPEATER HOUSING</v>
          </cell>
          <cell r="C332">
            <v>60</v>
          </cell>
          <cell r="D332">
            <v>60</v>
          </cell>
          <cell r="E332">
            <v>60</v>
          </cell>
          <cell r="F332">
            <v>60</v>
          </cell>
          <cell r="G332">
            <v>60</v>
          </cell>
          <cell r="H332">
            <v>43.95</v>
          </cell>
        </row>
        <row r="333">
          <cell r="A333" t="str">
            <v>CABRARE1</v>
          </cell>
          <cell r="B333" t="str">
            <v>CABLE, RADIO TO HOUSING 1.5m</v>
          </cell>
          <cell r="C333">
            <v>70</v>
          </cell>
          <cell r="D333">
            <v>70</v>
          </cell>
          <cell r="E333">
            <v>70</v>
          </cell>
          <cell r="F333">
            <v>70</v>
          </cell>
          <cell r="G333">
            <v>70</v>
          </cell>
          <cell r="H333">
            <v>53.35</v>
          </cell>
        </row>
        <row r="334">
          <cell r="A334" t="str">
            <v>CABSMA1</v>
          </cell>
          <cell r="B334" t="str">
            <v>CABLE, SMA PLUG TO PLUG 1m</v>
          </cell>
          <cell r="C334">
            <v>15.5</v>
          </cell>
          <cell r="D334">
            <v>15.5</v>
          </cell>
          <cell r="E334">
            <v>15.5</v>
          </cell>
          <cell r="F334">
            <v>15.5</v>
          </cell>
          <cell r="G334">
            <v>15.5</v>
          </cell>
          <cell r="H334">
            <v>11.74</v>
          </cell>
        </row>
        <row r="335">
          <cell r="A335" t="str">
            <v>CABSTL1</v>
          </cell>
          <cell r="B335" t="str">
            <v>CABLE STARLOGGER TO BULKHEAD</v>
          </cell>
          <cell r="C335">
            <v>65</v>
          </cell>
          <cell r="D335">
            <v>65</v>
          </cell>
          <cell r="E335">
            <v>65</v>
          </cell>
          <cell r="F335">
            <v>65</v>
          </cell>
          <cell r="G335">
            <v>65</v>
          </cell>
          <cell r="H335">
            <v>46.454999999999998</v>
          </cell>
        </row>
        <row r="336">
          <cell r="A336" t="str">
            <v>CABSTL2</v>
          </cell>
          <cell r="B336" t="str">
            <v>CABLE  STARLOGGER TO RADIO MODEM</v>
          </cell>
          <cell r="C336">
            <v>44.3</v>
          </cell>
          <cell r="D336">
            <v>44.3</v>
          </cell>
          <cell r="E336">
            <v>44.3</v>
          </cell>
          <cell r="F336">
            <v>44.3</v>
          </cell>
          <cell r="G336">
            <v>44.3</v>
          </cell>
          <cell r="H336">
            <v>0</v>
          </cell>
        </row>
        <row r="337">
          <cell r="A337" t="str">
            <v>CABSTL3</v>
          </cell>
          <cell r="B337" t="str">
            <v>CABLE STARLOGGER TO TELECOM MODEM</v>
          </cell>
          <cell r="C337">
            <v>49</v>
          </cell>
          <cell r="D337">
            <v>49</v>
          </cell>
          <cell r="E337">
            <v>49</v>
          </cell>
          <cell r="F337">
            <v>49</v>
          </cell>
          <cell r="G337">
            <v>49</v>
          </cell>
          <cell r="H337">
            <v>0</v>
          </cell>
        </row>
        <row r="338">
          <cell r="A338" t="str">
            <v>CABSTL4</v>
          </cell>
          <cell r="B338" t="str">
            <v>CABLE  STARLOGGER TO HILLTOP MODEM</v>
          </cell>
          <cell r="C338">
            <v>72</v>
          </cell>
          <cell r="D338">
            <v>72</v>
          </cell>
          <cell r="E338">
            <v>72</v>
          </cell>
          <cell r="F338">
            <v>72</v>
          </cell>
          <cell r="G338">
            <v>72</v>
          </cell>
          <cell r="H338">
            <v>192.94200000000001</v>
          </cell>
        </row>
        <row r="339">
          <cell r="A339" t="str">
            <v>CABSTL5</v>
          </cell>
          <cell r="B339" t="str">
            <v>CABLE  STARLOGGER MODULE TO WAVECOM MODE</v>
          </cell>
          <cell r="C339">
            <v>43</v>
          </cell>
          <cell r="D339">
            <v>43</v>
          </cell>
          <cell r="E339">
            <v>43</v>
          </cell>
          <cell r="F339">
            <v>43</v>
          </cell>
          <cell r="G339">
            <v>43</v>
          </cell>
          <cell r="H339">
            <v>50.472000000000001</v>
          </cell>
        </row>
        <row r="340">
          <cell r="A340" t="str">
            <v>CABSUT1</v>
          </cell>
          <cell r="B340" t="str">
            <v>CABLE  SUTRON SENSOR TO ANALOG INPUT</v>
          </cell>
          <cell r="C340">
            <v>30</v>
          </cell>
          <cell r="D340">
            <v>30</v>
          </cell>
          <cell r="E340">
            <v>30</v>
          </cell>
          <cell r="F340">
            <v>30</v>
          </cell>
          <cell r="G340">
            <v>30</v>
          </cell>
          <cell r="H340">
            <v>0</v>
          </cell>
        </row>
        <row r="341">
          <cell r="A341" t="str">
            <v>CABSUT2</v>
          </cell>
          <cell r="B341" t="str">
            <v>CABLE  SUTRON SDI TO STARLOGGER MODULE</v>
          </cell>
          <cell r="C341">
            <v>29</v>
          </cell>
          <cell r="D341">
            <v>29</v>
          </cell>
          <cell r="E341">
            <v>29</v>
          </cell>
          <cell r="F341">
            <v>29</v>
          </cell>
          <cell r="G341">
            <v>29</v>
          </cell>
          <cell r="H341">
            <v>15.242000000000001</v>
          </cell>
        </row>
        <row r="342">
          <cell r="A342" t="str">
            <v>CABSUT3</v>
          </cell>
          <cell r="B342" t="str">
            <v>CABLE  SUTRON SDI TO ECOLOGGER</v>
          </cell>
          <cell r="C342">
            <v>64</v>
          </cell>
          <cell r="D342">
            <v>64</v>
          </cell>
          <cell r="E342">
            <v>64</v>
          </cell>
          <cell r="F342">
            <v>64</v>
          </cell>
          <cell r="G342">
            <v>64</v>
          </cell>
          <cell r="H342">
            <v>54.985999999999997</v>
          </cell>
        </row>
        <row r="343">
          <cell r="A343" t="str">
            <v>CABTAI1</v>
          </cell>
          <cell r="B343" t="str">
            <v>CABLE  TAIT T8000 RADIO MODEM TO HYDROLO</v>
          </cell>
          <cell r="C343">
            <v>50</v>
          </cell>
          <cell r="D343">
            <v>50</v>
          </cell>
          <cell r="E343">
            <v>50</v>
          </cell>
          <cell r="F343">
            <v>50</v>
          </cell>
          <cell r="G343">
            <v>50</v>
          </cell>
          <cell r="H343">
            <v>0</v>
          </cell>
        </row>
        <row r="344">
          <cell r="A344" t="str">
            <v>CABTAI2</v>
          </cell>
          <cell r="B344" t="str">
            <v>CABLE  TAIT T8000 RADIO MODEM TO STARLOG</v>
          </cell>
          <cell r="C344">
            <v>51</v>
          </cell>
          <cell r="D344">
            <v>51</v>
          </cell>
          <cell r="E344">
            <v>51</v>
          </cell>
          <cell r="F344">
            <v>51</v>
          </cell>
          <cell r="G344">
            <v>51</v>
          </cell>
          <cell r="H344">
            <v>36.575000000000003</v>
          </cell>
          <cell r="I344">
            <v>40248</v>
          </cell>
        </row>
        <row r="345">
          <cell r="A345" t="str">
            <v>CABTAI3</v>
          </cell>
          <cell r="B345" t="str">
            <v>CABLE TAIT T8000 RADIO TO PC</v>
          </cell>
          <cell r="C345">
            <v>70</v>
          </cell>
          <cell r="D345">
            <v>80</v>
          </cell>
          <cell r="E345">
            <v>80</v>
          </cell>
          <cell r="F345">
            <v>80</v>
          </cell>
          <cell r="G345">
            <v>80</v>
          </cell>
          <cell r="H345">
            <v>64.936000000000007</v>
          </cell>
          <cell r="I345">
            <v>39989</v>
          </cell>
        </row>
        <row r="346">
          <cell r="A346" t="str">
            <v>CABTAI4</v>
          </cell>
          <cell r="B346" t="str">
            <v>CABLE  TAIT T8000 RADIO MODEM TO DAA LOG</v>
          </cell>
          <cell r="C346">
            <v>50</v>
          </cell>
          <cell r="D346">
            <v>50</v>
          </cell>
          <cell r="E346">
            <v>50</v>
          </cell>
          <cell r="F346">
            <v>50</v>
          </cell>
          <cell r="G346">
            <v>50</v>
          </cell>
          <cell r="H346">
            <v>51.347999999999999</v>
          </cell>
        </row>
        <row r="347">
          <cell r="A347" t="str">
            <v>CABTAI5</v>
          </cell>
          <cell r="B347" t="str">
            <v>CABLE  TAIT T8000 RADIO MODEM TO CR10 &amp;</v>
          </cell>
          <cell r="C347">
            <v>50</v>
          </cell>
          <cell r="D347">
            <v>50</v>
          </cell>
          <cell r="E347">
            <v>50</v>
          </cell>
          <cell r="F347">
            <v>50</v>
          </cell>
          <cell r="G347">
            <v>50</v>
          </cell>
          <cell r="H347">
            <v>0</v>
          </cell>
        </row>
        <row r="348">
          <cell r="A348" t="str">
            <v>CABTAI6</v>
          </cell>
          <cell r="B348" t="str">
            <v>CABLE, TAIT RADIO PROGRAMMING CABLE</v>
          </cell>
          <cell r="C348">
            <v>50</v>
          </cell>
          <cell r="D348">
            <v>50</v>
          </cell>
          <cell r="E348">
            <v>50</v>
          </cell>
          <cell r="F348">
            <v>50</v>
          </cell>
          <cell r="G348">
            <v>50</v>
          </cell>
          <cell r="H348">
            <v>0</v>
          </cell>
        </row>
        <row r="349">
          <cell r="A349" t="str">
            <v>CABTAI7</v>
          </cell>
          <cell r="B349" t="str">
            <v>CABLE TAIT 3DK TO MICROLOGGER (GENERIC)</v>
          </cell>
          <cell r="C349">
            <v>57</v>
          </cell>
          <cell r="D349">
            <v>57</v>
          </cell>
          <cell r="E349">
            <v>57</v>
          </cell>
          <cell r="F349">
            <v>57</v>
          </cell>
          <cell r="G349">
            <v>57</v>
          </cell>
          <cell r="H349">
            <v>43.094000000000001</v>
          </cell>
        </row>
        <row r="350">
          <cell r="A350" t="str">
            <v>CABTAI9</v>
          </cell>
          <cell r="B350" t="str">
            <v>CABLE, TAIT RADIO 8100 TO MULTIMETER</v>
          </cell>
          <cell r="C350">
            <v>106</v>
          </cell>
          <cell r="D350">
            <v>134</v>
          </cell>
          <cell r="E350">
            <v>134</v>
          </cell>
          <cell r="F350">
            <v>134</v>
          </cell>
          <cell r="G350">
            <v>134</v>
          </cell>
          <cell r="H350">
            <v>114.6</v>
          </cell>
          <cell r="I350">
            <v>40066</v>
          </cell>
        </row>
        <row r="351">
          <cell r="A351" t="str">
            <v>CABTAIP</v>
          </cell>
          <cell r="B351" t="str">
            <v>TAIT RADIO PROGRAMMING CABLE</v>
          </cell>
          <cell r="C351">
            <v>58</v>
          </cell>
          <cell r="D351">
            <v>70</v>
          </cell>
          <cell r="E351">
            <v>70</v>
          </cell>
          <cell r="F351">
            <v>70</v>
          </cell>
          <cell r="G351">
            <v>70</v>
          </cell>
          <cell r="H351">
            <v>55.2</v>
          </cell>
        </row>
        <row r="352">
          <cell r="A352" t="str">
            <v>CABTAIPO</v>
          </cell>
          <cell r="B352" t="str">
            <v>TAIT 8100 RADIO POWER CABLE</v>
          </cell>
          <cell r="C352">
            <v>31</v>
          </cell>
          <cell r="D352">
            <v>39</v>
          </cell>
          <cell r="E352">
            <v>39</v>
          </cell>
          <cell r="F352">
            <v>39</v>
          </cell>
          <cell r="G352">
            <v>39</v>
          </cell>
          <cell r="H352">
            <v>29.02</v>
          </cell>
        </row>
        <row r="353">
          <cell r="A353" t="str">
            <v>CABTIE-200</v>
          </cell>
          <cell r="B353" t="str">
            <v>TIE CABLE 200mm NYLON</v>
          </cell>
          <cell r="C353">
            <v>0.2</v>
          </cell>
          <cell r="D353">
            <v>0.2</v>
          </cell>
          <cell r="E353">
            <v>0.2</v>
          </cell>
          <cell r="F353">
            <v>0.2</v>
          </cell>
          <cell r="G353">
            <v>0.2</v>
          </cell>
          <cell r="H353">
            <v>0</v>
          </cell>
        </row>
        <row r="354">
          <cell r="A354" t="str">
            <v>CABTIE-MOUNT</v>
          </cell>
          <cell r="B354" t="str">
            <v>CABLE TIE ADHESIVE MOUNT NYLON</v>
          </cell>
          <cell r="C354">
            <v>0.33</v>
          </cell>
          <cell r="D354">
            <v>0.33</v>
          </cell>
          <cell r="E354">
            <v>0.33</v>
          </cell>
          <cell r="F354">
            <v>0.33</v>
          </cell>
          <cell r="G354">
            <v>0.33</v>
          </cell>
          <cell r="H354">
            <v>0.14099999999999999</v>
          </cell>
        </row>
        <row r="355">
          <cell r="A355" t="str">
            <v>CABTMA4</v>
          </cell>
          <cell r="B355" t="str">
            <v>TAIT CROSS BAND LINKING CABLE</v>
          </cell>
          <cell r="C355">
            <v>204</v>
          </cell>
          <cell r="D355">
            <v>252.65</v>
          </cell>
          <cell r="E355">
            <v>252.65</v>
          </cell>
          <cell r="F355">
            <v>252.65</v>
          </cell>
          <cell r="G355">
            <v>252.65</v>
          </cell>
          <cell r="H355">
            <v>20</v>
          </cell>
        </row>
        <row r="356">
          <cell r="A356" t="str">
            <v>CABTRAQ</v>
          </cell>
          <cell r="B356" t="str">
            <v>CABLE TRANSDUCER.12 CORE</v>
          </cell>
          <cell r="C356">
            <v>8.5</v>
          </cell>
          <cell r="D356">
            <v>8.5</v>
          </cell>
          <cell r="E356">
            <v>8.5</v>
          </cell>
          <cell r="F356">
            <v>8.5</v>
          </cell>
          <cell r="G356">
            <v>8.5</v>
          </cell>
          <cell r="H356">
            <v>0</v>
          </cell>
        </row>
        <row r="357">
          <cell r="A357" t="str">
            <v>CABTRAVU</v>
          </cell>
          <cell r="B357" t="str">
            <v>CABLE TRAVELLER CHARGER - USA</v>
          </cell>
          <cell r="C357">
            <v>30</v>
          </cell>
          <cell r="D357">
            <v>30</v>
          </cell>
          <cell r="E357">
            <v>30</v>
          </cell>
          <cell r="F357">
            <v>30</v>
          </cell>
          <cell r="G357">
            <v>30</v>
          </cell>
          <cell r="H357">
            <v>25</v>
          </cell>
        </row>
        <row r="358">
          <cell r="A358" t="str">
            <v>CABTRGR</v>
          </cell>
          <cell r="B358" t="str">
            <v>CABLE TRANSDUCER.GREENSPAN BRAND</v>
          </cell>
          <cell r="C358">
            <v>16</v>
          </cell>
          <cell r="D358">
            <v>16</v>
          </cell>
          <cell r="E358">
            <v>16</v>
          </cell>
          <cell r="F358">
            <v>16</v>
          </cell>
          <cell r="G358">
            <v>16</v>
          </cell>
          <cell r="H358">
            <v>0</v>
          </cell>
        </row>
        <row r="359">
          <cell r="A359" t="str">
            <v>CABUNI1</v>
          </cell>
          <cell r="B359" t="str">
            <v>CABLE  MODEM TO HYDROLOGGER</v>
          </cell>
          <cell r="C359">
            <v>48</v>
          </cell>
          <cell r="D359">
            <v>48</v>
          </cell>
          <cell r="E359">
            <v>48</v>
          </cell>
          <cell r="F359">
            <v>48</v>
          </cell>
          <cell r="G359">
            <v>48</v>
          </cell>
          <cell r="H359">
            <v>0</v>
          </cell>
        </row>
        <row r="360">
          <cell r="A360" t="str">
            <v>CABUNI10</v>
          </cell>
          <cell r="B360" t="str">
            <v>CABLE STARLOGGER MOD - HARVEST SPE</v>
          </cell>
          <cell r="C360">
            <v>72.349999999999994</v>
          </cell>
          <cell r="D360">
            <v>90</v>
          </cell>
          <cell r="E360">
            <v>90</v>
          </cell>
          <cell r="F360">
            <v>90</v>
          </cell>
          <cell r="G360">
            <v>90</v>
          </cell>
          <cell r="H360">
            <v>48.57</v>
          </cell>
          <cell r="I360">
            <v>39883</v>
          </cell>
        </row>
        <row r="361">
          <cell r="A361" t="str">
            <v>CABUNI11</v>
          </cell>
          <cell r="B361" t="str">
            <v>CABLE  MAXON MODEM TO UNIDATA PRODUCT</v>
          </cell>
          <cell r="C361">
            <v>45</v>
          </cell>
          <cell r="D361">
            <v>45</v>
          </cell>
          <cell r="E361">
            <v>45</v>
          </cell>
          <cell r="F361">
            <v>45</v>
          </cell>
          <cell r="G361">
            <v>45</v>
          </cell>
          <cell r="H361">
            <v>39.576000000000001</v>
          </cell>
        </row>
        <row r="362">
          <cell r="A362" t="str">
            <v>CABUNI12</v>
          </cell>
          <cell r="B362" t="str">
            <v>CABLE  MAXON MODEM TO STARLOGGER</v>
          </cell>
          <cell r="C362">
            <v>45</v>
          </cell>
          <cell r="D362">
            <v>45</v>
          </cell>
          <cell r="E362">
            <v>45</v>
          </cell>
          <cell r="F362">
            <v>45</v>
          </cell>
          <cell r="G362">
            <v>45</v>
          </cell>
          <cell r="H362">
            <v>34</v>
          </cell>
        </row>
        <row r="363">
          <cell r="A363" t="str">
            <v>CABUNI15</v>
          </cell>
          <cell r="B363" t="str">
            <v>CABLE XRT CROSSRAMP MODEM TO PC</v>
          </cell>
          <cell r="C363">
            <v>56.41</v>
          </cell>
          <cell r="D363">
            <v>70</v>
          </cell>
          <cell r="E363">
            <v>70</v>
          </cell>
          <cell r="F363">
            <v>70</v>
          </cell>
          <cell r="G363">
            <v>70</v>
          </cell>
          <cell r="H363">
            <v>32.231000000000002</v>
          </cell>
          <cell r="I363">
            <v>39883</v>
          </cell>
        </row>
        <row r="364">
          <cell r="A364" t="str">
            <v>CABUNI1M</v>
          </cell>
          <cell r="B364" t="str">
            <v>CABLE  UNIDATA PRODUCT TO HILLTOP MODEM</v>
          </cell>
          <cell r="C364">
            <v>48</v>
          </cell>
          <cell r="D364">
            <v>48</v>
          </cell>
          <cell r="E364">
            <v>48</v>
          </cell>
          <cell r="F364">
            <v>48</v>
          </cell>
          <cell r="G364">
            <v>48</v>
          </cell>
          <cell r="H364">
            <v>0</v>
          </cell>
        </row>
        <row r="365">
          <cell r="A365" t="str">
            <v>CABUNI2</v>
          </cell>
          <cell r="B365" t="str">
            <v>CABLE  TELECOM MODEM TO UNIDATA PRODUCT</v>
          </cell>
          <cell r="C365">
            <v>50</v>
          </cell>
          <cell r="D365">
            <v>50</v>
          </cell>
          <cell r="E365">
            <v>50</v>
          </cell>
          <cell r="F365">
            <v>50</v>
          </cell>
          <cell r="G365">
            <v>50</v>
          </cell>
          <cell r="H365">
            <v>24.902999999999999</v>
          </cell>
        </row>
        <row r="366">
          <cell r="A366" t="str">
            <v>CABUNI3</v>
          </cell>
          <cell r="B366" t="str">
            <v>CABLE  HILLTOP MODEM TO UNIDATA PRODUCT</v>
          </cell>
          <cell r="C366">
            <v>60</v>
          </cell>
          <cell r="D366">
            <v>60</v>
          </cell>
          <cell r="E366">
            <v>60</v>
          </cell>
          <cell r="F366">
            <v>60</v>
          </cell>
          <cell r="G366">
            <v>60</v>
          </cell>
          <cell r="H366">
            <v>39.06</v>
          </cell>
        </row>
        <row r="367">
          <cell r="A367" t="str">
            <v>CABUNI4</v>
          </cell>
          <cell r="B367" t="str">
            <v>CABLE  HYDROLOGGER AUXILLARY SOCKET</v>
          </cell>
          <cell r="C367">
            <v>32</v>
          </cell>
          <cell r="D367">
            <v>32</v>
          </cell>
          <cell r="E367">
            <v>32</v>
          </cell>
          <cell r="F367">
            <v>32</v>
          </cell>
          <cell r="G367">
            <v>32</v>
          </cell>
          <cell r="H367">
            <v>39.926000000000002</v>
          </cell>
        </row>
        <row r="368">
          <cell r="A368" t="str">
            <v>CABUNI4X</v>
          </cell>
          <cell r="B368" t="str">
            <v>CABLE, H/LOGGER EXTENDED AUX</v>
          </cell>
          <cell r="C368">
            <v>46</v>
          </cell>
          <cell r="D368">
            <v>55</v>
          </cell>
          <cell r="E368">
            <v>55</v>
          </cell>
          <cell r="F368">
            <v>55</v>
          </cell>
          <cell r="G368">
            <v>55</v>
          </cell>
          <cell r="H368">
            <v>84.921000000000006</v>
          </cell>
        </row>
        <row r="369">
          <cell r="A369" t="str">
            <v>CABUNI5</v>
          </cell>
          <cell r="B369" t="str">
            <v>CABLE  HYDROLOGGER TO MANNINGS SAMPLE</v>
          </cell>
          <cell r="C369">
            <v>155</v>
          </cell>
          <cell r="D369">
            <v>155</v>
          </cell>
          <cell r="E369">
            <v>155</v>
          </cell>
          <cell r="F369">
            <v>155</v>
          </cell>
          <cell r="G369">
            <v>155</v>
          </cell>
          <cell r="H369">
            <v>0</v>
          </cell>
        </row>
        <row r="370">
          <cell r="A370" t="str">
            <v>CABUNI6</v>
          </cell>
          <cell r="B370" t="str">
            <v>CABLE  UNIDATA PRODUCT TO WAVECOM MODEM</v>
          </cell>
          <cell r="C370">
            <v>45</v>
          </cell>
          <cell r="D370">
            <v>45</v>
          </cell>
          <cell r="E370">
            <v>45</v>
          </cell>
          <cell r="F370">
            <v>45</v>
          </cell>
          <cell r="G370">
            <v>45</v>
          </cell>
          <cell r="H370">
            <v>27.353000000000002</v>
          </cell>
        </row>
        <row r="371">
          <cell r="A371" t="str">
            <v>CABUNI7</v>
          </cell>
          <cell r="B371" t="str">
            <v>CABLE  UNIDATA SQL CMOS SDI BREAKOUT</v>
          </cell>
          <cell r="C371">
            <v>107</v>
          </cell>
          <cell r="D371">
            <v>107</v>
          </cell>
          <cell r="E371">
            <v>107</v>
          </cell>
          <cell r="F371">
            <v>107</v>
          </cell>
          <cell r="G371">
            <v>107</v>
          </cell>
          <cell r="H371">
            <v>0</v>
          </cell>
        </row>
        <row r="372">
          <cell r="A372" t="str">
            <v>CABUNI8</v>
          </cell>
          <cell r="B372" t="str">
            <v>CABLE  UNIDATA LOGGER - HARVEST MODULE</v>
          </cell>
          <cell r="C372">
            <v>70</v>
          </cell>
          <cell r="D372">
            <v>70</v>
          </cell>
          <cell r="E372">
            <v>70</v>
          </cell>
          <cell r="F372">
            <v>70</v>
          </cell>
          <cell r="G372">
            <v>70</v>
          </cell>
          <cell r="H372">
            <v>0</v>
          </cell>
        </row>
        <row r="373">
          <cell r="A373" t="str">
            <v>CABUNI9</v>
          </cell>
          <cell r="B373" t="str">
            <v>CABLE  UNIDATA LOGGER - HARVEST SPE</v>
          </cell>
          <cell r="C373">
            <v>46.2</v>
          </cell>
          <cell r="D373">
            <v>57.5</v>
          </cell>
          <cell r="E373">
            <v>57.5</v>
          </cell>
          <cell r="F373">
            <v>57.5</v>
          </cell>
          <cell r="G373">
            <v>57.5</v>
          </cell>
          <cell r="H373">
            <v>61.76</v>
          </cell>
          <cell r="I373">
            <v>40106</v>
          </cell>
        </row>
        <row r="374">
          <cell r="A374" t="str">
            <v>CABUSBAB</v>
          </cell>
          <cell r="B374" t="str">
            <v>CABLE USB 2.0 A TO B</v>
          </cell>
          <cell r="C374">
            <v>10</v>
          </cell>
          <cell r="D374">
            <v>12</v>
          </cell>
          <cell r="E374">
            <v>12</v>
          </cell>
          <cell r="F374">
            <v>12</v>
          </cell>
          <cell r="G374">
            <v>12</v>
          </cell>
          <cell r="H374">
            <v>9.23</v>
          </cell>
          <cell r="I374">
            <v>39988</v>
          </cell>
        </row>
        <row r="375">
          <cell r="A375" t="str">
            <v>CABWADA</v>
          </cell>
          <cell r="B375" t="str">
            <v>CABLE, T/SETTING WADING ROD ADAPTER</v>
          </cell>
          <cell r="C375">
            <v>0</v>
          </cell>
          <cell r="D375">
            <v>0</v>
          </cell>
          <cell r="E375">
            <v>0</v>
          </cell>
          <cell r="F375">
            <v>0</v>
          </cell>
          <cell r="G375">
            <v>0</v>
          </cell>
          <cell r="H375">
            <v>0</v>
          </cell>
        </row>
        <row r="376">
          <cell r="A376" t="str">
            <v>CABWAVE</v>
          </cell>
          <cell r="B376" t="str">
            <v>CABLE  WAVECOM MODEM TO PC</v>
          </cell>
          <cell r="C376">
            <v>18</v>
          </cell>
          <cell r="D376">
            <v>18</v>
          </cell>
          <cell r="E376">
            <v>18</v>
          </cell>
          <cell r="F376">
            <v>18</v>
          </cell>
          <cell r="G376">
            <v>18</v>
          </cell>
          <cell r="H376">
            <v>10.9</v>
          </cell>
        </row>
        <row r="377">
          <cell r="A377" t="str">
            <v>CABWDP1</v>
          </cell>
          <cell r="B377" t="str">
            <v>CABLE  UNIDATA WDP TO HARVEST MODEM SPE</v>
          </cell>
          <cell r="C377">
            <v>90</v>
          </cell>
          <cell r="D377">
            <v>90</v>
          </cell>
          <cell r="E377">
            <v>90</v>
          </cell>
          <cell r="F377">
            <v>90</v>
          </cell>
          <cell r="G377">
            <v>90</v>
          </cell>
          <cell r="H377">
            <v>0</v>
          </cell>
        </row>
        <row r="378">
          <cell r="A378" t="str">
            <v>CABWDP2</v>
          </cell>
          <cell r="B378" t="str">
            <v>CABLE  UNIDATA WDP TO HARVEST MODEM SPE</v>
          </cell>
          <cell r="C378">
            <v>90</v>
          </cell>
          <cell r="D378">
            <v>90</v>
          </cell>
          <cell r="E378">
            <v>90</v>
          </cell>
          <cell r="F378">
            <v>90</v>
          </cell>
          <cell r="G378">
            <v>90</v>
          </cell>
          <cell r="H378">
            <v>0</v>
          </cell>
        </row>
        <row r="379">
          <cell r="A379" t="str">
            <v>CADCOLN</v>
          </cell>
          <cell r="B379" t="str">
            <v>CADMIUM COLUMN FOR NASP004</v>
          </cell>
          <cell r="C379">
            <v>755</v>
          </cell>
          <cell r="D379">
            <v>755</v>
          </cell>
          <cell r="E379">
            <v>755</v>
          </cell>
          <cell r="F379">
            <v>755</v>
          </cell>
          <cell r="G379">
            <v>755</v>
          </cell>
          <cell r="H379">
            <v>0</v>
          </cell>
        </row>
        <row r="380">
          <cell r="A380" t="str">
            <v>CAP-ELE1000UF</v>
          </cell>
          <cell r="B380" t="str">
            <v>CAPACITOR ELECTROLYTIC 1000uf 35v</v>
          </cell>
          <cell r="C380">
            <v>1.5</v>
          </cell>
          <cell r="D380">
            <v>1.5</v>
          </cell>
          <cell r="E380">
            <v>1.5</v>
          </cell>
          <cell r="F380">
            <v>1.5</v>
          </cell>
          <cell r="G380">
            <v>1.5</v>
          </cell>
          <cell r="H380">
            <v>1.27</v>
          </cell>
        </row>
        <row r="381">
          <cell r="A381" t="str">
            <v>CAP-MONO0.1UF</v>
          </cell>
          <cell r="B381" t="str">
            <v>CAPACITOR MONOLITHIC 0.1uf</v>
          </cell>
          <cell r="C381">
            <v>0.9</v>
          </cell>
          <cell r="D381">
            <v>0.9</v>
          </cell>
          <cell r="E381">
            <v>0.9</v>
          </cell>
          <cell r="F381">
            <v>0.9</v>
          </cell>
          <cell r="G381">
            <v>0.9</v>
          </cell>
          <cell r="H381">
            <v>8.5999999999999993E-2</v>
          </cell>
        </row>
        <row r="382">
          <cell r="A382" t="str">
            <v>CAP-POL100NF</v>
          </cell>
          <cell r="B382" t="str">
            <v>CAPACITOR POLYESTER 100nf 1000V</v>
          </cell>
          <cell r="C382">
            <v>0.9</v>
          </cell>
          <cell r="D382">
            <v>0.9</v>
          </cell>
          <cell r="E382">
            <v>0.9</v>
          </cell>
          <cell r="F382">
            <v>0.9</v>
          </cell>
          <cell r="G382">
            <v>0.9</v>
          </cell>
          <cell r="H382">
            <v>0</v>
          </cell>
        </row>
        <row r="383">
          <cell r="A383" t="str">
            <v>CAP-POL6.8UF</v>
          </cell>
          <cell r="B383" t="str">
            <v>CAPACITOR POLYESTER 6n8f. 50V</v>
          </cell>
          <cell r="C383">
            <v>0.28999999999999998</v>
          </cell>
          <cell r="D383">
            <v>0.28999999999999998</v>
          </cell>
          <cell r="E383">
            <v>0.28999999999999998</v>
          </cell>
          <cell r="F383">
            <v>0.28999999999999998</v>
          </cell>
          <cell r="G383">
            <v>0.28999999999999998</v>
          </cell>
          <cell r="H383">
            <v>0</v>
          </cell>
        </row>
        <row r="384">
          <cell r="A384" t="str">
            <v>CAP100U</v>
          </cell>
          <cell r="B384" t="str">
            <v>CAPACITOR 100uf 450vw</v>
          </cell>
          <cell r="C384">
            <v>0</v>
          </cell>
          <cell r="D384">
            <v>0</v>
          </cell>
          <cell r="E384">
            <v>0</v>
          </cell>
          <cell r="F384">
            <v>0</v>
          </cell>
          <cell r="G384">
            <v>0</v>
          </cell>
          <cell r="H384">
            <v>0</v>
          </cell>
        </row>
        <row r="385">
          <cell r="A385" t="str">
            <v>CAPU100H</v>
          </cell>
          <cell r="B385" t="str">
            <v>CAPACITOR ELECTRO.100uF 400VW. MARCOM AU</v>
          </cell>
          <cell r="C385">
            <v>14.85</v>
          </cell>
          <cell r="D385">
            <v>14.85</v>
          </cell>
          <cell r="E385">
            <v>14.85</v>
          </cell>
          <cell r="F385">
            <v>14.85</v>
          </cell>
          <cell r="G385">
            <v>14.85</v>
          </cell>
          <cell r="H385">
            <v>6.46</v>
          </cell>
        </row>
        <row r="386">
          <cell r="A386" t="str">
            <v>CARBRAK</v>
          </cell>
          <cell r="B386" t="str">
            <v>CABLE CAR BRAKE</v>
          </cell>
          <cell r="C386">
            <v>150</v>
          </cell>
          <cell r="D386">
            <v>150</v>
          </cell>
          <cell r="E386">
            <v>150</v>
          </cell>
          <cell r="F386">
            <v>150</v>
          </cell>
          <cell r="G386">
            <v>150</v>
          </cell>
          <cell r="H386">
            <v>114.41800000000001</v>
          </cell>
        </row>
        <row r="387">
          <cell r="A387" t="str">
            <v>CARBRPA</v>
          </cell>
          <cell r="B387" t="str">
            <v>CABLE CAR BRAKE PAD</v>
          </cell>
          <cell r="C387">
            <v>31</v>
          </cell>
          <cell r="D387">
            <v>31</v>
          </cell>
          <cell r="E387">
            <v>31</v>
          </cell>
          <cell r="F387">
            <v>31</v>
          </cell>
          <cell r="G387">
            <v>31</v>
          </cell>
          <cell r="H387">
            <v>23.158999999999999</v>
          </cell>
        </row>
        <row r="388">
          <cell r="A388" t="str">
            <v>CARBUFW</v>
          </cell>
          <cell r="B388" t="str">
            <v>CABLE CAR BUSH FELT WASHER</v>
          </cell>
          <cell r="C388">
            <v>0.68</v>
          </cell>
          <cell r="D388">
            <v>0.85</v>
          </cell>
          <cell r="E388">
            <v>0.85</v>
          </cell>
          <cell r="F388">
            <v>0.85</v>
          </cell>
          <cell r="G388">
            <v>0.85</v>
          </cell>
          <cell r="H388">
            <v>4</v>
          </cell>
        </row>
        <row r="389">
          <cell r="A389" t="str">
            <v>CARBUIN</v>
          </cell>
          <cell r="B389" t="str">
            <v>BUSHES INSULATING SET.FOR CABLE CARS..</v>
          </cell>
          <cell r="C389">
            <v>65</v>
          </cell>
          <cell r="D389">
            <v>65</v>
          </cell>
          <cell r="E389">
            <v>65</v>
          </cell>
          <cell r="F389">
            <v>65</v>
          </cell>
          <cell r="G389">
            <v>65</v>
          </cell>
          <cell r="H389">
            <v>27</v>
          </cell>
        </row>
        <row r="390">
          <cell r="A390" t="str">
            <v>CARCASC</v>
          </cell>
          <cell r="B390" t="str">
            <v>CARABINER FOR CABLEWAY PLATFORM</v>
          </cell>
          <cell r="C390">
            <v>18</v>
          </cell>
          <cell r="D390">
            <v>18</v>
          </cell>
          <cell r="E390">
            <v>18</v>
          </cell>
          <cell r="F390">
            <v>18</v>
          </cell>
          <cell r="G390">
            <v>18</v>
          </cell>
          <cell r="H390">
            <v>13.6</v>
          </cell>
          <cell r="I390">
            <v>40234</v>
          </cell>
        </row>
        <row r="391">
          <cell r="A391" t="str">
            <v>CARCLAD</v>
          </cell>
          <cell r="B391" t="str">
            <v>CABLE CAR CLEAT ADAPTER ASSEMBLY</v>
          </cell>
          <cell r="C391">
            <v>105</v>
          </cell>
          <cell r="D391">
            <v>105</v>
          </cell>
          <cell r="E391">
            <v>105</v>
          </cell>
          <cell r="F391">
            <v>105</v>
          </cell>
          <cell r="G391">
            <v>105</v>
          </cell>
          <cell r="H391">
            <v>80.457999999999998</v>
          </cell>
        </row>
        <row r="392">
          <cell r="A392" t="str">
            <v>CARDASH</v>
          </cell>
          <cell r="B392" t="str">
            <v>DOUBLE ACTION SNAPHOOK FOR CABLEWAY</v>
          </cell>
          <cell r="C392">
            <v>18</v>
          </cell>
          <cell r="D392">
            <v>18</v>
          </cell>
          <cell r="E392">
            <v>18</v>
          </cell>
          <cell r="F392">
            <v>18</v>
          </cell>
          <cell r="G392">
            <v>18</v>
          </cell>
          <cell r="H392">
            <v>13.6</v>
          </cell>
          <cell r="I392">
            <v>40234</v>
          </cell>
        </row>
        <row r="393">
          <cell r="A393" t="str">
            <v>CARMPRC</v>
          </cell>
          <cell r="B393" t="str">
            <v>CABLE CAR MAIN PULLEY (RECONDITIONED)</v>
          </cell>
          <cell r="C393">
            <v>397.95</v>
          </cell>
          <cell r="D393">
            <v>415</v>
          </cell>
          <cell r="E393">
            <v>415</v>
          </cell>
          <cell r="F393">
            <v>415</v>
          </cell>
          <cell r="G393">
            <v>415</v>
          </cell>
          <cell r="H393">
            <v>352.98399999999998</v>
          </cell>
          <cell r="I393">
            <v>40087</v>
          </cell>
        </row>
        <row r="394">
          <cell r="A394" t="str">
            <v>CARPLFP</v>
          </cell>
          <cell r="B394" t="str">
            <v>FOOTPLATE FOR CABLEWAY PLATFORM</v>
          </cell>
          <cell r="C394">
            <v>192</v>
          </cell>
          <cell r="D394">
            <v>192</v>
          </cell>
          <cell r="E394">
            <v>192</v>
          </cell>
          <cell r="F394">
            <v>192</v>
          </cell>
          <cell r="G394">
            <v>192</v>
          </cell>
          <cell r="H394">
            <v>150</v>
          </cell>
          <cell r="I394">
            <v>40241</v>
          </cell>
        </row>
        <row r="395">
          <cell r="A395" t="str">
            <v>CARPLSC</v>
          </cell>
          <cell r="B395" t="str">
            <v>CABLEWAY PLATFORM SAFETY CHAIN</v>
          </cell>
          <cell r="C395">
            <v>85</v>
          </cell>
          <cell r="D395">
            <v>85</v>
          </cell>
          <cell r="E395">
            <v>85</v>
          </cell>
          <cell r="F395">
            <v>85</v>
          </cell>
          <cell r="G395">
            <v>85</v>
          </cell>
          <cell r="H395">
            <v>69.86</v>
          </cell>
          <cell r="I395">
            <v>40241</v>
          </cell>
        </row>
        <row r="396">
          <cell r="A396" t="str">
            <v>CARPULO</v>
          </cell>
          <cell r="B396" t="str">
            <v>CABLE CAR PULLER LONG</v>
          </cell>
          <cell r="C396">
            <v>295</v>
          </cell>
          <cell r="D396">
            <v>365</v>
          </cell>
          <cell r="E396">
            <v>365</v>
          </cell>
          <cell r="F396">
            <v>365</v>
          </cell>
          <cell r="G396">
            <v>365</v>
          </cell>
          <cell r="H396">
            <v>257.40699999999998</v>
          </cell>
          <cell r="I396">
            <v>39883</v>
          </cell>
        </row>
        <row r="397">
          <cell r="A397" t="str">
            <v>CARPURK</v>
          </cell>
          <cell r="B397" t="str">
            <v>CABLE CAR PULLER REPAIR KIT</v>
          </cell>
          <cell r="C397">
            <v>37.15</v>
          </cell>
          <cell r="D397">
            <v>46</v>
          </cell>
          <cell r="E397">
            <v>46</v>
          </cell>
          <cell r="F397">
            <v>46</v>
          </cell>
          <cell r="G397">
            <v>46</v>
          </cell>
          <cell r="H397">
            <v>28</v>
          </cell>
          <cell r="I397">
            <v>39883</v>
          </cell>
        </row>
        <row r="398">
          <cell r="A398" t="str">
            <v>CARSHMP</v>
          </cell>
          <cell r="B398" t="str">
            <v>CABLE CAR MAIN PULLEY SHAFT</v>
          </cell>
          <cell r="C398">
            <v>65</v>
          </cell>
          <cell r="D398">
            <v>65</v>
          </cell>
          <cell r="E398">
            <v>65</v>
          </cell>
          <cell r="F398">
            <v>65</v>
          </cell>
          <cell r="G398">
            <v>65</v>
          </cell>
          <cell r="H398">
            <v>51.84</v>
          </cell>
        </row>
        <row r="399">
          <cell r="A399" t="str">
            <v>CARSPULL</v>
          </cell>
          <cell r="B399" t="str">
            <v>CABLE CAR PULLER  SHORT</v>
          </cell>
          <cell r="C399">
            <v>67</v>
          </cell>
          <cell r="D399">
            <v>67</v>
          </cell>
          <cell r="E399">
            <v>67</v>
          </cell>
          <cell r="F399">
            <v>67</v>
          </cell>
          <cell r="G399">
            <v>67</v>
          </cell>
          <cell r="H399">
            <v>0</v>
          </cell>
        </row>
        <row r="400">
          <cell r="A400" t="str">
            <v>CARSTSA</v>
          </cell>
          <cell r="B400" t="str">
            <v>CABLE CAR SAFETY STRAPS (SET OF 4)</v>
          </cell>
          <cell r="C400">
            <v>250</v>
          </cell>
          <cell r="D400">
            <v>250</v>
          </cell>
          <cell r="E400">
            <v>250</v>
          </cell>
          <cell r="F400">
            <v>250</v>
          </cell>
          <cell r="G400">
            <v>250</v>
          </cell>
          <cell r="H400">
            <v>0</v>
          </cell>
        </row>
        <row r="401">
          <cell r="A401" t="str">
            <v>CASMUME</v>
          </cell>
          <cell r="B401" t="str">
            <v>MUSLIN MEDIUM 7mm</v>
          </cell>
          <cell r="C401">
            <v>3.8</v>
          </cell>
          <cell r="D401">
            <v>3.8</v>
          </cell>
          <cell r="E401">
            <v>3.8</v>
          </cell>
          <cell r="F401">
            <v>3.8</v>
          </cell>
          <cell r="G401">
            <v>3.8</v>
          </cell>
          <cell r="H401">
            <v>2.5499999999999998</v>
          </cell>
        </row>
        <row r="402">
          <cell r="A402" t="str">
            <v>CASMUWI</v>
          </cell>
          <cell r="B402" t="str">
            <v>WICK &amp; MUSLIN KITS FOR THERMOMETERS (WET</v>
          </cell>
          <cell r="C402">
            <v>6</v>
          </cell>
          <cell r="D402">
            <v>6</v>
          </cell>
          <cell r="E402">
            <v>6</v>
          </cell>
          <cell r="F402">
            <v>6</v>
          </cell>
          <cell r="G402">
            <v>6</v>
          </cell>
          <cell r="H402">
            <v>5.3</v>
          </cell>
        </row>
        <row r="403">
          <cell r="A403" t="str">
            <v>CASPEL1</v>
          </cell>
          <cell r="B403" t="str">
            <v>STORM CASE iM2050</v>
          </cell>
          <cell r="C403">
            <v>165</v>
          </cell>
          <cell r="D403">
            <v>165</v>
          </cell>
          <cell r="E403">
            <v>165</v>
          </cell>
          <cell r="F403">
            <v>165</v>
          </cell>
          <cell r="G403">
            <v>165</v>
          </cell>
          <cell r="H403">
            <v>102.15</v>
          </cell>
        </row>
        <row r="404">
          <cell r="A404" t="str">
            <v>CASPEL2</v>
          </cell>
          <cell r="B404" t="str">
            <v>STORMCASE iM2200 381x267x152</v>
          </cell>
          <cell r="C404">
            <v>120</v>
          </cell>
          <cell r="D404">
            <v>120</v>
          </cell>
          <cell r="E404">
            <v>120</v>
          </cell>
          <cell r="F404">
            <v>120</v>
          </cell>
          <cell r="G404">
            <v>120</v>
          </cell>
          <cell r="H404">
            <v>240</v>
          </cell>
        </row>
        <row r="405">
          <cell r="A405" t="str">
            <v>CASPEL3</v>
          </cell>
          <cell r="B405" t="str">
            <v>STORM CASE iM2600 CUBED FOAM</v>
          </cell>
          <cell r="C405">
            <v>470</v>
          </cell>
          <cell r="D405">
            <v>470</v>
          </cell>
          <cell r="E405">
            <v>470</v>
          </cell>
          <cell r="F405">
            <v>470</v>
          </cell>
          <cell r="G405">
            <v>470</v>
          </cell>
          <cell r="H405">
            <v>360</v>
          </cell>
        </row>
        <row r="406">
          <cell r="A406" t="str">
            <v>CASPEL4</v>
          </cell>
          <cell r="B406" t="str">
            <v>CASE  PELICAN 1650</v>
          </cell>
          <cell r="C406">
            <v>855</v>
          </cell>
          <cell r="D406">
            <v>855</v>
          </cell>
          <cell r="E406">
            <v>855</v>
          </cell>
          <cell r="F406">
            <v>855</v>
          </cell>
          <cell r="G406">
            <v>855</v>
          </cell>
          <cell r="H406">
            <v>0</v>
          </cell>
        </row>
        <row r="407">
          <cell r="A407" t="str">
            <v>CASPEL5</v>
          </cell>
          <cell r="B407" t="str">
            <v>STORMCASE IM2450  457x330x213</v>
          </cell>
          <cell r="C407">
            <v>373</v>
          </cell>
          <cell r="D407">
            <v>373</v>
          </cell>
          <cell r="E407">
            <v>373</v>
          </cell>
          <cell r="F407">
            <v>373</v>
          </cell>
          <cell r="G407">
            <v>373</v>
          </cell>
          <cell r="H407">
            <v>288</v>
          </cell>
        </row>
        <row r="408">
          <cell r="A408" t="str">
            <v>CASSPAC</v>
          </cell>
          <cell r="B408" t="str">
            <v>SPACECASE (550x550x310)</v>
          </cell>
          <cell r="C408">
            <v>330</v>
          </cell>
          <cell r="D408">
            <v>330</v>
          </cell>
          <cell r="E408">
            <v>330</v>
          </cell>
          <cell r="F408">
            <v>330</v>
          </cell>
          <cell r="G408">
            <v>330</v>
          </cell>
          <cell r="H408">
            <v>250</v>
          </cell>
        </row>
        <row r="409">
          <cell r="A409" t="str">
            <v>CELLMODU</v>
          </cell>
          <cell r="B409" t="str">
            <v>CELLPHONE MODULE COMPLETE</v>
          </cell>
          <cell r="C409">
            <v>0.05</v>
          </cell>
          <cell r="D409">
            <v>0.05</v>
          </cell>
          <cell r="E409">
            <v>0.05</v>
          </cell>
          <cell r="F409">
            <v>0.05</v>
          </cell>
          <cell r="G409">
            <v>0.05</v>
          </cell>
          <cell r="H409">
            <v>0</v>
          </cell>
        </row>
        <row r="410">
          <cell r="A410" t="str">
            <v>CELPCBS</v>
          </cell>
          <cell r="B410" t="str">
            <v>PCB.CELLPHONE MODULE SWITCHER</v>
          </cell>
          <cell r="C410">
            <v>126</v>
          </cell>
          <cell r="D410">
            <v>126</v>
          </cell>
          <cell r="E410">
            <v>126</v>
          </cell>
          <cell r="F410">
            <v>126</v>
          </cell>
          <cell r="G410">
            <v>126</v>
          </cell>
          <cell r="H410">
            <v>0</v>
          </cell>
        </row>
        <row r="411">
          <cell r="A411" t="str">
            <v>CHAEDR1</v>
          </cell>
          <cell r="B411" t="str">
            <v>CHART(ROLL) CASIO CPM36 FOR EDR PRINTER.</v>
          </cell>
          <cell r="C411">
            <v>24.84</v>
          </cell>
          <cell r="D411">
            <v>24.84</v>
          </cell>
          <cell r="E411">
            <v>24.84</v>
          </cell>
          <cell r="F411">
            <v>24.84</v>
          </cell>
          <cell r="G411">
            <v>24.84</v>
          </cell>
          <cell r="H411">
            <v>0</v>
          </cell>
        </row>
        <row r="412">
          <cell r="A412" t="str">
            <v>CHAFM10</v>
          </cell>
          <cell r="B412" t="str">
            <v>CHART FOXBORO 0-100 MTHLY(31 DAY) #89N41</v>
          </cell>
          <cell r="C412">
            <v>54</v>
          </cell>
          <cell r="D412">
            <v>54</v>
          </cell>
          <cell r="E412">
            <v>54</v>
          </cell>
          <cell r="F412">
            <v>54</v>
          </cell>
          <cell r="G412">
            <v>54</v>
          </cell>
          <cell r="H412">
            <v>41</v>
          </cell>
        </row>
        <row r="413">
          <cell r="A413" t="str">
            <v>CHAFM12</v>
          </cell>
          <cell r="B413" t="str">
            <v>CHART FOXBORO 0-120 MTHLY(31 DAY) #89N40</v>
          </cell>
          <cell r="C413">
            <v>45</v>
          </cell>
          <cell r="D413">
            <v>45</v>
          </cell>
          <cell r="E413">
            <v>45</v>
          </cell>
          <cell r="F413">
            <v>45</v>
          </cell>
          <cell r="G413">
            <v>45</v>
          </cell>
          <cell r="H413">
            <v>0</v>
          </cell>
        </row>
        <row r="414">
          <cell r="A414" t="str">
            <v>CHAFM15</v>
          </cell>
          <cell r="B414" t="str">
            <v>CHART FOXBORO 0-1500MTHLY (31 DAY) #89N6</v>
          </cell>
          <cell r="C414">
            <v>54</v>
          </cell>
          <cell r="D414">
            <v>54</v>
          </cell>
          <cell r="E414">
            <v>54</v>
          </cell>
          <cell r="F414">
            <v>54</v>
          </cell>
          <cell r="G414">
            <v>54</v>
          </cell>
          <cell r="H414">
            <v>0</v>
          </cell>
        </row>
        <row r="415">
          <cell r="A415" t="str">
            <v>CHAFM20</v>
          </cell>
          <cell r="B415" t="str">
            <v>CHART FOXBORO 0-20 MTHLY(31 DAY) #85N050</v>
          </cell>
          <cell r="C415">
            <v>37</v>
          </cell>
          <cell r="D415">
            <v>37</v>
          </cell>
          <cell r="E415">
            <v>37</v>
          </cell>
          <cell r="F415">
            <v>37</v>
          </cell>
          <cell r="G415">
            <v>37</v>
          </cell>
          <cell r="H415">
            <v>0</v>
          </cell>
        </row>
        <row r="416">
          <cell r="A416" t="str">
            <v>CHAFM50</v>
          </cell>
          <cell r="B416" t="str">
            <v>CHART FOXBORO 0-500 MTHLY(31 DAY) 89N439</v>
          </cell>
          <cell r="C416">
            <v>40.950000000000003</v>
          </cell>
          <cell r="D416">
            <v>50.7</v>
          </cell>
          <cell r="E416">
            <v>50.7</v>
          </cell>
          <cell r="F416">
            <v>50.7</v>
          </cell>
          <cell r="G416">
            <v>50.7</v>
          </cell>
          <cell r="H416">
            <v>28</v>
          </cell>
          <cell r="I416">
            <v>39883</v>
          </cell>
        </row>
        <row r="417">
          <cell r="A417" t="str">
            <v>CHAFM60</v>
          </cell>
          <cell r="B417" t="str">
            <v>CHART, FOXBORO 0-60 (31 DAY)</v>
          </cell>
          <cell r="C417">
            <v>54</v>
          </cell>
          <cell r="D417">
            <v>54</v>
          </cell>
          <cell r="E417">
            <v>54</v>
          </cell>
          <cell r="F417">
            <v>54</v>
          </cell>
          <cell r="G417">
            <v>54</v>
          </cell>
          <cell r="H417">
            <v>36</v>
          </cell>
        </row>
        <row r="418">
          <cell r="A418" t="str">
            <v>CHAFW05</v>
          </cell>
          <cell r="B418" t="str">
            <v>CHART FOXBORO 0-5 WEEKLY(7 DAY) #899627</v>
          </cell>
          <cell r="C418">
            <v>30.5</v>
          </cell>
          <cell r="D418">
            <v>30.5</v>
          </cell>
          <cell r="E418">
            <v>30.5</v>
          </cell>
          <cell r="F418">
            <v>30.5</v>
          </cell>
          <cell r="G418">
            <v>30.5</v>
          </cell>
          <cell r="H418">
            <v>0</v>
          </cell>
        </row>
        <row r="419">
          <cell r="A419" t="str">
            <v>CHAFW08</v>
          </cell>
          <cell r="B419" t="str">
            <v>CHART FOXBORO 0-8 WEEKLY(7 DAY) #899731</v>
          </cell>
          <cell r="C419">
            <v>30.5</v>
          </cell>
          <cell r="D419">
            <v>30.5</v>
          </cell>
          <cell r="E419">
            <v>30.5</v>
          </cell>
          <cell r="F419">
            <v>30.5</v>
          </cell>
          <cell r="G419">
            <v>30.5</v>
          </cell>
          <cell r="H419">
            <v>0</v>
          </cell>
        </row>
        <row r="420">
          <cell r="A420" t="str">
            <v>CHAFW30</v>
          </cell>
          <cell r="B420" t="str">
            <v>CHART FOXBORO 0-30 WEEKLY(7 DAY) #899450</v>
          </cell>
          <cell r="C420">
            <v>30.5</v>
          </cell>
          <cell r="D420">
            <v>30.5</v>
          </cell>
          <cell r="E420">
            <v>30.5</v>
          </cell>
          <cell r="F420">
            <v>30.5</v>
          </cell>
          <cell r="G420">
            <v>30.5</v>
          </cell>
          <cell r="H420">
            <v>0</v>
          </cell>
        </row>
        <row r="421">
          <cell r="A421" t="str">
            <v>CHAFW40</v>
          </cell>
          <cell r="B421" t="str">
            <v>CHART FOXBORO 0-40 WEEKLY(7 DAY) #899491</v>
          </cell>
          <cell r="C421">
            <v>30.5</v>
          </cell>
          <cell r="D421">
            <v>30.5</v>
          </cell>
          <cell r="E421">
            <v>30.5</v>
          </cell>
          <cell r="F421">
            <v>30.5</v>
          </cell>
          <cell r="G421">
            <v>30.5</v>
          </cell>
          <cell r="H421">
            <v>0</v>
          </cell>
        </row>
        <row r="422">
          <cell r="A422" t="str">
            <v>CHAFW60</v>
          </cell>
          <cell r="B422" t="str">
            <v>CHART FOXBORO 0-60 WEEKLY(7 DAY) #899481</v>
          </cell>
          <cell r="C422">
            <v>30.5</v>
          </cell>
          <cell r="D422">
            <v>30.5</v>
          </cell>
          <cell r="E422">
            <v>30.5</v>
          </cell>
          <cell r="F422">
            <v>30.5</v>
          </cell>
          <cell r="G422">
            <v>30.5</v>
          </cell>
          <cell r="H422">
            <v>0</v>
          </cell>
        </row>
        <row r="423">
          <cell r="A423" t="str">
            <v>CHAIN-M8</v>
          </cell>
          <cell r="B423" t="str">
            <v>CHAIN 8mm GALV 50mm LINK</v>
          </cell>
          <cell r="C423">
            <v>13.4</v>
          </cell>
          <cell r="D423">
            <v>13.4</v>
          </cell>
          <cell r="E423">
            <v>13.4</v>
          </cell>
          <cell r="F423">
            <v>13.4</v>
          </cell>
          <cell r="G423">
            <v>13.4</v>
          </cell>
          <cell r="H423">
            <v>4.5</v>
          </cell>
        </row>
        <row r="424">
          <cell r="A424" t="str">
            <v>CHALA10</v>
          </cell>
          <cell r="B424" t="str">
            <v>CHART LAMBRECHT ANEMOGRAPH (1482)</v>
          </cell>
          <cell r="C424">
            <v>60</v>
          </cell>
          <cell r="D424">
            <v>60</v>
          </cell>
          <cell r="E424">
            <v>60</v>
          </cell>
          <cell r="F424">
            <v>60</v>
          </cell>
          <cell r="G424">
            <v>60</v>
          </cell>
          <cell r="H424">
            <v>45</v>
          </cell>
        </row>
        <row r="425">
          <cell r="A425" t="str">
            <v>CHALRF1</v>
          </cell>
          <cell r="B425" t="str">
            <v>CHART.RAINFALL.LAMBBRECHT. #1509-10. (10</v>
          </cell>
          <cell r="C425">
            <v>11.25</v>
          </cell>
          <cell r="D425">
            <v>11.25</v>
          </cell>
          <cell r="E425">
            <v>11.25</v>
          </cell>
          <cell r="F425">
            <v>11.25</v>
          </cell>
          <cell r="G425">
            <v>11.25</v>
          </cell>
          <cell r="H425">
            <v>0</v>
          </cell>
        </row>
        <row r="426">
          <cell r="A426" t="str">
            <v>CHAMUAN</v>
          </cell>
          <cell r="B426" t="str">
            <v>CHART ANMEOGRAPH MUNRO #30A1</v>
          </cell>
          <cell r="C426">
            <v>37.5</v>
          </cell>
          <cell r="D426">
            <v>37.5</v>
          </cell>
          <cell r="E426">
            <v>37.5</v>
          </cell>
          <cell r="F426">
            <v>37.5</v>
          </cell>
          <cell r="G426">
            <v>37.5</v>
          </cell>
          <cell r="H426">
            <v>0</v>
          </cell>
        </row>
        <row r="427">
          <cell r="A427" t="str">
            <v>CHARGEM</v>
          </cell>
          <cell r="B427" t="str">
            <v>OXFORD 360T MAXIMISER CHARGER</v>
          </cell>
          <cell r="C427">
            <v>150</v>
          </cell>
          <cell r="D427">
            <v>175</v>
          </cell>
          <cell r="E427">
            <v>175</v>
          </cell>
          <cell r="F427">
            <v>175</v>
          </cell>
          <cell r="G427">
            <v>175</v>
          </cell>
          <cell r="H427">
            <v>125.042</v>
          </cell>
        </row>
        <row r="428">
          <cell r="A428" t="str">
            <v>CHARGEP</v>
          </cell>
          <cell r="B428" t="str">
            <v>BATTERY CHARGER POWERTECH</v>
          </cell>
          <cell r="C428">
            <v>15</v>
          </cell>
          <cell r="D428">
            <v>15</v>
          </cell>
          <cell r="E428">
            <v>15</v>
          </cell>
          <cell r="F428">
            <v>15</v>
          </cell>
          <cell r="G428">
            <v>15</v>
          </cell>
          <cell r="H428">
            <v>13.574999999999999</v>
          </cell>
        </row>
        <row r="429">
          <cell r="A429" t="str">
            <v>CHAST02</v>
          </cell>
          <cell r="B429" t="str">
            <v>CHART TAPE PAPER FOIL BACKED 2 MINUTE...</v>
          </cell>
          <cell r="C429">
            <v>39</v>
          </cell>
          <cell r="D429">
            <v>39</v>
          </cell>
          <cell r="E429">
            <v>39</v>
          </cell>
          <cell r="F429">
            <v>39</v>
          </cell>
          <cell r="G429">
            <v>39</v>
          </cell>
          <cell r="H429">
            <v>0</v>
          </cell>
        </row>
        <row r="430">
          <cell r="A430" t="str">
            <v>CHAST05</v>
          </cell>
          <cell r="B430" t="str">
            <v>CHART TAPE PAPER FOIL BACKED 5 MINUTE.</v>
          </cell>
          <cell r="C430">
            <v>39</v>
          </cell>
          <cell r="D430">
            <v>39</v>
          </cell>
          <cell r="E430">
            <v>39</v>
          </cell>
          <cell r="F430">
            <v>39</v>
          </cell>
          <cell r="G430">
            <v>39</v>
          </cell>
          <cell r="H430">
            <v>0</v>
          </cell>
        </row>
        <row r="431">
          <cell r="A431" t="str">
            <v>CHASUNE</v>
          </cell>
          <cell r="B431" t="str">
            <v>CARD SUN EQUINOCTIAL PT #FM 4123.0 (PKT</v>
          </cell>
          <cell r="C431">
            <v>91</v>
          </cell>
          <cell r="D431">
            <v>91</v>
          </cell>
          <cell r="E431">
            <v>91</v>
          </cell>
          <cell r="F431">
            <v>91</v>
          </cell>
          <cell r="G431">
            <v>91</v>
          </cell>
          <cell r="H431">
            <v>51.856000000000002</v>
          </cell>
        </row>
        <row r="432">
          <cell r="A432" t="str">
            <v>CHASUNS</v>
          </cell>
          <cell r="B432" t="str">
            <v>CARD SUN.SUMMER. PT No.FM 4121.0 (PKT 10</v>
          </cell>
          <cell r="C432">
            <v>91</v>
          </cell>
          <cell r="D432">
            <v>91</v>
          </cell>
          <cell r="E432">
            <v>91</v>
          </cell>
          <cell r="F432">
            <v>91</v>
          </cell>
          <cell r="G432">
            <v>91</v>
          </cell>
          <cell r="H432">
            <v>51.856000000000002</v>
          </cell>
        </row>
        <row r="433">
          <cell r="A433" t="str">
            <v>CHASUNW</v>
          </cell>
          <cell r="B433" t="str">
            <v>CARD SUN.WINTER. PT No.FM 4122.0 (PKT 10</v>
          </cell>
          <cell r="C433">
            <v>91</v>
          </cell>
          <cell r="D433">
            <v>91</v>
          </cell>
          <cell r="E433">
            <v>91</v>
          </cell>
          <cell r="F433">
            <v>91</v>
          </cell>
          <cell r="G433">
            <v>91</v>
          </cell>
          <cell r="H433">
            <v>51.856000000000002</v>
          </cell>
        </row>
        <row r="434">
          <cell r="A434" t="str">
            <v>CHEMC16</v>
          </cell>
          <cell r="B434" t="str">
            <v>CHEMSET MAXIMA SPIN CAPSULE</v>
          </cell>
          <cell r="C434">
            <v>10</v>
          </cell>
          <cell r="D434">
            <v>10</v>
          </cell>
          <cell r="E434">
            <v>10</v>
          </cell>
          <cell r="F434">
            <v>10</v>
          </cell>
          <cell r="G434">
            <v>10</v>
          </cell>
          <cell r="H434">
            <v>7.1</v>
          </cell>
        </row>
        <row r="435">
          <cell r="A435" t="str">
            <v>CHEMM16</v>
          </cell>
          <cell r="B435" t="str">
            <v>CHEMSET ANCHOR STUDS M16x190mm</v>
          </cell>
          <cell r="C435">
            <v>5</v>
          </cell>
          <cell r="D435">
            <v>5</v>
          </cell>
          <cell r="E435">
            <v>5</v>
          </cell>
          <cell r="F435">
            <v>5</v>
          </cell>
          <cell r="G435">
            <v>5</v>
          </cell>
          <cell r="H435">
            <v>3.85</v>
          </cell>
        </row>
        <row r="436">
          <cell r="A436" t="str">
            <v>CO-01CONC</v>
          </cell>
          <cell r="B436" t="str">
            <v>CONNECTOR CRIMP</v>
          </cell>
          <cell r="C436">
            <v>1.1000000000000001</v>
          </cell>
          <cell r="D436">
            <v>1.5</v>
          </cell>
          <cell r="E436">
            <v>1.5</v>
          </cell>
          <cell r="F436">
            <v>1.5</v>
          </cell>
          <cell r="G436">
            <v>1.5</v>
          </cell>
          <cell r="H436">
            <v>0.59099999999999997</v>
          </cell>
        </row>
        <row r="437">
          <cell r="A437" t="str">
            <v>CO-01DPT</v>
          </cell>
          <cell r="B437" t="str">
            <v>PIN CRIMP. D RANGE AMPHENOL PLUG</v>
          </cell>
          <cell r="C437">
            <v>0.8</v>
          </cell>
          <cell r="D437">
            <v>0.8</v>
          </cell>
          <cell r="E437">
            <v>0.8</v>
          </cell>
          <cell r="F437">
            <v>0.8</v>
          </cell>
          <cell r="G437">
            <v>0.8</v>
          </cell>
          <cell r="H437">
            <v>0.9</v>
          </cell>
        </row>
        <row r="438">
          <cell r="A438" t="str">
            <v>CO-01DSC</v>
          </cell>
          <cell r="B438" t="str">
            <v>TERMINAL CRIMP SOCKET</v>
          </cell>
          <cell r="C438">
            <v>0.95</v>
          </cell>
          <cell r="D438">
            <v>0.95</v>
          </cell>
          <cell r="E438">
            <v>0.95</v>
          </cell>
          <cell r="F438">
            <v>0.95</v>
          </cell>
          <cell r="G438">
            <v>0.95</v>
          </cell>
          <cell r="H438">
            <v>0</v>
          </cell>
        </row>
        <row r="439">
          <cell r="A439" t="str">
            <v>CO-01ISA</v>
          </cell>
          <cell r="B439" t="str">
            <v>SOCKET INSERT (F-M LARGE)</v>
          </cell>
          <cell r="C439">
            <v>0.65</v>
          </cell>
          <cell r="D439">
            <v>0.65</v>
          </cell>
          <cell r="E439">
            <v>0.65</v>
          </cell>
          <cell r="F439">
            <v>0.65</v>
          </cell>
          <cell r="G439">
            <v>0.65</v>
          </cell>
          <cell r="H439">
            <v>0.38</v>
          </cell>
        </row>
        <row r="440">
          <cell r="A440" t="str">
            <v>CO-01ISS</v>
          </cell>
          <cell r="B440" t="str">
            <v>SOCKET INSERT(F-M SMALL)</v>
          </cell>
          <cell r="C440">
            <v>0.2</v>
          </cell>
          <cell r="D440">
            <v>0.2</v>
          </cell>
          <cell r="E440">
            <v>0.2</v>
          </cell>
          <cell r="F440">
            <v>0.2</v>
          </cell>
          <cell r="G440">
            <v>0.2</v>
          </cell>
          <cell r="H440">
            <v>0.10299999999999999</v>
          </cell>
        </row>
        <row r="441">
          <cell r="A441" t="str">
            <v>CO-01JUL</v>
          </cell>
          <cell r="B441" t="str">
            <v>LINK JUMPER</v>
          </cell>
          <cell r="C441">
            <v>1.1499999999999999</v>
          </cell>
          <cell r="D441">
            <v>1.1499999999999999</v>
          </cell>
          <cell r="E441">
            <v>1.1499999999999999</v>
          </cell>
          <cell r="F441">
            <v>1.1499999999999999</v>
          </cell>
          <cell r="G441">
            <v>1.1499999999999999</v>
          </cell>
          <cell r="H441">
            <v>0.38900000000000001</v>
          </cell>
        </row>
        <row r="442">
          <cell r="A442" t="str">
            <v>CO-05PDI</v>
          </cell>
          <cell r="B442" t="str">
            <v>PLUG 5 PIN DIN 180 DEGREE DELTRON</v>
          </cell>
          <cell r="C442">
            <v>4.05</v>
          </cell>
          <cell r="D442">
            <v>4.05</v>
          </cell>
          <cell r="E442">
            <v>4.05</v>
          </cell>
          <cell r="F442">
            <v>4.05</v>
          </cell>
          <cell r="G442">
            <v>4.05</v>
          </cell>
          <cell r="H442">
            <v>3.52</v>
          </cell>
        </row>
        <row r="443">
          <cell r="A443" t="str">
            <v>CO-08ICM</v>
          </cell>
          <cell r="B443" t="str">
            <v>IC SOCKET 8 WAY</v>
          </cell>
          <cell r="C443">
            <v>1.21</v>
          </cell>
          <cell r="D443">
            <v>1.21</v>
          </cell>
          <cell r="E443">
            <v>1.21</v>
          </cell>
          <cell r="F443">
            <v>1.21</v>
          </cell>
          <cell r="G443">
            <v>1.21</v>
          </cell>
          <cell r="H443">
            <v>0.4</v>
          </cell>
        </row>
        <row r="444">
          <cell r="A444" t="str">
            <v>CO-09DBS</v>
          </cell>
          <cell r="B444" t="str">
            <v>BACK SHELL  9 WAY</v>
          </cell>
          <cell r="C444">
            <v>1.85</v>
          </cell>
          <cell r="D444">
            <v>1.85</v>
          </cell>
          <cell r="E444">
            <v>1.85</v>
          </cell>
          <cell r="F444">
            <v>1.85</v>
          </cell>
          <cell r="G444">
            <v>1.85</v>
          </cell>
          <cell r="H444">
            <v>1.36</v>
          </cell>
        </row>
        <row r="445">
          <cell r="A445" t="str">
            <v>CO-09DPC</v>
          </cell>
          <cell r="B445" t="str">
            <v>PLUG D9</v>
          </cell>
          <cell r="C445">
            <v>5</v>
          </cell>
          <cell r="D445">
            <v>5</v>
          </cell>
          <cell r="E445">
            <v>5</v>
          </cell>
          <cell r="F445">
            <v>5</v>
          </cell>
          <cell r="G445">
            <v>5</v>
          </cell>
          <cell r="H445">
            <v>8.9</v>
          </cell>
        </row>
        <row r="446">
          <cell r="A446" t="str">
            <v>CO-09DRS</v>
          </cell>
          <cell r="B446" t="str">
            <v>SOCKET 9 WAY D TYPE</v>
          </cell>
          <cell r="C446">
            <v>3.1</v>
          </cell>
          <cell r="D446">
            <v>3.1</v>
          </cell>
          <cell r="E446">
            <v>3.1</v>
          </cell>
          <cell r="F446">
            <v>3.1</v>
          </cell>
          <cell r="G446">
            <v>3.1</v>
          </cell>
          <cell r="H446">
            <v>2.5</v>
          </cell>
        </row>
        <row r="447">
          <cell r="A447" t="str">
            <v>CO-09DST</v>
          </cell>
          <cell r="B447" t="str">
            <v>SOCKET D9 F-M SHELL</v>
          </cell>
          <cell r="C447">
            <v>5.75</v>
          </cell>
          <cell r="D447">
            <v>5.75</v>
          </cell>
          <cell r="E447">
            <v>5.75</v>
          </cell>
          <cell r="F447">
            <v>5.75</v>
          </cell>
          <cell r="G447">
            <v>5.75</v>
          </cell>
          <cell r="H447">
            <v>3.831</v>
          </cell>
        </row>
        <row r="448">
          <cell r="A448" t="str">
            <v>CO-10IDS</v>
          </cell>
          <cell r="B448" t="str">
            <v>SOCKET 10 WAY IDS c/w STRAIN RELIEF</v>
          </cell>
          <cell r="C448">
            <v>0.7</v>
          </cell>
          <cell r="D448">
            <v>0.7</v>
          </cell>
          <cell r="E448">
            <v>0.7</v>
          </cell>
          <cell r="F448">
            <v>0.7</v>
          </cell>
          <cell r="G448">
            <v>0.7</v>
          </cell>
          <cell r="H448">
            <v>0</v>
          </cell>
        </row>
        <row r="449">
          <cell r="A449" t="str">
            <v>CO-10PDL</v>
          </cell>
          <cell r="B449" t="str">
            <v>PLACTIC STRIP 'PDL' 150</v>
          </cell>
          <cell r="C449">
            <v>7</v>
          </cell>
          <cell r="D449">
            <v>7</v>
          </cell>
          <cell r="E449">
            <v>7</v>
          </cell>
          <cell r="F449">
            <v>7</v>
          </cell>
          <cell r="G449">
            <v>7</v>
          </cell>
          <cell r="H449">
            <v>6.149</v>
          </cell>
        </row>
        <row r="450">
          <cell r="A450" t="str">
            <v>CO-15DBS</v>
          </cell>
          <cell r="B450" t="str">
            <v>BACK SHELL  15 WAY</v>
          </cell>
          <cell r="C450">
            <v>2.5</v>
          </cell>
          <cell r="D450">
            <v>2.5</v>
          </cell>
          <cell r="E450">
            <v>2.5</v>
          </cell>
          <cell r="F450">
            <v>2.5</v>
          </cell>
          <cell r="G450">
            <v>2.5</v>
          </cell>
          <cell r="H450">
            <v>0.54</v>
          </cell>
        </row>
        <row r="451">
          <cell r="A451" t="str">
            <v>CO-15DPC</v>
          </cell>
          <cell r="B451" t="str">
            <v>PLUG D  15 WAY</v>
          </cell>
          <cell r="C451">
            <v>6</v>
          </cell>
          <cell r="D451">
            <v>6</v>
          </cell>
          <cell r="E451">
            <v>6</v>
          </cell>
          <cell r="F451">
            <v>6</v>
          </cell>
          <cell r="G451">
            <v>6</v>
          </cell>
          <cell r="H451">
            <v>2</v>
          </cell>
        </row>
        <row r="452">
          <cell r="A452" t="str">
            <v>CO-20ICM</v>
          </cell>
          <cell r="B452" t="str">
            <v>IC SOCKET  20 WAY</v>
          </cell>
          <cell r="C452">
            <v>2.2999999999999998</v>
          </cell>
          <cell r="D452">
            <v>2.2999999999999998</v>
          </cell>
          <cell r="E452">
            <v>2.2999999999999998</v>
          </cell>
          <cell r="F452">
            <v>2.2999999999999998</v>
          </cell>
          <cell r="G452">
            <v>2.2999999999999998</v>
          </cell>
          <cell r="H452">
            <v>0.7</v>
          </cell>
        </row>
        <row r="453">
          <cell r="A453" t="str">
            <v>CO-20IDCF</v>
          </cell>
          <cell r="B453" t="str">
            <v>HEADER PLUG 20 PIN FEMALE</v>
          </cell>
          <cell r="C453">
            <v>2</v>
          </cell>
          <cell r="D453">
            <v>2</v>
          </cell>
          <cell r="E453">
            <v>2</v>
          </cell>
          <cell r="F453">
            <v>2</v>
          </cell>
          <cell r="G453">
            <v>2</v>
          </cell>
          <cell r="H453">
            <v>1.24</v>
          </cell>
        </row>
        <row r="454">
          <cell r="A454" t="str">
            <v>CO-20IDL</v>
          </cell>
          <cell r="B454" t="str">
            <v>HEADER 20 PIN LOW PROFILE</v>
          </cell>
          <cell r="C454">
            <v>2</v>
          </cell>
          <cell r="D454">
            <v>2</v>
          </cell>
          <cell r="E454">
            <v>2</v>
          </cell>
          <cell r="F454">
            <v>2</v>
          </cell>
          <cell r="G454">
            <v>2</v>
          </cell>
          <cell r="H454">
            <v>0</v>
          </cell>
        </row>
        <row r="455">
          <cell r="A455" t="str">
            <v>CO-20IDP</v>
          </cell>
          <cell r="B455" t="str">
            <v>IC PLUG  20 WAY DIL</v>
          </cell>
          <cell r="C455">
            <v>7</v>
          </cell>
          <cell r="D455">
            <v>7</v>
          </cell>
          <cell r="E455">
            <v>7</v>
          </cell>
          <cell r="F455">
            <v>7</v>
          </cell>
          <cell r="G455">
            <v>7</v>
          </cell>
          <cell r="H455">
            <v>2</v>
          </cell>
        </row>
        <row r="456">
          <cell r="A456" t="str">
            <v>CO-36IDH</v>
          </cell>
          <cell r="B456" t="str">
            <v>HEADER  IDH 36 WAY</v>
          </cell>
          <cell r="C456">
            <v>4</v>
          </cell>
          <cell r="D456">
            <v>4</v>
          </cell>
          <cell r="E456">
            <v>4</v>
          </cell>
          <cell r="F456">
            <v>4</v>
          </cell>
          <cell r="G456">
            <v>4</v>
          </cell>
          <cell r="H456">
            <v>0</v>
          </cell>
        </row>
        <row r="457">
          <cell r="A457" t="str">
            <v>CO-40HTS</v>
          </cell>
          <cell r="B457" t="str">
            <v>HEADER TERMINAL STIP 40 WAY</v>
          </cell>
          <cell r="C457">
            <v>0.5</v>
          </cell>
          <cell r="D457">
            <v>0.5</v>
          </cell>
          <cell r="E457">
            <v>0.5</v>
          </cell>
          <cell r="F457">
            <v>0.5</v>
          </cell>
          <cell r="G457">
            <v>0.5</v>
          </cell>
          <cell r="H457">
            <v>0.51</v>
          </cell>
        </row>
        <row r="458">
          <cell r="A458" t="str">
            <v>CO-40ICM</v>
          </cell>
          <cell r="B458" t="str">
            <v>IC SOCKET  40 WAY</v>
          </cell>
          <cell r="C458">
            <v>2.95</v>
          </cell>
          <cell r="D458">
            <v>2.95</v>
          </cell>
          <cell r="E458">
            <v>2.95</v>
          </cell>
          <cell r="F458">
            <v>2.95</v>
          </cell>
          <cell r="G458">
            <v>2.95</v>
          </cell>
          <cell r="H458">
            <v>1.9</v>
          </cell>
        </row>
        <row r="459">
          <cell r="A459" t="str">
            <v>CO-ALIGATORL</v>
          </cell>
          <cell r="B459" t="str">
            <v>ALLIGATOR CLIP LARGE</v>
          </cell>
          <cell r="C459">
            <v>0.24</v>
          </cell>
          <cell r="D459">
            <v>0.24</v>
          </cell>
          <cell r="E459">
            <v>0.24</v>
          </cell>
          <cell r="F459">
            <v>0.24</v>
          </cell>
          <cell r="G459">
            <v>0.24</v>
          </cell>
          <cell r="H459">
            <v>0</v>
          </cell>
        </row>
        <row r="460">
          <cell r="A460" t="str">
            <v>CO-DSHACK6</v>
          </cell>
          <cell r="B460" t="str">
            <v>D SHACKLE  GLAVANISED 6mm</v>
          </cell>
          <cell r="C460">
            <v>1.5</v>
          </cell>
          <cell r="D460">
            <v>1.5</v>
          </cell>
          <cell r="E460">
            <v>1.5</v>
          </cell>
          <cell r="F460">
            <v>1.5</v>
          </cell>
          <cell r="G460">
            <v>1.5</v>
          </cell>
          <cell r="H460">
            <v>1</v>
          </cell>
        </row>
        <row r="461">
          <cell r="A461" t="str">
            <v>CO-FEOR</v>
          </cell>
          <cell r="B461" t="str">
            <v>FERRULES ORANGE  (WEIDMULLER)</v>
          </cell>
          <cell r="C461">
            <v>0.1</v>
          </cell>
          <cell r="D461">
            <v>0.1</v>
          </cell>
          <cell r="E461">
            <v>0.1</v>
          </cell>
          <cell r="F461">
            <v>0.1</v>
          </cell>
          <cell r="G461">
            <v>0.1</v>
          </cell>
          <cell r="H461">
            <v>7.0000000000000007E-2</v>
          </cell>
          <cell r="I461">
            <v>40299</v>
          </cell>
        </row>
        <row r="462">
          <cell r="A462" t="str">
            <v>CO-FEWH</v>
          </cell>
          <cell r="B462" t="str">
            <v>FERRULES  WHITE (WEIDMULLER)</v>
          </cell>
          <cell r="C462">
            <v>0.18</v>
          </cell>
          <cell r="D462">
            <v>0.18</v>
          </cell>
          <cell r="E462">
            <v>0.18</v>
          </cell>
          <cell r="F462">
            <v>0.18</v>
          </cell>
          <cell r="G462">
            <v>0.18</v>
          </cell>
          <cell r="H462">
            <v>0</v>
          </cell>
        </row>
        <row r="463">
          <cell r="A463" t="str">
            <v>CO-T1532</v>
          </cell>
          <cell r="B463" t="str">
            <v>TERMINAL FORK 3mm</v>
          </cell>
          <cell r="C463">
            <v>20</v>
          </cell>
          <cell r="D463">
            <v>20</v>
          </cell>
          <cell r="E463">
            <v>20</v>
          </cell>
          <cell r="F463">
            <v>20</v>
          </cell>
          <cell r="G463">
            <v>20</v>
          </cell>
          <cell r="H463">
            <v>0</v>
          </cell>
        </row>
        <row r="464">
          <cell r="A464" t="str">
            <v>CO-T4685</v>
          </cell>
          <cell r="B464" t="str">
            <v>TERMINAL  CRIMP 8.5mm ID HOLE</v>
          </cell>
          <cell r="C464">
            <v>0.65</v>
          </cell>
          <cell r="D464">
            <v>0.65</v>
          </cell>
          <cell r="E464">
            <v>0.65</v>
          </cell>
          <cell r="F464">
            <v>0.65</v>
          </cell>
          <cell r="G464">
            <v>0.65</v>
          </cell>
          <cell r="H464">
            <v>0.32300000000000001</v>
          </cell>
        </row>
        <row r="465">
          <cell r="A465" t="str">
            <v>CO-UTBAT6.3</v>
          </cell>
          <cell r="B465" t="str">
            <v>TERMINAL UTILUX 6.3mm (PK OF 100)</v>
          </cell>
          <cell r="C465">
            <v>0.16500000000000001</v>
          </cell>
          <cell r="D465">
            <v>0.20499999999999999</v>
          </cell>
          <cell r="E465">
            <v>0.20499999999999999</v>
          </cell>
          <cell r="F465">
            <v>0.20499999999999999</v>
          </cell>
          <cell r="G465">
            <v>0.20499999999999999</v>
          </cell>
          <cell r="H465">
            <v>0.157</v>
          </cell>
          <cell r="I465">
            <v>40200</v>
          </cell>
        </row>
        <row r="466">
          <cell r="A466" t="str">
            <v>CO-UTIF</v>
          </cell>
          <cell r="B466" t="str">
            <v>TERMINAL UTILUX CRIMP F-M SPADE TYPE</v>
          </cell>
          <cell r="C466">
            <v>0.3</v>
          </cell>
          <cell r="D466">
            <v>0.3</v>
          </cell>
          <cell r="E466">
            <v>0.3</v>
          </cell>
          <cell r="F466">
            <v>0.3</v>
          </cell>
          <cell r="G466">
            <v>0.3</v>
          </cell>
          <cell r="H466">
            <v>0.14000000000000001</v>
          </cell>
        </row>
        <row r="467">
          <cell r="A467" t="str">
            <v>CO01ACB</v>
          </cell>
          <cell r="B467" t="str">
            <v>CONNECTOR CROCODILE CLIP  BLACK</v>
          </cell>
          <cell r="C467">
            <v>1.3</v>
          </cell>
          <cell r="D467">
            <v>1.3</v>
          </cell>
          <cell r="E467">
            <v>1.3</v>
          </cell>
          <cell r="F467">
            <v>1.3</v>
          </cell>
          <cell r="G467">
            <v>1.3</v>
          </cell>
          <cell r="H467">
            <v>2.2050000000000001</v>
          </cell>
        </row>
        <row r="468">
          <cell r="A468" t="str">
            <v>CO01ACR</v>
          </cell>
          <cell r="B468" t="str">
            <v>CONNECTOR CROCODILE CLIP RED</v>
          </cell>
          <cell r="C468">
            <v>3</v>
          </cell>
          <cell r="D468">
            <v>3</v>
          </cell>
          <cell r="E468">
            <v>3</v>
          </cell>
          <cell r="F468">
            <v>3</v>
          </cell>
          <cell r="G468">
            <v>3</v>
          </cell>
          <cell r="H468">
            <v>2.2050000000000001</v>
          </cell>
        </row>
        <row r="469">
          <cell r="A469" t="str">
            <v>CO01BPB</v>
          </cell>
          <cell r="B469" t="str">
            <v>CONNECTOR  BANANA PLUG  BLACK 6A</v>
          </cell>
          <cell r="C469">
            <v>3</v>
          </cell>
          <cell r="D469">
            <v>3</v>
          </cell>
          <cell r="E469">
            <v>3</v>
          </cell>
          <cell r="F469">
            <v>3</v>
          </cell>
          <cell r="G469">
            <v>3</v>
          </cell>
          <cell r="H469">
            <v>0</v>
          </cell>
        </row>
        <row r="470">
          <cell r="A470" t="str">
            <v>CO01BPR</v>
          </cell>
          <cell r="B470" t="str">
            <v>CONNECTOR  BANANA PLUG  RED 6A</v>
          </cell>
          <cell r="C470">
            <v>3</v>
          </cell>
          <cell r="D470">
            <v>3</v>
          </cell>
          <cell r="E470">
            <v>3</v>
          </cell>
          <cell r="F470">
            <v>3</v>
          </cell>
          <cell r="G470">
            <v>3</v>
          </cell>
          <cell r="H470">
            <v>0</v>
          </cell>
        </row>
        <row r="471">
          <cell r="A471" t="str">
            <v>CO01EXT</v>
          </cell>
          <cell r="B471" t="str">
            <v>TOOL EXTRACTION AMP</v>
          </cell>
          <cell r="C471">
            <v>23.5</v>
          </cell>
          <cell r="D471">
            <v>23.5</v>
          </cell>
          <cell r="E471">
            <v>23.5</v>
          </cell>
          <cell r="F471">
            <v>23.5</v>
          </cell>
          <cell r="G471">
            <v>23.5</v>
          </cell>
          <cell r="H471">
            <v>0</v>
          </cell>
        </row>
        <row r="472">
          <cell r="A472" t="str">
            <v>CO01INS</v>
          </cell>
          <cell r="B472" t="str">
            <v>TOOL EXTRACTION &amp; INSERTION AMP</v>
          </cell>
          <cell r="C472">
            <v>16.8</v>
          </cell>
          <cell r="D472">
            <v>16.8</v>
          </cell>
          <cell r="E472">
            <v>16.8</v>
          </cell>
          <cell r="F472">
            <v>16.8</v>
          </cell>
          <cell r="G472">
            <v>16.8</v>
          </cell>
          <cell r="H472">
            <v>0</v>
          </cell>
        </row>
        <row r="473">
          <cell r="A473" t="str">
            <v>CO01KSC</v>
          </cell>
          <cell r="B473" t="str">
            <v>"CONNECTOR  KYNAR STRAIGHT CONNECTOR 1_8</v>
          </cell>
          <cell r="C473">
            <v>80</v>
          </cell>
          <cell r="D473">
            <v>80</v>
          </cell>
          <cell r="E473">
            <v>80</v>
          </cell>
          <cell r="F473">
            <v>80</v>
          </cell>
          <cell r="G473">
            <v>80</v>
          </cell>
          <cell r="H473">
            <v>0</v>
          </cell>
        </row>
        <row r="474">
          <cell r="A474" t="str">
            <v>CO01KTJ</v>
          </cell>
          <cell r="B474" t="str">
            <v>CONNECTOR  KYNAR T JUNCTION 9.53mm ID</v>
          </cell>
          <cell r="C474">
            <v>105</v>
          </cell>
          <cell r="D474">
            <v>105</v>
          </cell>
          <cell r="E474">
            <v>105</v>
          </cell>
          <cell r="F474">
            <v>105</v>
          </cell>
          <cell r="G474">
            <v>105</v>
          </cell>
          <cell r="H474">
            <v>0</v>
          </cell>
        </row>
        <row r="475">
          <cell r="A475" t="str">
            <v>CO01MINI</v>
          </cell>
          <cell r="B475" t="str">
            <v>PLUG  MINI UHF CRIMP CONTACT</v>
          </cell>
          <cell r="C475">
            <v>9.75</v>
          </cell>
          <cell r="D475">
            <v>9.75</v>
          </cell>
          <cell r="E475">
            <v>9.75</v>
          </cell>
          <cell r="F475">
            <v>9.75</v>
          </cell>
          <cell r="G475">
            <v>9.75</v>
          </cell>
          <cell r="H475">
            <v>0</v>
          </cell>
        </row>
        <row r="476">
          <cell r="A476" t="str">
            <v>CO01PBB</v>
          </cell>
          <cell r="B476" t="str">
            <v>PLUG  BUNCH BLACK</v>
          </cell>
          <cell r="C476">
            <v>6.5</v>
          </cell>
          <cell r="D476">
            <v>6.5</v>
          </cell>
          <cell r="E476">
            <v>6.5</v>
          </cell>
          <cell r="F476">
            <v>6.5</v>
          </cell>
          <cell r="G476">
            <v>6.5</v>
          </cell>
          <cell r="H476">
            <v>5.55</v>
          </cell>
        </row>
        <row r="477">
          <cell r="A477" t="str">
            <v>CO01PBR</v>
          </cell>
          <cell r="B477" t="str">
            <v>PLUG  BUNCH RED</v>
          </cell>
          <cell r="C477">
            <v>6.5</v>
          </cell>
          <cell r="D477">
            <v>6.5</v>
          </cell>
          <cell r="E477">
            <v>6.5</v>
          </cell>
          <cell r="F477">
            <v>6.5</v>
          </cell>
          <cell r="G477">
            <v>6.5</v>
          </cell>
          <cell r="H477">
            <v>5.55</v>
          </cell>
        </row>
        <row r="478">
          <cell r="A478" t="str">
            <v>CO01POB</v>
          </cell>
          <cell r="B478" t="str">
            <v>POST.BINDING.BLACK.30 AMP.</v>
          </cell>
          <cell r="C478">
            <v>5.75</v>
          </cell>
          <cell r="D478">
            <v>5.75</v>
          </cell>
          <cell r="E478">
            <v>5.75</v>
          </cell>
          <cell r="F478">
            <v>5.75</v>
          </cell>
          <cell r="G478">
            <v>5.75</v>
          </cell>
          <cell r="H478">
            <v>4.41</v>
          </cell>
          <cell r="I478">
            <v>40268</v>
          </cell>
        </row>
        <row r="479">
          <cell r="A479" t="str">
            <v>CO01POR</v>
          </cell>
          <cell r="B479" t="str">
            <v>POST BINDING.RED.30 AMP</v>
          </cell>
          <cell r="C479">
            <v>5.75</v>
          </cell>
          <cell r="D479">
            <v>5.75</v>
          </cell>
          <cell r="E479">
            <v>5.75</v>
          </cell>
          <cell r="F479">
            <v>5.75</v>
          </cell>
          <cell r="G479">
            <v>5.75</v>
          </cell>
          <cell r="H479">
            <v>4.41</v>
          </cell>
          <cell r="I479">
            <v>40268</v>
          </cell>
        </row>
        <row r="480">
          <cell r="A480" t="str">
            <v>CO01SMA</v>
          </cell>
          <cell r="B480" t="str">
            <v>CONNECTOR COAX SMA CRIMP FOR RG58</v>
          </cell>
          <cell r="C480">
            <v>10</v>
          </cell>
          <cell r="D480">
            <v>10</v>
          </cell>
          <cell r="E480">
            <v>10</v>
          </cell>
          <cell r="F480">
            <v>10</v>
          </cell>
          <cell r="G480">
            <v>10</v>
          </cell>
          <cell r="H480">
            <v>6.93</v>
          </cell>
        </row>
        <row r="481">
          <cell r="A481" t="str">
            <v>CO01SMA1</v>
          </cell>
          <cell r="B481" t="str">
            <v>CONNECTOR COAX SMA CRIMP RG174</v>
          </cell>
          <cell r="C481">
            <v>26</v>
          </cell>
          <cell r="D481">
            <v>26</v>
          </cell>
          <cell r="E481">
            <v>26</v>
          </cell>
          <cell r="F481">
            <v>26</v>
          </cell>
          <cell r="G481">
            <v>26</v>
          </cell>
          <cell r="H481">
            <v>19.399999999999999</v>
          </cell>
        </row>
        <row r="482">
          <cell r="A482" t="str">
            <v>CO02BSM</v>
          </cell>
          <cell r="B482" t="str">
            <v>2 PIN BACKSHELL MILITARY SPEC</v>
          </cell>
          <cell r="C482">
            <v>25</v>
          </cell>
          <cell r="D482">
            <v>25</v>
          </cell>
          <cell r="E482">
            <v>25</v>
          </cell>
          <cell r="F482">
            <v>25</v>
          </cell>
          <cell r="G482">
            <v>25</v>
          </cell>
          <cell r="H482">
            <v>0</v>
          </cell>
        </row>
        <row r="483">
          <cell r="A483" t="str">
            <v>CO02CPC</v>
          </cell>
          <cell r="B483" t="str">
            <v>CONNECTOR CPC SERIES 2</v>
          </cell>
          <cell r="C483">
            <v>10</v>
          </cell>
          <cell r="D483">
            <v>10</v>
          </cell>
          <cell r="E483">
            <v>10</v>
          </cell>
          <cell r="F483">
            <v>10</v>
          </cell>
          <cell r="G483">
            <v>10</v>
          </cell>
          <cell r="H483">
            <v>0</v>
          </cell>
        </row>
        <row r="484">
          <cell r="A484" t="str">
            <v>CO02DAA</v>
          </cell>
          <cell r="B484" t="str">
            <v>CONNECTOR 2 WAY FOR DAA H-500XL LOGGER</v>
          </cell>
          <cell r="C484">
            <v>6</v>
          </cell>
          <cell r="D484">
            <v>6</v>
          </cell>
          <cell r="E484">
            <v>6</v>
          </cell>
          <cell r="F484">
            <v>6</v>
          </cell>
          <cell r="G484">
            <v>6</v>
          </cell>
          <cell r="H484">
            <v>4.3</v>
          </cell>
        </row>
        <row r="485">
          <cell r="A485" t="str">
            <v>CO02HE</v>
          </cell>
          <cell r="B485" t="str">
            <v>2 WAY HEADER</v>
          </cell>
          <cell r="C485">
            <v>0.3</v>
          </cell>
          <cell r="D485">
            <v>0.4</v>
          </cell>
          <cell r="E485">
            <v>0.4</v>
          </cell>
          <cell r="F485">
            <v>0.4</v>
          </cell>
          <cell r="G485">
            <v>0.4</v>
          </cell>
          <cell r="H485">
            <v>0.26</v>
          </cell>
        </row>
        <row r="486">
          <cell r="A486" t="str">
            <v>CO02HEP</v>
          </cell>
          <cell r="B486" t="str">
            <v>2 WAY HEADER PIN</v>
          </cell>
          <cell r="C486">
            <v>0.12</v>
          </cell>
          <cell r="D486">
            <v>0.15</v>
          </cell>
          <cell r="E486">
            <v>0.15</v>
          </cell>
          <cell r="F486">
            <v>0.15</v>
          </cell>
          <cell r="G486">
            <v>0.15</v>
          </cell>
          <cell r="H486">
            <v>0.1</v>
          </cell>
        </row>
        <row r="487">
          <cell r="A487" t="str">
            <v>CO02NPS</v>
          </cell>
          <cell r="B487" t="str">
            <v>NYLON PLUG &amp; SOCKET 2 WAY</v>
          </cell>
          <cell r="C487">
            <v>4</v>
          </cell>
          <cell r="D487">
            <v>4</v>
          </cell>
          <cell r="E487">
            <v>4</v>
          </cell>
          <cell r="F487">
            <v>4</v>
          </cell>
          <cell r="G487">
            <v>4</v>
          </cell>
          <cell r="H487">
            <v>2.6</v>
          </cell>
        </row>
        <row r="488">
          <cell r="A488" t="str">
            <v>CO02P44</v>
          </cell>
          <cell r="B488" t="str">
            <v>PLUG  2 WAY (AMP 44 SERIES)</v>
          </cell>
          <cell r="C488">
            <v>4.2</v>
          </cell>
          <cell r="D488">
            <v>4.2</v>
          </cell>
          <cell r="E488">
            <v>4.2</v>
          </cell>
          <cell r="F488">
            <v>4.2</v>
          </cell>
          <cell r="G488">
            <v>4.2</v>
          </cell>
          <cell r="H488">
            <v>0</v>
          </cell>
        </row>
        <row r="489">
          <cell r="A489" t="str">
            <v>CO02PBU</v>
          </cell>
          <cell r="B489" t="str">
            <v>PLUG  2 WAY FREE (BULGIN)</v>
          </cell>
          <cell r="C489">
            <v>25.5</v>
          </cell>
          <cell r="D489">
            <v>31.56</v>
          </cell>
          <cell r="E489">
            <v>31.56</v>
          </cell>
          <cell r="F489">
            <v>31.56</v>
          </cell>
          <cell r="G489">
            <v>31.56</v>
          </cell>
          <cell r="H489">
            <v>21.88</v>
          </cell>
          <cell r="I489">
            <v>39988</v>
          </cell>
        </row>
        <row r="490">
          <cell r="A490" t="str">
            <v>CO02PH2</v>
          </cell>
          <cell r="B490" t="str">
            <v>TERMINAL  2 WAY PCB (PHOENIX)</v>
          </cell>
          <cell r="C490">
            <v>1.04</v>
          </cell>
          <cell r="D490">
            <v>1.04</v>
          </cell>
          <cell r="E490">
            <v>1.04</v>
          </cell>
          <cell r="F490">
            <v>1.04</v>
          </cell>
          <cell r="G490">
            <v>1.04</v>
          </cell>
          <cell r="H490">
            <v>4.7E-2</v>
          </cell>
        </row>
        <row r="491">
          <cell r="A491" t="str">
            <v>CO02PH4</v>
          </cell>
          <cell r="B491" t="str">
            <v>TERMINAL  2 WAY PCB (PHOENIX)</v>
          </cell>
          <cell r="C491">
            <v>1.3</v>
          </cell>
          <cell r="D491">
            <v>1.3</v>
          </cell>
          <cell r="E491">
            <v>1.3</v>
          </cell>
          <cell r="F491">
            <v>1.3</v>
          </cell>
          <cell r="G491">
            <v>1.3</v>
          </cell>
          <cell r="H491">
            <v>0</v>
          </cell>
        </row>
        <row r="492">
          <cell r="A492" t="str">
            <v>CO02PLU</v>
          </cell>
          <cell r="B492" t="str">
            <v>PLUG  2 WAY (AREEL)</v>
          </cell>
          <cell r="C492">
            <v>38</v>
          </cell>
          <cell r="D492">
            <v>38</v>
          </cell>
          <cell r="E492">
            <v>38</v>
          </cell>
          <cell r="F492">
            <v>38</v>
          </cell>
          <cell r="G492">
            <v>38</v>
          </cell>
          <cell r="H492">
            <v>45.402000000000001</v>
          </cell>
        </row>
        <row r="493">
          <cell r="A493" t="str">
            <v>CO02PPB</v>
          </cell>
          <cell r="B493" t="str">
            <v>PLUG  2 WAY PANEL (BULGIN)</v>
          </cell>
          <cell r="C493">
            <v>22</v>
          </cell>
          <cell r="D493">
            <v>22</v>
          </cell>
          <cell r="E493">
            <v>22</v>
          </cell>
          <cell r="F493">
            <v>22</v>
          </cell>
          <cell r="G493">
            <v>22</v>
          </cell>
          <cell r="H493">
            <v>13.99</v>
          </cell>
        </row>
        <row r="494">
          <cell r="A494" t="str">
            <v>CO02R44</v>
          </cell>
          <cell r="B494" t="str">
            <v>RECEPTACLE  2 WAY (AMP 44 SERIES)</v>
          </cell>
          <cell r="C494">
            <v>4.5</v>
          </cell>
          <cell r="D494">
            <v>4.5</v>
          </cell>
          <cell r="E494">
            <v>4.5</v>
          </cell>
          <cell r="F494">
            <v>4.5</v>
          </cell>
          <cell r="G494">
            <v>4.5</v>
          </cell>
          <cell r="H494">
            <v>0</v>
          </cell>
        </row>
        <row r="495">
          <cell r="A495" t="str">
            <v>CO02SFB</v>
          </cell>
          <cell r="B495" t="str">
            <v>SOCKET  2 WAY FREE (BULGIN)</v>
          </cell>
          <cell r="C495">
            <v>36</v>
          </cell>
          <cell r="D495">
            <v>36</v>
          </cell>
          <cell r="E495">
            <v>36</v>
          </cell>
          <cell r="F495">
            <v>36</v>
          </cell>
          <cell r="G495">
            <v>36</v>
          </cell>
          <cell r="H495">
            <v>30.68</v>
          </cell>
        </row>
        <row r="496">
          <cell r="A496" t="str">
            <v>CO02SIL</v>
          </cell>
          <cell r="B496" t="str">
            <v>SOCKET  2 WAY IN-LINE (BULGIN)</v>
          </cell>
          <cell r="C496">
            <v>45</v>
          </cell>
          <cell r="D496">
            <v>45</v>
          </cell>
          <cell r="E496">
            <v>45</v>
          </cell>
          <cell r="F496">
            <v>45</v>
          </cell>
          <cell r="G496">
            <v>45</v>
          </cell>
          <cell r="H496">
            <v>0</v>
          </cell>
        </row>
        <row r="497">
          <cell r="A497" t="str">
            <v>CO02SOC</v>
          </cell>
          <cell r="B497" t="str">
            <v>SOCKET  2 WAY</v>
          </cell>
          <cell r="C497">
            <v>60</v>
          </cell>
          <cell r="D497">
            <v>60</v>
          </cell>
          <cell r="E497">
            <v>60</v>
          </cell>
          <cell r="F497">
            <v>60</v>
          </cell>
          <cell r="G497">
            <v>60</v>
          </cell>
          <cell r="H497">
            <v>46.04</v>
          </cell>
        </row>
        <row r="498">
          <cell r="A498" t="str">
            <v>CO02SOM</v>
          </cell>
          <cell r="B498" t="str">
            <v>2 PIN FREE SOCKET MILITARY SPEC</v>
          </cell>
          <cell r="C498">
            <v>30</v>
          </cell>
          <cell r="D498">
            <v>30</v>
          </cell>
          <cell r="E498">
            <v>30</v>
          </cell>
          <cell r="F498">
            <v>30</v>
          </cell>
          <cell r="G498">
            <v>30</v>
          </cell>
          <cell r="H498">
            <v>0</v>
          </cell>
        </row>
        <row r="499">
          <cell r="A499" t="str">
            <v>CO02SPB</v>
          </cell>
          <cell r="B499" t="str">
            <v>SOCKET  2 WAY PANEL (BULGIN)</v>
          </cell>
          <cell r="C499">
            <v>31</v>
          </cell>
          <cell r="D499">
            <v>31</v>
          </cell>
          <cell r="E499">
            <v>31</v>
          </cell>
          <cell r="F499">
            <v>31</v>
          </cell>
          <cell r="G499">
            <v>31</v>
          </cell>
          <cell r="H499">
            <v>19.8</v>
          </cell>
        </row>
        <row r="500">
          <cell r="A500" t="str">
            <v>CO02TB3</v>
          </cell>
          <cell r="B500" t="str">
            <v>2 WAY TERMINAL BLOCK 3.81mm 10A</v>
          </cell>
          <cell r="C500">
            <v>0.6</v>
          </cell>
          <cell r="D500">
            <v>0.6</v>
          </cell>
          <cell r="E500">
            <v>0.6</v>
          </cell>
          <cell r="F500">
            <v>0.6</v>
          </cell>
          <cell r="G500">
            <v>0.6</v>
          </cell>
          <cell r="H500">
            <v>0.54</v>
          </cell>
        </row>
        <row r="501">
          <cell r="A501" t="str">
            <v>CO03HD8</v>
          </cell>
          <cell r="B501" t="str">
            <v>HEADER  3 WAY 8 AMP</v>
          </cell>
          <cell r="C501">
            <v>3</v>
          </cell>
          <cell r="D501">
            <v>3</v>
          </cell>
          <cell r="E501">
            <v>3</v>
          </cell>
          <cell r="F501">
            <v>3</v>
          </cell>
          <cell r="G501">
            <v>3</v>
          </cell>
          <cell r="H501">
            <v>0</v>
          </cell>
        </row>
        <row r="502">
          <cell r="A502" t="str">
            <v>CO03PH3</v>
          </cell>
          <cell r="B502" t="str">
            <v>TERMINAL. 3 WAY PCB (PHOENIX)</v>
          </cell>
          <cell r="C502">
            <v>1.9</v>
          </cell>
          <cell r="D502">
            <v>1.9</v>
          </cell>
          <cell r="E502">
            <v>1.9</v>
          </cell>
          <cell r="F502">
            <v>1.9</v>
          </cell>
          <cell r="G502">
            <v>1.9</v>
          </cell>
          <cell r="H502">
            <v>1</v>
          </cell>
        </row>
        <row r="503">
          <cell r="A503" t="str">
            <v>CO03PH4</v>
          </cell>
          <cell r="B503" t="str">
            <v>TERMINAL  3 WAY PCB (PHOENIX)</v>
          </cell>
          <cell r="C503">
            <v>2.09</v>
          </cell>
          <cell r="D503">
            <v>2.09</v>
          </cell>
          <cell r="E503">
            <v>2.09</v>
          </cell>
          <cell r="F503">
            <v>2.09</v>
          </cell>
          <cell r="G503">
            <v>2.09</v>
          </cell>
          <cell r="H503">
            <v>1.46</v>
          </cell>
        </row>
        <row r="504">
          <cell r="A504" t="str">
            <v>CO03PL8</v>
          </cell>
          <cell r="B504" t="str">
            <v>PLUG  3 WAY 8 AMP</v>
          </cell>
          <cell r="C504">
            <v>9</v>
          </cell>
          <cell r="D504">
            <v>9</v>
          </cell>
          <cell r="E504">
            <v>9</v>
          </cell>
          <cell r="F504">
            <v>9</v>
          </cell>
          <cell r="G504">
            <v>9</v>
          </cell>
          <cell r="H504">
            <v>0</v>
          </cell>
        </row>
        <row r="505">
          <cell r="A505" t="str">
            <v>CO03PWR</v>
          </cell>
          <cell r="B505" t="str">
            <v>POWER SOCKET  3 WAY 230VAC IEC PANEL MTG</v>
          </cell>
          <cell r="C505">
            <v>7</v>
          </cell>
          <cell r="D505">
            <v>7</v>
          </cell>
          <cell r="E505">
            <v>7</v>
          </cell>
          <cell r="F505">
            <v>7</v>
          </cell>
          <cell r="G505">
            <v>7</v>
          </cell>
          <cell r="H505">
            <v>0</v>
          </cell>
        </row>
        <row r="506">
          <cell r="A506" t="str">
            <v>CO03RTB</v>
          </cell>
          <cell r="B506" t="str">
            <v>3 WAY RIGHT ANGLE TERMINAL BLOCK</v>
          </cell>
          <cell r="C506">
            <v>6</v>
          </cell>
          <cell r="D506">
            <v>7</v>
          </cell>
          <cell r="E506">
            <v>7</v>
          </cell>
          <cell r="F506">
            <v>7</v>
          </cell>
          <cell r="G506">
            <v>7</v>
          </cell>
          <cell r="H506">
            <v>5.25</v>
          </cell>
        </row>
        <row r="507">
          <cell r="A507" t="str">
            <v>CO04BUS</v>
          </cell>
          <cell r="B507" t="str">
            <v>BUSHING  4 WAY</v>
          </cell>
          <cell r="C507">
            <v>1.04</v>
          </cell>
          <cell r="D507">
            <v>1.04</v>
          </cell>
          <cell r="E507">
            <v>1.04</v>
          </cell>
          <cell r="F507">
            <v>1.04</v>
          </cell>
          <cell r="G507">
            <v>1.04</v>
          </cell>
          <cell r="H507">
            <v>0</v>
          </cell>
        </row>
        <row r="508">
          <cell r="A508" t="str">
            <v>CO04CAA</v>
          </cell>
          <cell r="B508" t="str">
            <v>CONTACT ASSY  4 WAY DDK (MALE)</v>
          </cell>
          <cell r="C508">
            <v>5.34</v>
          </cell>
          <cell r="D508">
            <v>5.34</v>
          </cell>
          <cell r="E508">
            <v>5.34</v>
          </cell>
          <cell r="F508">
            <v>5.34</v>
          </cell>
          <cell r="G508">
            <v>5.34</v>
          </cell>
          <cell r="H508">
            <v>0</v>
          </cell>
        </row>
        <row r="509">
          <cell r="A509" t="str">
            <v>CO04CAB</v>
          </cell>
          <cell r="B509" t="str">
            <v>CONTACT ASSY  4 WAY DDK (F-M)</v>
          </cell>
          <cell r="C509">
            <v>11.34</v>
          </cell>
          <cell r="D509">
            <v>11.34</v>
          </cell>
          <cell r="E509">
            <v>11.34</v>
          </cell>
          <cell r="F509">
            <v>11.34</v>
          </cell>
          <cell r="G509">
            <v>11.34</v>
          </cell>
          <cell r="H509">
            <v>0</v>
          </cell>
        </row>
        <row r="510">
          <cell r="A510" t="str">
            <v>CO04CCA</v>
          </cell>
          <cell r="B510" t="str">
            <v>CABLE  CLAMP. SIZE 14 SDDK</v>
          </cell>
          <cell r="C510">
            <v>27.85</v>
          </cell>
          <cell r="D510">
            <v>34.450000000000003</v>
          </cell>
          <cell r="E510">
            <v>34.450000000000003</v>
          </cell>
          <cell r="F510">
            <v>34.450000000000003</v>
          </cell>
          <cell r="G510">
            <v>34.450000000000003</v>
          </cell>
          <cell r="H510">
            <v>0</v>
          </cell>
        </row>
        <row r="511">
          <cell r="A511" t="str">
            <v>CO04CCN</v>
          </cell>
          <cell r="B511" t="str">
            <v>CLAMP  CABLE 4-8-9 WAY PLUGS</v>
          </cell>
          <cell r="C511">
            <v>5.5</v>
          </cell>
          <cell r="D511">
            <v>6.5</v>
          </cell>
          <cell r="E511">
            <v>6.5</v>
          </cell>
          <cell r="F511">
            <v>6.5</v>
          </cell>
          <cell r="G511">
            <v>6.5</v>
          </cell>
          <cell r="H511">
            <v>5.0380000000000003</v>
          </cell>
        </row>
        <row r="512">
          <cell r="A512" t="str">
            <v>CO04CCS</v>
          </cell>
          <cell r="B512" t="str">
            <v>CABLE  ENTRY AMP</v>
          </cell>
          <cell r="C512">
            <v>13.17</v>
          </cell>
          <cell r="D512">
            <v>13.17</v>
          </cell>
          <cell r="E512">
            <v>13.17</v>
          </cell>
          <cell r="F512">
            <v>13.17</v>
          </cell>
          <cell r="G512">
            <v>13.17</v>
          </cell>
          <cell r="H512">
            <v>0</v>
          </cell>
        </row>
        <row r="513">
          <cell r="A513" t="str">
            <v>CO04CSA</v>
          </cell>
          <cell r="B513" t="str">
            <v>CAP SEAL 4-8-9 PIN AMP RECEPTACLES</v>
          </cell>
          <cell r="C513">
            <v>9.3000000000000007</v>
          </cell>
          <cell r="D513">
            <v>9.3000000000000007</v>
          </cell>
          <cell r="E513">
            <v>9.3000000000000007</v>
          </cell>
          <cell r="F513">
            <v>9.3000000000000007</v>
          </cell>
          <cell r="G513">
            <v>9.3000000000000007</v>
          </cell>
          <cell r="H513">
            <v>7.83</v>
          </cell>
        </row>
        <row r="514">
          <cell r="A514" t="str">
            <v>CO04IDM</v>
          </cell>
          <cell r="B514" t="str">
            <v>INSERT  4 PIN</v>
          </cell>
          <cell r="C514">
            <v>9</v>
          </cell>
          <cell r="D514">
            <v>9</v>
          </cell>
          <cell r="E514">
            <v>9</v>
          </cell>
          <cell r="F514">
            <v>9</v>
          </cell>
          <cell r="G514">
            <v>9</v>
          </cell>
          <cell r="H514">
            <v>0</v>
          </cell>
        </row>
        <row r="515">
          <cell r="A515" t="str">
            <v>CO04PCO</v>
          </cell>
          <cell r="B515" t="str">
            <v>PLUG  CORD MALE 4PIN AMP</v>
          </cell>
          <cell r="C515">
            <v>25</v>
          </cell>
          <cell r="D515">
            <v>25</v>
          </cell>
          <cell r="E515">
            <v>25</v>
          </cell>
          <cell r="F515">
            <v>25</v>
          </cell>
          <cell r="G515">
            <v>25</v>
          </cell>
          <cell r="H515">
            <v>12.73</v>
          </cell>
        </row>
        <row r="516">
          <cell r="A516" t="str">
            <v>CO04PF</v>
          </cell>
          <cell r="B516" t="str">
            <v>4 WAY PLUG FEMALE</v>
          </cell>
          <cell r="C516">
            <v>18</v>
          </cell>
          <cell r="D516">
            <v>23</v>
          </cell>
          <cell r="E516">
            <v>23</v>
          </cell>
          <cell r="F516">
            <v>23</v>
          </cell>
          <cell r="G516">
            <v>23</v>
          </cell>
          <cell r="H516">
            <v>17.55</v>
          </cell>
        </row>
        <row r="517">
          <cell r="A517" t="str">
            <v>CO04PM</v>
          </cell>
          <cell r="B517" t="str">
            <v>4 WAY MALE PLUG</v>
          </cell>
          <cell r="C517">
            <v>19</v>
          </cell>
          <cell r="D517">
            <v>23</v>
          </cell>
          <cell r="E517">
            <v>23</v>
          </cell>
          <cell r="F517">
            <v>23</v>
          </cell>
          <cell r="G517">
            <v>23</v>
          </cell>
          <cell r="H517">
            <v>17.95</v>
          </cell>
        </row>
        <row r="518">
          <cell r="A518" t="str">
            <v>CO04PRL</v>
          </cell>
          <cell r="B518" t="str">
            <v>PLUG REV LETTER 4 WAY F-M AMP</v>
          </cell>
          <cell r="C518">
            <v>15.48</v>
          </cell>
          <cell r="D518">
            <v>15.48</v>
          </cell>
          <cell r="E518">
            <v>15.48</v>
          </cell>
          <cell r="F518">
            <v>15.48</v>
          </cell>
          <cell r="G518">
            <v>15.48</v>
          </cell>
          <cell r="H518">
            <v>0</v>
          </cell>
        </row>
        <row r="519">
          <cell r="A519" t="str">
            <v>CO04PRS</v>
          </cell>
          <cell r="B519" t="str">
            <v>PLUG  REV SEX 4 WAY MALE AMP</v>
          </cell>
          <cell r="C519">
            <v>5.5</v>
          </cell>
          <cell r="D519">
            <v>5.5</v>
          </cell>
          <cell r="E519">
            <v>5.5</v>
          </cell>
          <cell r="F519">
            <v>5.5</v>
          </cell>
          <cell r="G519">
            <v>5.5</v>
          </cell>
          <cell r="H519">
            <v>3.92</v>
          </cell>
          <cell r="I519">
            <v>40234</v>
          </cell>
        </row>
        <row r="520">
          <cell r="A520" t="str">
            <v>CO04PSA</v>
          </cell>
          <cell r="B520" t="str">
            <v>PLUG  STD LETTER 4 WAY F-M AMP</v>
          </cell>
          <cell r="C520">
            <v>4.2</v>
          </cell>
          <cell r="D520">
            <v>4.2</v>
          </cell>
          <cell r="E520">
            <v>4.2</v>
          </cell>
          <cell r="F520">
            <v>4.2</v>
          </cell>
          <cell r="G520">
            <v>4.2</v>
          </cell>
          <cell r="H520">
            <v>2.6</v>
          </cell>
        </row>
        <row r="521">
          <cell r="A521" t="str">
            <v>CO04RCO</v>
          </cell>
          <cell r="B521" t="str">
            <v>RECEPTACLE  CORD 4 WAY AMP</v>
          </cell>
          <cell r="C521">
            <v>28</v>
          </cell>
          <cell r="D521">
            <v>28</v>
          </cell>
          <cell r="E521">
            <v>28</v>
          </cell>
          <cell r="F521">
            <v>28</v>
          </cell>
          <cell r="G521">
            <v>28</v>
          </cell>
          <cell r="H521">
            <v>19.190000000000001</v>
          </cell>
        </row>
        <row r="522">
          <cell r="A522" t="str">
            <v>CO04RF</v>
          </cell>
          <cell r="B522" t="str">
            <v>4 WAY RECEPTACLE FEMALE</v>
          </cell>
          <cell r="C522">
            <v>15</v>
          </cell>
          <cell r="D522">
            <v>19</v>
          </cell>
          <cell r="E522">
            <v>19</v>
          </cell>
          <cell r="F522">
            <v>19</v>
          </cell>
          <cell r="G522">
            <v>19</v>
          </cell>
          <cell r="H522">
            <v>11.36</v>
          </cell>
        </row>
        <row r="523">
          <cell r="A523" t="str">
            <v>CO04RM</v>
          </cell>
          <cell r="B523" t="str">
            <v>4 WAY RECEPTACLE MALE</v>
          </cell>
          <cell r="C523">
            <v>15</v>
          </cell>
          <cell r="D523">
            <v>18</v>
          </cell>
          <cell r="E523">
            <v>18</v>
          </cell>
          <cell r="F523">
            <v>18</v>
          </cell>
          <cell r="G523">
            <v>18</v>
          </cell>
          <cell r="H523">
            <v>10.615</v>
          </cell>
        </row>
        <row r="524">
          <cell r="A524" t="str">
            <v>CO04RMA</v>
          </cell>
          <cell r="B524" t="str">
            <v>RECEPTACLE  4 WAY MALE AMP</v>
          </cell>
          <cell r="C524">
            <v>15.5</v>
          </cell>
          <cell r="D524">
            <v>15.5</v>
          </cell>
          <cell r="E524">
            <v>15.5</v>
          </cell>
          <cell r="F524">
            <v>15.5</v>
          </cell>
          <cell r="G524">
            <v>15.5</v>
          </cell>
          <cell r="H524">
            <v>0</v>
          </cell>
        </row>
        <row r="525">
          <cell r="A525" t="str">
            <v>CO04RPA</v>
          </cell>
          <cell r="B525" t="str">
            <v>RECEPTACLE  PANEL 4 WAY AMP</v>
          </cell>
          <cell r="C525">
            <v>20</v>
          </cell>
          <cell r="D525">
            <v>20</v>
          </cell>
          <cell r="E525">
            <v>20</v>
          </cell>
          <cell r="F525">
            <v>20</v>
          </cell>
          <cell r="G525">
            <v>20</v>
          </cell>
          <cell r="H525">
            <v>13</v>
          </cell>
        </row>
        <row r="526">
          <cell r="A526" t="str">
            <v>CO04RRS</v>
          </cell>
          <cell r="B526" t="str">
            <v>RECEPTACLE REV SEX 4 WAY F-M AMP</v>
          </cell>
          <cell r="C526">
            <v>6</v>
          </cell>
          <cell r="D526">
            <v>6</v>
          </cell>
          <cell r="E526">
            <v>6</v>
          </cell>
          <cell r="F526">
            <v>6</v>
          </cell>
          <cell r="G526">
            <v>6</v>
          </cell>
          <cell r="H526">
            <v>3.29</v>
          </cell>
        </row>
        <row r="527">
          <cell r="A527" t="str">
            <v>CO04RSS</v>
          </cell>
          <cell r="B527" t="str">
            <v>RECEPTACLE STD SEX 4 WAY MALE AMP</v>
          </cell>
          <cell r="C527">
            <v>30.01</v>
          </cell>
          <cell r="D527">
            <v>30.01</v>
          </cell>
          <cell r="E527">
            <v>30.01</v>
          </cell>
          <cell r="F527">
            <v>30.01</v>
          </cell>
          <cell r="G527">
            <v>30.01</v>
          </cell>
          <cell r="H527">
            <v>0</v>
          </cell>
        </row>
        <row r="528">
          <cell r="A528" t="str">
            <v>CO04RSW</v>
          </cell>
          <cell r="B528" t="str">
            <v>RECEPTACLE STD SEX 4WAY MALE AMP</v>
          </cell>
          <cell r="C528">
            <v>4.5</v>
          </cell>
          <cell r="D528">
            <v>4.5</v>
          </cell>
          <cell r="E528">
            <v>4.5</v>
          </cell>
          <cell r="F528">
            <v>4.5</v>
          </cell>
          <cell r="G528">
            <v>4.5</v>
          </cell>
          <cell r="H528">
            <v>3.2</v>
          </cell>
        </row>
        <row r="529">
          <cell r="A529" t="str">
            <v>CO04SSH</v>
          </cell>
          <cell r="B529" t="str">
            <v>PLUG  SOLID SHELL DDK</v>
          </cell>
          <cell r="C529">
            <v>48.05</v>
          </cell>
          <cell r="D529">
            <v>59.5</v>
          </cell>
          <cell r="E529">
            <v>59.5</v>
          </cell>
          <cell r="F529">
            <v>59.5</v>
          </cell>
          <cell r="G529">
            <v>59.5</v>
          </cell>
          <cell r="H529">
            <v>0</v>
          </cell>
          <cell r="I529">
            <v>39883</v>
          </cell>
        </row>
        <row r="530">
          <cell r="A530" t="str">
            <v>CO05HFS</v>
          </cell>
          <cell r="B530" t="str">
            <v>5 WAY HOUSING FEMALE SOCKET</v>
          </cell>
          <cell r="C530">
            <v>5.6</v>
          </cell>
          <cell r="D530">
            <v>7.5</v>
          </cell>
          <cell r="E530">
            <v>7.5</v>
          </cell>
          <cell r="F530">
            <v>7.5</v>
          </cell>
          <cell r="G530">
            <v>7.5</v>
          </cell>
          <cell r="H530">
            <v>5.0999999999999996</v>
          </cell>
        </row>
        <row r="531">
          <cell r="A531" t="str">
            <v>CO06CAP</v>
          </cell>
          <cell r="B531" t="str">
            <v>CAP SEAL  EXTERNAL BUCCANNER PLUGS</v>
          </cell>
          <cell r="C531">
            <v>3.9</v>
          </cell>
          <cell r="D531">
            <v>3.9</v>
          </cell>
          <cell r="E531">
            <v>3.9</v>
          </cell>
          <cell r="F531">
            <v>3.9</v>
          </cell>
          <cell r="G531">
            <v>3.9</v>
          </cell>
          <cell r="H531">
            <v>2.14</v>
          </cell>
        </row>
        <row r="532">
          <cell r="A532" t="str">
            <v>CO06CCL</v>
          </cell>
          <cell r="B532" t="str">
            <v>CLAMP  CABLE 6 WAY</v>
          </cell>
          <cell r="C532">
            <v>6.35</v>
          </cell>
          <cell r="D532">
            <v>6.35</v>
          </cell>
          <cell r="E532">
            <v>6.35</v>
          </cell>
          <cell r="F532">
            <v>6.35</v>
          </cell>
          <cell r="G532">
            <v>6.35</v>
          </cell>
          <cell r="H532">
            <v>0</v>
          </cell>
        </row>
        <row r="533">
          <cell r="A533" t="str">
            <v>CO06IFE</v>
          </cell>
          <cell r="B533" t="str">
            <v>INSERT  FEMALE 6 PIN</v>
          </cell>
          <cell r="C533">
            <v>15.66</v>
          </cell>
          <cell r="D533">
            <v>15.66</v>
          </cell>
          <cell r="E533">
            <v>15.66</v>
          </cell>
          <cell r="F533">
            <v>15.66</v>
          </cell>
          <cell r="G533">
            <v>15.66</v>
          </cell>
          <cell r="H533">
            <v>0</v>
          </cell>
        </row>
        <row r="534">
          <cell r="A534" t="str">
            <v>CO06IMA</v>
          </cell>
          <cell r="B534" t="str">
            <v>INSERT  MALE 6 PIN</v>
          </cell>
          <cell r="C534">
            <v>8.7100000000000009</v>
          </cell>
          <cell r="D534">
            <v>8.7100000000000009</v>
          </cell>
          <cell r="E534">
            <v>8.7100000000000009</v>
          </cell>
          <cell r="F534">
            <v>8.7100000000000009</v>
          </cell>
          <cell r="G534">
            <v>8.7100000000000009</v>
          </cell>
          <cell r="H534">
            <v>0</v>
          </cell>
        </row>
        <row r="535">
          <cell r="A535" t="str">
            <v>CO06PBU</v>
          </cell>
          <cell r="B535" t="str">
            <v>PLUG FREE 6 WAY (BULGIN)</v>
          </cell>
          <cell r="C535">
            <v>29</v>
          </cell>
          <cell r="D535">
            <v>36</v>
          </cell>
          <cell r="E535">
            <v>36</v>
          </cell>
          <cell r="F535">
            <v>36</v>
          </cell>
          <cell r="G535">
            <v>36</v>
          </cell>
          <cell r="H535">
            <v>29.43</v>
          </cell>
          <cell r="I535">
            <v>39988</v>
          </cell>
        </row>
        <row r="536">
          <cell r="A536" t="str">
            <v>CO06PLS</v>
          </cell>
          <cell r="B536" t="str">
            <v>PLUG  SHELL 6 WAY</v>
          </cell>
          <cell r="C536">
            <v>7.67</v>
          </cell>
          <cell r="D536">
            <v>7.67</v>
          </cell>
          <cell r="E536">
            <v>7.67</v>
          </cell>
          <cell r="F536">
            <v>7.67</v>
          </cell>
          <cell r="G536">
            <v>7.67</v>
          </cell>
          <cell r="H536">
            <v>0</v>
          </cell>
        </row>
        <row r="537">
          <cell r="A537" t="str">
            <v>CO06SPB</v>
          </cell>
          <cell r="B537" t="str">
            <v>SOCKET  PANEL 6 WAY BUCCANNER P738S</v>
          </cell>
          <cell r="C537">
            <v>39.5</v>
          </cell>
          <cell r="D537">
            <v>39.5</v>
          </cell>
          <cell r="E537">
            <v>39.5</v>
          </cell>
          <cell r="F537">
            <v>39.5</v>
          </cell>
          <cell r="G537">
            <v>39.5</v>
          </cell>
          <cell r="H537">
            <v>30.75</v>
          </cell>
        </row>
        <row r="538">
          <cell r="A538" t="str">
            <v>CO07CCF</v>
          </cell>
          <cell r="B538" t="str">
            <v>CABLE  CONNECTOR 7 WAY F-M AMP</v>
          </cell>
          <cell r="C538">
            <v>12.27</v>
          </cell>
          <cell r="D538">
            <v>12.27</v>
          </cell>
          <cell r="E538">
            <v>12.27</v>
          </cell>
          <cell r="F538">
            <v>12.27</v>
          </cell>
          <cell r="G538">
            <v>12.27</v>
          </cell>
          <cell r="H538">
            <v>0</v>
          </cell>
        </row>
        <row r="539">
          <cell r="A539" t="str">
            <v>CO07CCM</v>
          </cell>
          <cell r="B539" t="str">
            <v>CABLE  CONNECTOR 7 WAY MALE AMP</v>
          </cell>
          <cell r="C539">
            <v>12.27</v>
          </cell>
          <cell r="D539">
            <v>12.27</v>
          </cell>
          <cell r="E539">
            <v>12.27</v>
          </cell>
          <cell r="F539">
            <v>12.27</v>
          </cell>
          <cell r="G539">
            <v>12.27</v>
          </cell>
          <cell r="H539">
            <v>0</v>
          </cell>
        </row>
        <row r="540">
          <cell r="A540" t="str">
            <v>CO07CCP</v>
          </cell>
          <cell r="B540" t="str">
            <v>CAP  CORD PLUG 7 WAY AMP</v>
          </cell>
          <cell r="C540">
            <v>11.13</v>
          </cell>
          <cell r="D540">
            <v>13.78</v>
          </cell>
          <cell r="E540">
            <v>13.78</v>
          </cell>
          <cell r="F540">
            <v>13.78</v>
          </cell>
          <cell r="G540">
            <v>13.78</v>
          </cell>
          <cell r="H540">
            <v>8.85</v>
          </cell>
          <cell r="I540">
            <v>39883</v>
          </cell>
        </row>
        <row r="541">
          <cell r="A541" t="str">
            <v>CO07CCS</v>
          </cell>
          <cell r="B541" t="str">
            <v>CAP  CORD SOCKET 7 WAY AMP</v>
          </cell>
          <cell r="C541">
            <v>13.2</v>
          </cell>
          <cell r="D541">
            <v>13.2</v>
          </cell>
          <cell r="E541">
            <v>13.2</v>
          </cell>
          <cell r="F541">
            <v>13.2</v>
          </cell>
          <cell r="G541">
            <v>13.2</v>
          </cell>
          <cell r="H541">
            <v>8.4</v>
          </cell>
        </row>
        <row r="542">
          <cell r="A542" t="str">
            <v>CO07HFS</v>
          </cell>
          <cell r="B542" t="str">
            <v>7 WAY HOUSING FEMALE SOCKET</v>
          </cell>
          <cell r="C542">
            <v>9.5</v>
          </cell>
          <cell r="D542">
            <v>12</v>
          </cell>
          <cell r="E542">
            <v>12</v>
          </cell>
          <cell r="F542">
            <v>12</v>
          </cell>
          <cell r="G542">
            <v>12</v>
          </cell>
          <cell r="H542">
            <v>2.1</v>
          </cell>
        </row>
        <row r="543">
          <cell r="A543" t="str">
            <v>CO07PCO</v>
          </cell>
          <cell r="B543" t="str">
            <v>PLUG  CORD 7 WAY MALE AMP</v>
          </cell>
          <cell r="C543">
            <v>20</v>
          </cell>
          <cell r="D543">
            <v>20</v>
          </cell>
          <cell r="E543">
            <v>20</v>
          </cell>
          <cell r="F543">
            <v>20</v>
          </cell>
          <cell r="G543">
            <v>20</v>
          </cell>
          <cell r="H543">
            <v>16.370999999999999</v>
          </cell>
        </row>
        <row r="544">
          <cell r="A544" t="str">
            <v>CO07PF</v>
          </cell>
          <cell r="B544" t="str">
            <v>7 WAY PLUG FEMALE</v>
          </cell>
          <cell r="C544">
            <v>22</v>
          </cell>
          <cell r="D544">
            <v>26</v>
          </cell>
          <cell r="E544">
            <v>26</v>
          </cell>
          <cell r="F544">
            <v>26</v>
          </cell>
          <cell r="G544">
            <v>26</v>
          </cell>
          <cell r="H544">
            <v>16.106999999999999</v>
          </cell>
        </row>
        <row r="545">
          <cell r="A545" t="str">
            <v>CO07PM</v>
          </cell>
          <cell r="B545" t="str">
            <v>7 WAY MALE PLUG</v>
          </cell>
          <cell r="C545">
            <v>19</v>
          </cell>
          <cell r="D545">
            <v>24</v>
          </cell>
          <cell r="E545">
            <v>24</v>
          </cell>
          <cell r="F545">
            <v>24</v>
          </cell>
          <cell r="G545">
            <v>24</v>
          </cell>
          <cell r="H545">
            <v>13.917</v>
          </cell>
        </row>
        <row r="546">
          <cell r="A546" t="str">
            <v>CO07PPA</v>
          </cell>
          <cell r="B546" t="str">
            <v>PLUG  PANEL 7 PIN AMP</v>
          </cell>
          <cell r="C546">
            <v>14.75</v>
          </cell>
          <cell r="D546">
            <v>18.25</v>
          </cell>
          <cell r="E546">
            <v>18.25</v>
          </cell>
          <cell r="F546">
            <v>18.25</v>
          </cell>
          <cell r="G546">
            <v>18.25</v>
          </cell>
          <cell r="H546">
            <v>13.99</v>
          </cell>
          <cell r="I546">
            <v>39883</v>
          </cell>
        </row>
        <row r="547">
          <cell r="A547" t="str">
            <v>CO07RCO</v>
          </cell>
          <cell r="B547" t="str">
            <v>RECEPTACLE  CORD 7 WAY AMP</v>
          </cell>
          <cell r="C547">
            <v>20.350000000000001</v>
          </cell>
          <cell r="D547">
            <v>25.2</v>
          </cell>
          <cell r="E547">
            <v>25.2</v>
          </cell>
          <cell r="F547">
            <v>25.2</v>
          </cell>
          <cell r="G547">
            <v>25.2</v>
          </cell>
          <cell r="H547">
            <v>18.48</v>
          </cell>
          <cell r="I547">
            <v>39883</v>
          </cell>
        </row>
        <row r="548">
          <cell r="A548" t="str">
            <v>CO07RF</v>
          </cell>
          <cell r="B548" t="str">
            <v>7 WAY RECEPTACLE FEMALE</v>
          </cell>
          <cell r="C548">
            <v>18.5</v>
          </cell>
          <cell r="D548">
            <v>23</v>
          </cell>
          <cell r="E548">
            <v>23</v>
          </cell>
          <cell r="F548">
            <v>23</v>
          </cell>
          <cell r="G548">
            <v>23</v>
          </cell>
          <cell r="H548">
            <v>14.066000000000001</v>
          </cell>
        </row>
        <row r="549">
          <cell r="A549" t="str">
            <v>CO07RM</v>
          </cell>
          <cell r="B549" t="str">
            <v>7 WAY RECEPTACLE MALE</v>
          </cell>
          <cell r="C549">
            <v>16.5</v>
          </cell>
          <cell r="D549">
            <v>20</v>
          </cell>
          <cell r="E549">
            <v>20</v>
          </cell>
          <cell r="F549">
            <v>20</v>
          </cell>
          <cell r="G549">
            <v>20</v>
          </cell>
          <cell r="H549">
            <v>12.555999999999999</v>
          </cell>
        </row>
        <row r="550">
          <cell r="A550" t="str">
            <v>CO07RPA</v>
          </cell>
          <cell r="B550" t="str">
            <v>RECEPTACLE  PANEL 7 WAY AMP</v>
          </cell>
          <cell r="C550">
            <v>15.5</v>
          </cell>
          <cell r="D550">
            <v>15.5</v>
          </cell>
          <cell r="E550">
            <v>15.5</v>
          </cell>
          <cell r="F550">
            <v>15.5</v>
          </cell>
          <cell r="G550">
            <v>15.5</v>
          </cell>
          <cell r="H550">
            <v>11.28</v>
          </cell>
        </row>
        <row r="551">
          <cell r="A551" t="str">
            <v>CO08BUS</v>
          </cell>
          <cell r="B551" t="str">
            <v>BUSS BAR 8 WAY BRASS</v>
          </cell>
          <cell r="C551">
            <v>11</v>
          </cell>
          <cell r="D551">
            <v>11</v>
          </cell>
          <cell r="E551">
            <v>11</v>
          </cell>
          <cell r="F551">
            <v>11</v>
          </cell>
          <cell r="G551">
            <v>11</v>
          </cell>
          <cell r="H551">
            <v>7.2270000000000003</v>
          </cell>
        </row>
        <row r="552">
          <cell r="A552" t="str">
            <v>CO08HEAD</v>
          </cell>
          <cell r="B552" t="str">
            <v>PCB SOCKET 8+8 WAY</v>
          </cell>
          <cell r="C552">
            <v>7.26</v>
          </cell>
          <cell r="D552">
            <v>9</v>
          </cell>
          <cell r="E552">
            <v>9</v>
          </cell>
          <cell r="F552">
            <v>9</v>
          </cell>
          <cell r="G552">
            <v>9</v>
          </cell>
          <cell r="H552">
            <v>4.8499999999999996</v>
          </cell>
          <cell r="I552">
            <v>39883</v>
          </cell>
        </row>
        <row r="553">
          <cell r="A553" t="str">
            <v>CO08PSL</v>
          </cell>
          <cell r="B553" t="str">
            <v>PLUG  STD LETTER 8 WAY F-M AMP</v>
          </cell>
          <cell r="C553">
            <v>7</v>
          </cell>
          <cell r="D553">
            <v>7</v>
          </cell>
          <cell r="E553">
            <v>7</v>
          </cell>
          <cell r="F553">
            <v>7</v>
          </cell>
          <cell r="G553">
            <v>7</v>
          </cell>
          <cell r="H553">
            <v>5.21</v>
          </cell>
        </row>
        <row r="554">
          <cell r="A554" t="str">
            <v>CO08RSS</v>
          </cell>
          <cell r="B554" t="str">
            <v>RECEPTACLE  STD SEX 8 WAY MALE AMP</v>
          </cell>
          <cell r="C554">
            <v>41.84</v>
          </cell>
          <cell r="D554">
            <v>41.84</v>
          </cell>
          <cell r="E554">
            <v>41.84</v>
          </cell>
          <cell r="F554">
            <v>41.84</v>
          </cell>
          <cell r="G554">
            <v>41.84</v>
          </cell>
          <cell r="H554">
            <v>0</v>
          </cell>
        </row>
        <row r="555">
          <cell r="A555" t="str">
            <v>CO08RWO</v>
          </cell>
          <cell r="B555" t="str">
            <v>RECEPTACLE  STD SEX 8 WAY MALE AMP</v>
          </cell>
          <cell r="C555">
            <v>7.3</v>
          </cell>
          <cell r="D555">
            <v>7.3</v>
          </cell>
          <cell r="E555">
            <v>7.3</v>
          </cell>
          <cell r="F555">
            <v>7.3</v>
          </cell>
          <cell r="G555">
            <v>7.3</v>
          </cell>
          <cell r="H555">
            <v>5.84</v>
          </cell>
        </row>
        <row r="556">
          <cell r="A556" t="str">
            <v>CO0925F</v>
          </cell>
          <cell r="B556" t="str">
            <v>ADAPTOR  DB9 MALE TO DB25 FEMALE</v>
          </cell>
          <cell r="C556">
            <v>9</v>
          </cell>
          <cell r="D556">
            <v>9</v>
          </cell>
          <cell r="E556">
            <v>9</v>
          </cell>
          <cell r="F556">
            <v>9</v>
          </cell>
          <cell r="G556">
            <v>9</v>
          </cell>
          <cell r="H556">
            <v>7.28</v>
          </cell>
        </row>
        <row r="557">
          <cell r="A557" t="str">
            <v>CO0925M</v>
          </cell>
          <cell r="B557" t="str">
            <v>ADAPTOR  DB9 FEMALE TO DB25 MALE</v>
          </cell>
          <cell r="C557">
            <v>9</v>
          </cell>
          <cell r="D557">
            <v>9</v>
          </cell>
          <cell r="E557">
            <v>9</v>
          </cell>
          <cell r="F557">
            <v>9</v>
          </cell>
          <cell r="G557">
            <v>9</v>
          </cell>
          <cell r="H557">
            <v>6.4459999999999997</v>
          </cell>
        </row>
        <row r="558">
          <cell r="A558" t="str">
            <v>CO09CXF</v>
          </cell>
          <cell r="B558" t="str">
            <v>PLUG  FEMALE CONXALL 9 PIN</v>
          </cell>
          <cell r="C558">
            <v>33</v>
          </cell>
          <cell r="D558">
            <v>33</v>
          </cell>
          <cell r="E558">
            <v>33</v>
          </cell>
          <cell r="F558">
            <v>33</v>
          </cell>
          <cell r="G558">
            <v>33</v>
          </cell>
          <cell r="H558">
            <v>0</v>
          </cell>
        </row>
        <row r="559">
          <cell r="A559" t="str">
            <v>CO09CXM</v>
          </cell>
          <cell r="B559" t="str">
            <v>PLUG  MALE CONXALL 9 PIN</v>
          </cell>
          <cell r="C559">
            <v>27.5</v>
          </cell>
          <cell r="D559">
            <v>27.5</v>
          </cell>
          <cell r="E559">
            <v>27.5</v>
          </cell>
          <cell r="F559">
            <v>27.5</v>
          </cell>
          <cell r="G559">
            <v>27.5</v>
          </cell>
          <cell r="H559">
            <v>0</v>
          </cell>
        </row>
        <row r="560">
          <cell r="A560" t="str">
            <v>CO09DAA</v>
          </cell>
          <cell r="B560" t="str">
            <v>PLUG  DAA LOGGER 9 WAY</v>
          </cell>
          <cell r="C560">
            <v>28.26</v>
          </cell>
          <cell r="D560">
            <v>35</v>
          </cell>
          <cell r="E560">
            <v>35</v>
          </cell>
          <cell r="F560">
            <v>35</v>
          </cell>
          <cell r="G560">
            <v>35</v>
          </cell>
          <cell r="H560">
            <v>23.099</v>
          </cell>
          <cell r="I560">
            <v>39988</v>
          </cell>
        </row>
        <row r="561">
          <cell r="A561" t="str">
            <v>CO09DAM</v>
          </cell>
          <cell r="B561" t="str">
            <v>ADAPTOR  DB9 MALE TO DB9 MALE</v>
          </cell>
          <cell r="C561">
            <v>15</v>
          </cell>
          <cell r="D561">
            <v>15</v>
          </cell>
          <cell r="E561">
            <v>15</v>
          </cell>
          <cell r="F561">
            <v>15</v>
          </cell>
          <cell r="G561">
            <v>15</v>
          </cell>
          <cell r="H561">
            <v>8</v>
          </cell>
        </row>
        <row r="562">
          <cell r="A562" t="str">
            <v>CO09DB9</v>
          </cell>
          <cell r="B562" t="str">
            <v>SOCKET  DB9 SOLDER BUCKET</v>
          </cell>
          <cell r="C562">
            <v>3.07</v>
          </cell>
          <cell r="D562">
            <v>3.07</v>
          </cell>
          <cell r="E562">
            <v>3.07</v>
          </cell>
          <cell r="F562">
            <v>3.07</v>
          </cell>
          <cell r="G562">
            <v>3.07</v>
          </cell>
          <cell r="H562">
            <v>0</v>
          </cell>
        </row>
        <row r="563">
          <cell r="A563" t="str">
            <v>CO09IDD</v>
          </cell>
          <cell r="B563" t="str">
            <v>PLUG  IDD C-W STRAIN RELIEF 9 WAY</v>
          </cell>
          <cell r="C563">
            <v>3</v>
          </cell>
          <cell r="D563">
            <v>3</v>
          </cell>
          <cell r="E563">
            <v>3</v>
          </cell>
          <cell r="F563">
            <v>3</v>
          </cell>
          <cell r="G563">
            <v>3</v>
          </cell>
          <cell r="H563">
            <v>2</v>
          </cell>
        </row>
        <row r="564">
          <cell r="A564" t="str">
            <v>CO09IDS</v>
          </cell>
          <cell r="B564" t="str">
            <v>SOCKET  IDD C-W STRAIN RELIEF 9 WAY</v>
          </cell>
          <cell r="C564">
            <v>3</v>
          </cell>
          <cell r="D564">
            <v>3</v>
          </cell>
          <cell r="E564">
            <v>3</v>
          </cell>
          <cell r="F564">
            <v>3</v>
          </cell>
          <cell r="G564">
            <v>3</v>
          </cell>
          <cell r="H564">
            <v>2</v>
          </cell>
        </row>
        <row r="565">
          <cell r="A565" t="str">
            <v>CO09PMD</v>
          </cell>
          <cell r="B565" t="str">
            <v>PLUG  9 WAY. MINI DIN</v>
          </cell>
          <cell r="C565">
            <v>9.31</v>
          </cell>
          <cell r="D565">
            <v>9.31</v>
          </cell>
          <cell r="E565">
            <v>9.31</v>
          </cell>
          <cell r="F565">
            <v>9.31</v>
          </cell>
          <cell r="G565">
            <v>9.31</v>
          </cell>
          <cell r="H565">
            <v>0</v>
          </cell>
        </row>
        <row r="566">
          <cell r="A566" t="str">
            <v>CO09PSS</v>
          </cell>
          <cell r="B566" t="str">
            <v>PLUG  STD SEX 9 WAY F-M AMP</v>
          </cell>
          <cell r="C566">
            <v>8.24</v>
          </cell>
          <cell r="D566">
            <v>8.24</v>
          </cell>
          <cell r="E566">
            <v>8.24</v>
          </cell>
          <cell r="F566">
            <v>8.24</v>
          </cell>
          <cell r="G566">
            <v>8.24</v>
          </cell>
          <cell r="H566">
            <v>0</v>
          </cell>
        </row>
        <row r="567">
          <cell r="A567" t="str">
            <v>CO09RSS</v>
          </cell>
          <cell r="B567" t="str">
            <v>RECEPTACLE  STD SEX 9 WAY MALE AMP</v>
          </cell>
          <cell r="C567">
            <v>7.45</v>
          </cell>
          <cell r="D567">
            <v>7.45</v>
          </cell>
          <cell r="E567">
            <v>7.45</v>
          </cell>
          <cell r="F567">
            <v>7.45</v>
          </cell>
          <cell r="G567">
            <v>7.45</v>
          </cell>
          <cell r="H567">
            <v>0</v>
          </cell>
        </row>
        <row r="568">
          <cell r="A568" t="str">
            <v>CO10PLU</v>
          </cell>
          <cell r="B568" t="str">
            <v>PLUG  10 WAY</v>
          </cell>
          <cell r="C568">
            <v>7.3</v>
          </cell>
          <cell r="D568">
            <v>7.3</v>
          </cell>
          <cell r="E568">
            <v>7.3</v>
          </cell>
          <cell r="F568">
            <v>7.3</v>
          </cell>
          <cell r="G568">
            <v>7.3</v>
          </cell>
          <cell r="H568">
            <v>3.7480000000000002</v>
          </cell>
        </row>
        <row r="569">
          <cell r="A569" t="str">
            <v>CO10SOC</v>
          </cell>
          <cell r="B569" t="str">
            <v>SOCKET  CLOSED 10 WAY</v>
          </cell>
          <cell r="C569">
            <v>5.6</v>
          </cell>
          <cell r="D569">
            <v>5.6</v>
          </cell>
          <cell r="E569">
            <v>5.6</v>
          </cell>
          <cell r="F569">
            <v>5.6</v>
          </cell>
          <cell r="G569">
            <v>5.6</v>
          </cell>
          <cell r="H569">
            <v>1.81</v>
          </cell>
        </row>
        <row r="570">
          <cell r="A570" t="str">
            <v>CO10SOCKV</v>
          </cell>
          <cell r="B570" t="str">
            <v>10 WAY 1 ROW VERTICAL SOCKET</v>
          </cell>
          <cell r="C570">
            <v>4.45</v>
          </cell>
          <cell r="D570">
            <v>5.5</v>
          </cell>
          <cell r="E570">
            <v>5.5</v>
          </cell>
          <cell r="F570">
            <v>5.5</v>
          </cell>
          <cell r="G570">
            <v>5.5</v>
          </cell>
          <cell r="H570">
            <v>3.88</v>
          </cell>
          <cell r="I570">
            <v>39883</v>
          </cell>
        </row>
        <row r="571">
          <cell r="A571" t="str">
            <v>CO10TERP</v>
          </cell>
          <cell r="B571" t="str">
            <v>10W PHOENIX TERMINAL BLOCK</v>
          </cell>
          <cell r="C571">
            <v>2.5</v>
          </cell>
          <cell r="D571">
            <v>2.5</v>
          </cell>
          <cell r="E571">
            <v>2.5</v>
          </cell>
          <cell r="F571">
            <v>2.5</v>
          </cell>
          <cell r="G571">
            <v>2.5</v>
          </cell>
          <cell r="H571">
            <v>2</v>
          </cell>
        </row>
        <row r="572">
          <cell r="A572" t="str">
            <v>CO12BEL</v>
          </cell>
          <cell r="B572" t="str">
            <v>BLOCK  BELLING LEE. 12 WAY</v>
          </cell>
          <cell r="C572">
            <v>47</v>
          </cell>
          <cell r="D572">
            <v>47</v>
          </cell>
          <cell r="E572">
            <v>47</v>
          </cell>
          <cell r="F572">
            <v>47</v>
          </cell>
          <cell r="G572">
            <v>47</v>
          </cell>
          <cell r="H572">
            <v>36.75</v>
          </cell>
        </row>
        <row r="573">
          <cell r="A573" t="str">
            <v>CO14BEL</v>
          </cell>
          <cell r="B573" t="str">
            <v>TERMINAL BLOCK 12 WAY #L1790a</v>
          </cell>
          <cell r="C573">
            <v>28</v>
          </cell>
          <cell r="D573">
            <v>34.5</v>
          </cell>
          <cell r="E573">
            <v>34.5</v>
          </cell>
          <cell r="F573">
            <v>34.5</v>
          </cell>
          <cell r="G573">
            <v>34.5</v>
          </cell>
          <cell r="H573">
            <v>30.76</v>
          </cell>
          <cell r="I573">
            <v>39988</v>
          </cell>
        </row>
        <row r="574">
          <cell r="A574" t="str">
            <v>CO14IDC</v>
          </cell>
          <cell r="B574" t="str">
            <v>SOCKET  IDC C-W STRAIN RELIEF 14 WAY</v>
          </cell>
          <cell r="C574">
            <v>1.5</v>
          </cell>
          <cell r="D574">
            <v>1.5</v>
          </cell>
          <cell r="E574">
            <v>1.5</v>
          </cell>
          <cell r="F574">
            <v>1.5</v>
          </cell>
          <cell r="G574">
            <v>1.5</v>
          </cell>
          <cell r="H574">
            <v>0</v>
          </cell>
        </row>
        <row r="575">
          <cell r="A575" t="str">
            <v>CO15PIN</v>
          </cell>
          <cell r="B575" t="str">
            <v>PIN  MALE 15 WAY D PLUG</v>
          </cell>
          <cell r="C575">
            <v>0.75</v>
          </cell>
          <cell r="D575">
            <v>0.75</v>
          </cell>
          <cell r="E575">
            <v>0.75</v>
          </cell>
          <cell r="F575">
            <v>0.75</v>
          </cell>
          <cell r="G575">
            <v>0.75</v>
          </cell>
          <cell r="H575">
            <v>0.17</v>
          </cell>
        </row>
        <row r="576">
          <cell r="A576" t="str">
            <v>CO15PLU</v>
          </cell>
          <cell r="B576" t="str">
            <v>PLUG  15 WAY MALE D</v>
          </cell>
          <cell r="C576">
            <v>10</v>
          </cell>
          <cell r="D576">
            <v>10</v>
          </cell>
          <cell r="E576">
            <v>10</v>
          </cell>
          <cell r="F576">
            <v>10</v>
          </cell>
          <cell r="G576">
            <v>10</v>
          </cell>
          <cell r="H576">
            <v>0</v>
          </cell>
        </row>
        <row r="577">
          <cell r="A577" t="str">
            <v>CO15SOC</v>
          </cell>
          <cell r="B577" t="str">
            <v>SOCKER FEMALE SOLDER 15 WAY D</v>
          </cell>
          <cell r="C577">
            <v>1.4</v>
          </cell>
          <cell r="D577">
            <v>1.74</v>
          </cell>
          <cell r="E577">
            <v>1.74</v>
          </cell>
          <cell r="F577">
            <v>1.74</v>
          </cell>
          <cell r="G577">
            <v>1.74</v>
          </cell>
          <cell r="H577">
            <v>0.85</v>
          </cell>
        </row>
        <row r="578">
          <cell r="A578" t="str">
            <v>CO18CXF</v>
          </cell>
          <cell r="B578" t="str">
            <v>CONNECTOR  FEMALE CONXALL 18 PIN</v>
          </cell>
          <cell r="C578">
            <v>52.5</v>
          </cell>
          <cell r="D578">
            <v>52.5</v>
          </cell>
          <cell r="E578">
            <v>52.5</v>
          </cell>
          <cell r="F578">
            <v>52.5</v>
          </cell>
          <cell r="G578">
            <v>52.5</v>
          </cell>
          <cell r="H578">
            <v>38</v>
          </cell>
        </row>
        <row r="579">
          <cell r="A579" t="str">
            <v>CO18CXM</v>
          </cell>
          <cell r="B579" t="str">
            <v>CONNECTOR  MALE CONXALL 18 PIN</v>
          </cell>
          <cell r="C579">
            <v>31.5</v>
          </cell>
          <cell r="D579">
            <v>31.5</v>
          </cell>
          <cell r="E579">
            <v>31.5</v>
          </cell>
          <cell r="F579">
            <v>31.5</v>
          </cell>
          <cell r="G579">
            <v>31.5</v>
          </cell>
          <cell r="H579">
            <v>19.5</v>
          </cell>
        </row>
        <row r="580">
          <cell r="A580" t="str">
            <v>CO18KLI</v>
          </cell>
          <cell r="B580" t="str">
            <v>BLOCK 18 WAY KLIPPON</v>
          </cell>
          <cell r="C580">
            <v>21.2</v>
          </cell>
          <cell r="D580">
            <v>26.2</v>
          </cell>
          <cell r="E580">
            <v>26.2</v>
          </cell>
          <cell r="F580">
            <v>26.2</v>
          </cell>
          <cell r="G580">
            <v>26.2</v>
          </cell>
          <cell r="H580">
            <v>20.16</v>
          </cell>
        </row>
        <row r="581">
          <cell r="A581" t="str">
            <v>CO2509NM</v>
          </cell>
          <cell r="B581" t="str">
            <v>SERIAL ADAPTER D25M-D9F NULL MODEM</v>
          </cell>
          <cell r="C581">
            <v>6</v>
          </cell>
          <cell r="D581">
            <v>6</v>
          </cell>
          <cell r="E581">
            <v>6</v>
          </cell>
          <cell r="F581">
            <v>6</v>
          </cell>
          <cell r="G581">
            <v>6</v>
          </cell>
          <cell r="H581">
            <v>4</v>
          </cell>
        </row>
        <row r="582">
          <cell r="A582" t="str">
            <v>CO25DAF</v>
          </cell>
          <cell r="B582" t="str">
            <v>ADAPTER D25 F-M TO D25 F-M.(GENDER BENDE</v>
          </cell>
          <cell r="C582">
            <v>21.79</v>
          </cell>
          <cell r="D582">
            <v>21.79</v>
          </cell>
          <cell r="E582">
            <v>21.79</v>
          </cell>
          <cell r="F582">
            <v>21.79</v>
          </cell>
          <cell r="G582">
            <v>21.79</v>
          </cell>
          <cell r="H582">
            <v>0</v>
          </cell>
        </row>
        <row r="583">
          <cell r="A583" t="str">
            <v>CO25DAM</v>
          </cell>
          <cell r="B583" t="str">
            <v>ADAPTER  D25 MALE TO D25 MALE.(GENDER BE</v>
          </cell>
          <cell r="C583">
            <v>22.81</v>
          </cell>
          <cell r="D583">
            <v>22.81</v>
          </cell>
          <cell r="E583">
            <v>22.81</v>
          </cell>
          <cell r="F583">
            <v>22.81</v>
          </cell>
          <cell r="G583">
            <v>22.81</v>
          </cell>
          <cell r="H583">
            <v>0</v>
          </cell>
        </row>
        <row r="584">
          <cell r="A584" t="str">
            <v>CO25IDD</v>
          </cell>
          <cell r="B584" t="str">
            <v>PLUG  MALE D25 C-W STRAIN RELIEF</v>
          </cell>
          <cell r="C584">
            <v>9.1300000000000008</v>
          </cell>
          <cell r="D584">
            <v>9.1300000000000008</v>
          </cell>
          <cell r="E584">
            <v>9.1300000000000008</v>
          </cell>
          <cell r="F584">
            <v>9.1300000000000008</v>
          </cell>
          <cell r="G584">
            <v>9.1300000000000008</v>
          </cell>
          <cell r="H584">
            <v>3.7050000000000001</v>
          </cell>
        </row>
        <row r="585">
          <cell r="A585" t="str">
            <v>CO25IDS</v>
          </cell>
          <cell r="B585" t="str">
            <v>PLUG  F-M D25 C-W STRAIN RELIEF</v>
          </cell>
          <cell r="C585">
            <v>4.1500000000000004</v>
          </cell>
          <cell r="D585">
            <v>4.1500000000000004</v>
          </cell>
          <cell r="E585">
            <v>4.1500000000000004</v>
          </cell>
          <cell r="F585">
            <v>4.1500000000000004</v>
          </cell>
          <cell r="G585">
            <v>4.1500000000000004</v>
          </cell>
          <cell r="H585">
            <v>2.39</v>
          </cell>
        </row>
        <row r="586">
          <cell r="A586" t="str">
            <v>CO28CCN</v>
          </cell>
          <cell r="B586" t="str">
            <v>CLAMP CABLE FOR 28 WAY AMP PLUGS</v>
          </cell>
          <cell r="C586">
            <v>4.2</v>
          </cell>
          <cell r="D586">
            <v>4.2</v>
          </cell>
          <cell r="E586">
            <v>4.2</v>
          </cell>
          <cell r="F586">
            <v>4.2</v>
          </cell>
          <cell r="G586">
            <v>4.2</v>
          </cell>
          <cell r="H586">
            <v>0</v>
          </cell>
        </row>
        <row r="587">
          <cell r="A587" t="str">
            <v>CO28CSA</v>
          </cell>
          <cell r="B587" t="str">
            <v>CAP  SEAL 28 WAY AMP</v>
          </cell>
          <cell r="C587">
            <v>13.21</v>
          </cell>
          <cell r="D587">
            <v>13.21</v>
          </cell>
          <cell r="E587">
            <v>13.21</v>
          </cell>
          <cell r="F587">
            <v>13.21</v>
          </cell>
          <cell r="G587">
            <v>13.21</v>
          </cell>
          <cell r="H587">
            <v>0</v>
          </cell>
        </row>
        <row r="588">
          <cell r="A588" t="str">
            <v>CO28PFM</v>
          </cell>
          <cell r="B588" t="str">
            <v>PLUG 2 8 WAY (DDK  97MS SERIES)</v>
          </cell>
          <cell r="C588">
            <v>65.36</v>
          </cell>
          <cell r="D588">
            <v>65.36</v>
          </cell>
          <cell r="E588">
            <v>65.36</v>
          </cell>
          <cell r="F588">
            <v>65.36</v>
          </cell>
          <cell r="G588">
            <v>65.36</v>
          </cell>
          <cell r="H588">
            <v>0</v>
          </cell>
        </row>
        <row r="589">
          <cell r="A589" t="str">
            <v>CO28PRF</v>
          </cell>
          <cell r="B589" t="str">
            <v>PLUG. 28 WAY REVERSE LETTER AMP</v>
          </cell>
          <cell r="C589">
            <v>4.5</v>
          </cell>
          <cell r="D589">
            <v>4.5</v>
          </cell>
          <cell r="E589">
            <v>4.5</v>
          </cell>
          <cell r="F589">
            <v>4.5</v>
          </cell>
          <cell r="G589">
            <v>4.5</v>
          </cell>
          <cell r="H589">
            <v>0</v>
          </cell>
        </row>
        <row r="590">
          <cell r="A590" t="str">
            <v>CO28PRL</v>
          </cell>
          <cell r="B590" t="str">
            <v>PLUG  28 WAY REVERSE LETTER AMP</v>
          </cell>
          <cell r="C590">
            <v>20.28</v>
          </cell>
          <cell r="D590">
            <v>20.28</v>
          </cell>
          <cell r="E590">
            <v>20.28</v>
          </cell>
          <cell r="F590">
            <v>20.28</v>
          </cell>
          <cell r="G590">
            <v>20.28</v>
          </cell>
          <cell r="H590">
            <v>0</v>
          </cell>
        </row>
        <row r="591">
          <cell r="A591" t="str">
            <v>CO28PSL</v>
          </cell>
          <cell r="B591" t="str">
            <v>PLUG  28 WAY STD LETTER F-M AMP</v>
          </cell>
          <cell r="C591">
            <v>17.52</v>
          </cell>
          <cell r="D591">
            <v>17.52</v>
          </cell>
          <cell r="E591">
            <v>17.52</v>
          </cell>
          <cell r="F591">
            <v>17.52</v>
          </cell>
          <cell r="G591">
            <v>17.52</v>
          </cell>
          <cell r="H591">
            <v>0</v>
          </cell>
        </row>
        <row r="592">
          <cell r="A592" t="str">
            <v>CO28RSS</v>
          </cell>
          <cell r="B592" t="str">
            <v>RECEPTACLE  28 WAY STD SEX MALE AMP</v>
          </cell>
          <cell r="C592">
            <v>12</v>
          </cell>
          <cell r="D592">
            <v>12</v>
          </cell>
          <cell r="E592">
            <v>12</v>
          </cell>
          <cell r="F592">
            <v>12</v>
          </cell>
          <cell r="G592">
            <v>12</v>
          </cell>
          <cell r="H592">
            <v>0</v>
          </cell>
        </row>
        <row r="593">
          <cell r="A593" t="str">
            <v>CO28RSW</v>
          </cell>
          <cell r="B593" t="str">
            <v>RECEPTACLE  28 WAY STD SEX MALE AMP</v>
          </cell>
          <cell r="C593">
            <v>9.84</v>
          </cell>
          <cell r="D593">
            <v>9.84</v>
          </cell>
          <cell r="E593">
            <v>9.84</v>
          </cell>
          <cell r="F593">
            <v>9.84</v>
          </cell>
          <cell r="G593">
            <v>9.84</v>
          </cell>
          <cell r="H593">
            <v>0</v>
          </cell>
        </row>
        <row r="594">
          <cell r="A594" t="str">
            <v>CO28SMI</v>
          </cell>
          <cell r="B594" t="str">
            <v>RECEPTACLE  28 WAY MALE (DDK  97MS SERIE</v>
          </cell>
          <cell r="C594">
            <v>51</v>
          </cell>
          <cell r="D594">
            <v>63</v>
          </cell>
          <cell r="E594">
            <v>63</v>
          </cell>
          <cell r="F594">
            <v>63</v>
          </cell>
          <cell r="G594">
            <v>63</v>
          </cell>
          <cell r="H594">
            <v>0</v>
          </cell>
          <cell r="I594">
            <v>39883</v>
          </cell>
        </row>
        <row r="595">
          <cell r="A595" t="str">
            <v>CO31CXM</v>
          </cell>
          <cell r="B595" t="str">
            <v>PLUG  31 PIN MALE CONXALL</v>
          </cell>
          <cell r="C595">
            <v>57</v>
          </cell>
          <cell r="D595">
            <v>57</v>
          </cell>
          <cell r="E595">
            <v>57</v>
          </cell>
          <cell r="F595">
            <v>57</v>
          </cell>
          <cell r="G595">
            <v>57</v>
          </cell>
          <cell r="H595">
            <v>0</v>
          </cell>
        </row>
        <row r="596">
          <cell r="A596" t="str">
            <v>COCABRF</v>
          </cell>
          <cell r="B596" t="str">
            <v>CABLE CONNECTOR  FEMALE RIGHT ANGLE</v>
          </cell>
          <cell r="C596">
            <v>29</v>
          </cell>
          <cell r="D596">
            <v>29</v>
          </cell>
          <cell r="E596">
            <v>29</v>
          </cell>
          <cell r="F596">
            <v>29</v>
          </cell>
          <cell r="G596">
            <v>29</v>
          </cell>
          <cell r="H596">
            <v>18.75</v>
          </cell>
        </row>
        <row r="597">
          <cell r="A597" t="str">
            <v>COCABRM</v>
          </cell>
          <cell r="B597" t="str">
            <v>CABLE CONNECTOR  MALE RIGHT ANGLE</v>
          </cell>
          <cell r="C597">
            <v>30</v>
          </cell>
          <cell r="D597">
            <v>30</v>
          </cell>
          <cell r="E597">
            <v>30</v>
          </cell>
          <cell r="F597">
            <v>30</v>
          </cell>
          <cell r="G597">
            <v>30</v>
          </cell>
          <cell r="H597">
            <v>21.29</v>
          </cell>
        </row>
        <row r="598">
          <cell r="A598" t="str">
            <v>COCASMB</v>
          </cell>
          <cell r="B598" t="str">
            <v>PLUG C/A 1 CS RG58 SMB WITH 15FT CABLE</v>
          </cell>
          <cell r="C598">
            <v>816</v>
          </cell>
          <cell r="D598">
            <v>1010</v>
          </cell>
          <cell r="E598">
            <v>1010</v>
          </cell>
          <cell r="F598">
            <v>1010</v>
          </cell>
          <cell r="G598">
            <v>1010</v>
          </cell>
          <cell r="H598">
            <v>776.77499999999998</v>
          </cell>
          <cell r="I598">
            <v>39883</v>
          </cell>
        </row>
        <row r="599">
          <cell r="A599" t="str">
            <v>COCASMR</v>
          </cell>
          <cell r="B599" t="str">
            <v>RECEPTACLE 1 CX RG58 SMB</v>
          </cell>
          <cell r="C599">
            <v>234</v>
          </cell>
          <cell r="D599">
            <v>290</v>
          </cell>
          <cell r="E599">
            <v>290</v>
          </cell>
          <cell r="F599">
            <v>290</v>
          </cell>
          <cell r="G599">
            <v>290</v>
          </cell>
          <cell r="H599">
            <v>222.613</v>
          </cell>
          <cell r="I599">
            <v>39883</v>
          </cell>
        </row>
        <row r="600">
          <cell r="A600" t="str">
            <v>COCOANB</v>
          </cell>
          <cell r="B600" t="str">
            <v>ADAPTER N-MALE TO BNC FEMALE COAX</v>
          </cell>
          <cell r="C600">
            <v>0</v>
          </cell>
          <cell r="D600">
            <v>0</v>
          </cell>
          <cell r="E600">
            <v>0</v>
          </cell>
          <cell r="F600">
            <v>0</v>
          </cell>
          <cell r="G600">
            <v>0</v>
          </cell>
          <cell r="H600">
            <v>0</v>
          </cell>
        </row>
        <row r="601">
          <cell r="A601" t="str">
            <v>COCOANN</v>
          </cell>
          <cell r="B601" t="str">
            <v>ADAPTER CABLE N-MALE TO N-MALE 1m</v>
          </cell>
          <cell r="C601">
            <v>28</v>
          </cell>
          <cell r="D601">
            <v>28</v>
          </cell>
          <cell r="E601">
            <v>28</v>
          </cell>
          <cell r="F601">
            <v>28</v>
          </cell>
          <cell r="G601">
            <v>28</v>
          </cell>
          <cell r="H601">
            <v>21.6</v>
          </cell>
        </row>
        <row r="602">
          <cell r="A602" t="str">
            <v>COCOBPM</v>
          </cell>
          <cell r="B602" t="str">
            <v>CONNECTOR BNC MALE</v>
          </cell>
          <cell r="C602">
            <v>5.8</v>
          </cell>
          <cell r="D602">
            <v>7.15</v>
          </cell>
          <cell r="E602">
            <v>7.15</v>
          </cell>
          <cell r="F602">
            <v>7.15</v>
          </cell>
          <cell r="G602">
            <v>7.15</v>
          </cell>
          <cell r="H602">
            <v>2.72</v>
          </cell>
          <cell r="I602">
            <v>39883</v>
          </cell>
        </row>
        <row r="603">
          <cell r="A603" t="str">
            <v>COCOBSF</v>
          </cell>
          <cell r="B603" t="str">
            <v>SOCKET  TYPE BNC F-M (URM43 &amp; RG58 COAX</v>
          </cell>
          <cell r="C603">
            <v>5</v>
          </cell>
          <cell r="D603">
            <v>5</v>
          </cell>
          <cell r="E603">
            <v>5</v>
          </cell>
          <cell r="F603">
            <v>5</v>
          </cell>
          <cell r="G603">
            <v>5</v>
          </cell>
          <cell r="H603">
            <v>0</v>
          </cell>
        </row>
        <row r="604">
          <cell r="A604" t="str">
            <v>COCOFNMB</v>
          </cell>
          <cell r="B604" t="str">
            <v>COAXIAL ADAPTER, FEMALE N - MALE BNC</v>
          </cell>
          <cell r="C604">
            <v>32</v>
          </cell>
          <cell r="D604">
            <v>37</v>
          </cell>
          <cell r="E604">
            <v>37</v>
          </cell>
          <cell r="F604">
            <v>37</v>
          </cell>
          <cell r="G604">
            <v>37</v>
          </cell>
          <cell r="H604">
            <v>29.7</v>
          </cell>
        </row>
        <row r="605">
          <cell r="A605" t="str">
            <v>COCONB</v>
          </cell>
          <cell r="B605" t="str">
            <v>CONNECTOR, N PLUG TO BNC JACK</v>
          </cell>
          <cell r="C605">
            <v>30</v>
          </cell>
          <cell r="D605">
            <v>30</v>
          </cell>
          <cell r="E605">
            <v>30</v>
          </cell>
          <cell r="F605">
            <v>30</v>
          </cell>
          <cell r="G605">
            <v>30</v>
          </cell>
          <cell r="H605">
            <v>20</v>
          </cell>
        </row>
        <row r="606">
          <cell r="A606" t="str">
            <v>COCONPC</v>
          </cell>
          <cell r="B606" t="str">
            <v>"PLUG TYPE N MALE (1_4"" CELLFLEX CABLE)</v>
          </cell>
          <cell r="C606">
            <v>27.14</v>
          </cell>
          <cell r="D606">
            <v>27.14</v>
          </cell>
          <cell r="E606">
            <v>27.14</v>
          </cell>
          <cell r="F606">
            <v>27.14</v>
          </cell>
          <cell r="G606">
            <v>27.14</v>
          </cell>
          <cell r="H606">
            <v>0</v>
          </cell>
        </row>
        <row r="607">
          <cell r="A607" t="str">
            <v>COCONPL</v>
          </cell>
          <cell r="B607" t="str">
            <v>PLUG TYPE N MALE (UR67(RG213) CABLE)</v>
          </cell>
          <cell r="C607">
            <v>21.45</v>
          </cell>
          <cell r="D607">
            <v>21.45</v>
          </cell>
          <cell r="E607">
            <v>21.45</v>
          </cell>
          <cell r="F607">
            <v>21.45</v>
          </cell>
          <cell r="G607">
            <v>21.45</v>
          </cell>
          <cell r="H607">
            <v>0</v>
          </cell>
        </row>
        <row r="608">
          <cell r="A608" t="str">
            <v>COCONPM</v>
          </cell>
          <cell r="B608" t="str">
            <v>PLUG TYPE N MALE (URM43 &amp; RG58 COAX CABL</v>
          </cell>
          <cell r="C608">
            <v>11.55</v>
          </cell>
          <cell r="D608">
            <v>11.55</v>
          </cell>
          <cell r="E608">
            <v>11.55</v>
          </cell>
          <cell r="F608">
            <v>11.55</v>
          </cell>
          <cell r="G608">
            <v>11.55</v>
          </cell>
          <cell r="H608">
            <v>0</v>
          </cell>
        </row>
        <row r="609">
          <cell r="A609" t="str">
            <v>COCONSC</v>
          </cell>
          <cell r="B609" t="str">
            <v>"SOCKET TYPE N F-M (1_4"" CELLFLEX COAX</v>
          </cell>
          <cell r="C609">
            <v>27.14</v>
          </cell>
          <cell r="D609">
            <v>27.14</v>
          </cell>
          <cell r="E609">
            <v>27.14</v>
          </cell>
          <cell r="F609">
            <v>27.14</v>
          </cell>
          <cell r="G609">
            <v>27.14</v>
          </cell>
          <cell r="H609">
            <v>0</v>
          </cell>
        </row>
        <row r="610">
          <cell r="A610" t="str">
            <v>COCONSF</v>
          </cell>
          <cell r="B610" t="str">
            <v>SOCKET TYPE N F-M (URM43 &amp; RG58 COAX CAB</v>
          </cell>
          <cell r="C610">
            <v>26.54</v>
          </cell>
          <cell r="D610">
            <v>26.54</v>
          </cell>
          <cell r="E610">
            <v>26.54</v>
          </cell>
          <cell r="F610">
            <v>26.54</v>
          </cell>
          <cell r="G610">
            <v>26.54</v>
          </cell>
          <cell r="H610">
            <v>0</v>
          </cell>
        </row>
        <row r="611">
          <cell r="A611" t="str">
            <v>COCONSL</v>
          </cell>
          <cell r="B611" t="str">
            <v>SOCKET TYPE N F-M (URM43 &amp; RG58 COAXIAL</v>
          </cell>
          <cell r="C611">
            <v>21.24</v>
          </cell>
          <cell r="D611">
            <v>21.24</v>
          </cell>
          <cell r="E611">
            <v>21.24</v>
          </cell>
          <cell r="F611">
            <v>21.24</v>
          </cell>
          <cell r="G611">
            <v>21.24</v>
          </cell>
          <cell r="H611">
            <v>0</v>
          </cell>
        </row>
        <row r="612">
          <cell r="A612" t="str">
            <v>COCOSMC</v>
          </cell>
          <cell r="B612" t="str">
            <v>SMA COUPLER (FEMALE - FEMALE)</v>
          </cell>
          <cell r="C612">
            <v>6</v>
          </cell>
          <cell r="D612">
            <v>6</v>
          </cell>
          <cell r="E612">
            <v>6</v>
          </cell>
          <cell r="F612">
            <v>6</v>
          </cell>
          <cell r="G612">
            <v>6</v>
          </cell>
          <cell r="H612">
            <v>4.45</v>
          </cell>
        </row>
        <row r="613">
          <cell r="A613" t="str">
            <v>COCOSMN</v>
          </cell>
          <cell r="B613" t="str">
            <v>ADAPTER  SMA MALE TO N FEMALE</v>
          </cell>
          <cell r="C613">
            <v>25</v>
          </cell>
          <cell r="D613">
            <v>31</v>
          </cell>
          <cell r="E613">
            <v>31</v>
          </cell>
          <cell r="F613">
            <v>31</v>
          </cell>
          <cell r="G613">
            <v>31</v>
          </cell>
          <cell r="H613">
            <v>0</v>
          </cell>
          <cell r="I613">
            <v>39883</v>
          </cell>
        </row>
        <row r="614">
          <cell r="A614" t="str">
            <v>COGALLM</v>
          </cell>
          <cell r="B614" t="str">
            <v>CONNECTOR, GALLAGHER MULTI REEL</v>
          </cell>
          <cell r="C614">
            <v>30.75</v>
          </cell>
          <cell r="D614">
            <v>30.75</v>
          </cell>
          <cell r="E614">
            <v>30.75</v>
          </cell>
          <cell r="F614">
            <v>30.75</v>
          </cell>
          <cell r="G614">
            <v>30.75</v>
          </cell>
          <cell r="H614">
            <v>23.65</v>
          </cell>
        </row>
        <row r="615">
          <cell r="A615" t="str">
            <v>COKEACL</v>
          </cell>
          <cell r="B615" t="str">
            <v>KLIPPON EARTH RAIL CLAMP</v>
          </cell>
          <cell r="C615">
            <v>16.649999999999999</v>
          </cell>
          <cell r="D615">
            <v>16.649999999999999</v>
          </cell>
          <cell r="E615">
            <v>16.649999999999999</v>
          </cell>
          <cell r="F615">
            <v>16.649999999999999</v>
          </cell>
          <cell r="G615">
            <v>16.649999999999999</v>
          </cell>
          <cell r="H615">
            <v>12.78</v>
          </cell>
          <cell r="I615">
            <v>40252</v>
          </cell>
        </row>
        <row r="616">
          <cell r="A616" t="str">
            <v>COKEB01</v>
          </cell>
          <cell r="B616" t="str">
            <v>KLIPPON END BRACKET EWL1</v>
          </cell>
          <cell r="C616">
            <v>2</v>
          </cell>
          <cell r="D616">
            <v>2.2999999999999998</v>
          </cell>
          <cell r="E616">
            <v>2.2999999999999998</v>
          </cell>
          <cell r="F616">
            <v>2.2999999999999998</v>
          </cell>
          <cell r="G616">
            <v>2.2999999999999998</v>
          </cell>
          <cell r="H616">
            <v>1.95</v>
          </cell>
        </row>
        <row r="617">
          <cell r="A617" t="str">
            <v>COKENPL</v>
          </cell>
          <cell r="B617" t="str">
            <v>KLIPPON END PLATE</v>
          </cell>
          <cell r="C617">
            <v>1.2</v>
          </cell>
          <cell r="D617">
            <v>1.2</v>
          </cell>
          <cell r="E617">
            <v>1.2</v>
          </cell>
          <cell r="F617">
            <v>1.2</v>
          </cell>
          <cell r="G617">
            <v>1.2</v>
          </cell>
          <cell r="H617">
            <v>1.06</v>
          </cell>
        </row>
        <row r="618">
          <cell r="A618" t="str">
            <v>COKEP03</v>
          </cell>
          <cell r="B618" t="str">
            <v>KLIPPON END PLATE SAK-3</v>
          </cell>
          <cell r="C618">
            <v>2</v>
          </cell>
          <cell r="D618">
            <v>2.5</v>
          </cell>
          <cell r="E618">
            <v>2.5</v>
          </cell>
          <cell r="F618">
            <v>2.5</v>
          </cell>
          <cell r="G618">
            <v>2.5</v>
          </cell>
          <cell r="H618">
            <v>0</v>
          </cell>
          <cell r="I618">
            <v>39883</v>
          </cell>
        </row>
        <row r="619">
          <cell r="A619" t="str">
            <v>COKEP10</v>
          </cell>
          <cell r="B619" t="str">
            <v>KLIPPON END PLATE SAK10AP</v>
          </cell>
          <cell r="C619">
            <v>1.26</v>
          </cell>
          <cell r="D619">
            <v>1.26</v>
          </cell>
          <cell r="E619">
            <v>1.26</v>
          </cell>
          <cell r="F619">
            <v>1.26</v>
          </cell>
          <cell r="G619">
            <v>1.26</v>
          </cell>
          <cell r="H619">
            <v>0</v>
          </cell>
        </row>
        <row r="620">
          <cell r="A620" t="str">
            <v>COKEPAP</v>
          </cell>
          <cell r="B620" t="str">
            <v>KLIPPON END PLATE SAK4</v>
          </cell>
          <cell r="C620">
            <v>1.81</v>
          </cell>
          <cell r="D620">
            <v>1.81</v>
          </cell>
          <cell r="E620">
            <v>1.81</v>
          </cell>
          <cell r="F620">
            <v>1.81</v>
          </cell>
          <cell r="G620">
            <v>1.81</v>
          </cell>
          <cell r="H620">
            <v>0</v>
          </cell>
        </row>
        <row r="621">
          <cell r="A621" t="str">
            <v>COKNUSF</v>
          </cell>
          <cell r="B621" t="str">
            <v>KLIPPOON SLIDE FIXING NUT</v>
          </cell>
          <cell r="C621">
            <v>2</v>
          </cell>
          <cell r="D621">
            <v>2</v>
          </cell>
          <cell r="E621">
            <v>2</v>
          </cell>
          <cell r="F621">
            <v>2</v>
          </cell>
          <cell r="G621">
            <v>2</v>
          </cell>
          <cell r="H621">
            <v>0</v>
          </cell>
        </row>
        <row r="622">
          <cell r="A622" t="str">
            <v>COKRA20</v>
          </cell>
          <cell r="B622" t="str">
            <v>KLIPPON RAIL SUPPORT TAS20</v>
          </cell>
          <cell r="C622">
            <v>36.5</v>
          </cell>
          <cell r="D622">
            <v>36.5</v>
          </cell>
          <cell r="E622">
            <v>36.5</v>
          </cell>
          <cell r="F622">
            <v>36.5</v>
          </cell>
          <cell r="G622">
            <v>36.5</v>
          </cell>
          <cell r="H622">
            <v>36.69</v>
          </cell>
        </row>
        <row r="623">
          <cell r="A623" t="str">
            <v>COKRA32</v>
          </cell>
          <cell r="B623" t="str">
            <v>KLIPPON RAIL SUPPORT TS32AL 2M</v>
          </cell>
          <cell r="C623">
            <v>12</v>
          </cell>
          <cell r="D623">
            <v>12</v>
          </cell>
          <cell r="E623">
            <v>12</v>
          </cell>
          <cell r="F623">
            <v>12</v>
          </cell>
          <cell r="G623">
            <v>12</v>
          </cell>
          <cell r="H623">
            <v>23.39</v>
          </cell>
        </row>
        <row r="624">
          <cell r="A624" t="str">
            <v>COKSCRF</v>
          </cell>
          <cell r="B624" t="str">
            <v>KLIPPON SCREW FIX LID</v>
          </cell>
          <cell r="C624">
            <v>2.5</v>
          </cell>
          <cell r="D624">
            <v>2.5</v>
          </cell>
          <cell r="E624">
            <v>2.5</v>
          </cell>
          <cell r="F624">
            <v>2.5</v>
          </cell>
          <cell r="G624">
            <v>2.5</v>
          </cell>
          <cell r="H624">
            <v>1.7</v>
          </cell>
        </row>
        <row r="625">
          <cell r="A625" t="str">
            <v>COKTERK</v>
          </cell>
          <cell r="B625" t="str">
            <v>KLIPPON TERMINAL</v>
          </cell>
          <cell r="C625">
            <v>10.55</v>
          </cell>
          <cell r="D625">
            <v>11.64</v>
          </cell>
          <cell r="E625">
            <v>11.64</v>
          </cell>
          <cell r="F625">
            <v>11.64</v>
          </cell>
          <cell r="G625">
            <v>11.64</v>
          </cell>
          <cell r="H625">
            <v>10.19</v>
          </cell>
          <cell r="I625">
            <v>39883</v>
          </cell>
        </row>
        <row r="626">
          <cell r="A626" t="str">
            <v>COKTFTF</v>
          </cell>
          <cell r="B626" t="str">
            <v>KLIPPON FEED THRU TERMINAL</v>
          </cell>
          <cell r="C626">
            <v>29</v>
          </cell>
          <cell r="D626">
            <v>29</v>
          </cell>
          <cell r="E626">
            <v>29</v>
          </cell>
          <cell r="F626">
            <v>29</v>
          </cell>
          <cell r="G626">
            <v>29</v>
          </cell>
          <cell r="H626">
            <v>0</v>
          </cell>
        </row>
        <row r="627">
          <cell r="A627" t="str">
            <v>COKTFTN</v>
          </cell>
          <cell r="B627" t="str">
            <v>KLIPPON FEED THRU TERMINAL SAK10</v>
          </cell>
          <cell r="C627">
            <v>4.21</v>
          </cell>
          <cell r="D627">
            <v>4.21</v>
          </cell>
          <cell r="E627">
            <v>4.21</v>
          </cell>
          <cell r="F627">
            <v>4.21</v>
          </cell>
          <cell r="G627">
            <v>4.21</v>
          </cell>
          <cell r="H627">
            <v>0</v>
          </cell>
        </row>
        <row r="628">
          <cell r="A628" t="str">
            <v>COLWE05</v>
          </cell>
          <cell r="B628" t="str">
            <v>COLUMBUS WEIGHT 50LB</v>
          </cell>
          <cell r="C628">
            <v>570</v>
          </cell>
          <cell r="D628">
            <v>570</v>
          </cell>
          <cell r="E628">
            <v>570</v>
          </cell>
          <cell r="F628">
            <v>570</v>
          </cell>
          <cell r="G628">
            <v>570</v>
          </cell>
          <cell r="H628">
            <v>0</v>
          </cell>
        </row>
        <row r="629">
          <cell r="A629" t="str">
            <v>COLWE100</v>
          </cell>
          <cell r="B629" t="str">
            <v>COLUMBUS WEIGHT 100LB</v>
          </cell>
          <cell r="C629">
            <v>1200</v>
          </cell>
          <cell r="D629">
            <v>1200</v>
          </cell>
          <cell r="E629">
            <v>1200</v>
          </cell>
          <cell r="F629">
            <v>1200</v>
          </cell>
          <cell r="G629">
            <v>1200</v>
          </cell>
          <cell r="H629">
            <v>0</v>
          </cell>
        </row>
        <row r="630">
          <cell r="A630" t="str">
            <v>COLWE150</v>
          </cell>
          <cell r="B630" t="str">
            <v>COLUMBUS WEIGHT 150LB</v>
          </cell>
          <cell r="C630">
            <v>1350</v>
          </cell>
          <cell r="D630">
            <v>1350</v>
          </cell>
          <cell r="E630">
            <v>1350</v>
          </cell>
          <cell r="F630">
            <v>1350</v>
          </cell>
          <cell r="G630">
            <v>1350</v>
          </cell>
          <cell r="H630">
            <v>0</v>
          </cell>
        </row>
        <row r="631">
          <cell r="A631" t="str">
            <v>COLWE200</v>
          </cell>
          <cell r="B631" t="str">
            <v>COLUMBUS WEIGHT 200LB</v>
          </cell>
          <cell r="C631">
            <v>1550</v>
          </cell>
          <cell r="D631">
            <v>1550</v>
          </cell>
          <cell r="E631">
            <v>1550</v>
          </cell>
          <cell r="F631">
            <v>1550</v>
          </cell>
          <cell r="G631">
            <v>1550</v>
          </cell>
          <cell r="H631">
            <v>0</v>
          </cell>
        </row>
        <row r="632">
          <cell r="A632" t="str">
            <v>COLWE50</v>
          </cell>
          <cell r="B632" t="str">
            <v>COLUMBUS WEIGHT 50LB</v>
          </cell>
          <cell r="C632">
            <v>776</v>
          </cell>
          <cell r="D632">
            <v>960</v>
          </cell>
          <cell r="E632">
            <v>960</v>
          </cell>
          <cell r="F632">
            <v>960</v>
          </cell>
          <cell r="G632">
            <v>960</v>
          </cell>
          <cell r="H632">
            <v>764.35</v>
          </cell>
          <cell r="I632">
            <v>39993</v>
          </cell>
        </row>
        <row r="633">
          <cell r="A633" t="str">
            <v>COLWE75</v>
          </cell>
          <cell r="B633" t="str">
            <v>COLUMBUS WEIGHT 75LB</v>
          </cell>
          <cell r="C633">
            <v>873</v>
          </cell>
          <cell r="D633">
            <v>1081</v>
          </cell>
          <cell r="E633">
            <v>1081</v>
          </cell>
          <cell r="F633">
            <v>1081</v>
          </cell>
          <cell r="G633">
            <v>1081</v>
          </cell>
          <cell r="H633">
            <v>856.02</v>
          </cell>
          <cell r="I633">
            <v>39993</v>
          </cell>
        </row>
        <row r="634">
          <cell r="A634" t="str">
            <v>COLWEPI</v>
          </cell>
          <cell r="B634" t="str">
            <v>COLUMBUS WEIGHT PIN</v>
          </cell>
          <cell r="C634">
            <v>25.8</v>
          </cell>
          <cell r="D634">
            <v>25.8</v>
          </cell>
          <cell r="E634">
            <v>25.8</v>
          </cell>
          <cell r="F634">
            <v>25.8</v>
          </cell>
          <cell r="G634">
            <v>25.8</v>
          </cell>
          <cell r="H634">
            <v>0</v>
          </cell>
        </row>
        <row r="635">
          <cell r="A635" t="str">
            <v>CON1215</v>
          </cell>
          <cell r="B635" t="str">
            <v>CONVERTER 12-15 VOLTS DC 200ma</v>
          </cell>
          <cell r="C635">
            <v>48</v>
          </cell>
          <cell r="D635">
            <v>48</v>
          </cell>
          <cell r="E635">
            <v>48</v>
          </cell>
          <cell r="F635">
            <v>48</v>
          </cell>
          <cell r="G635">
            <v>48</v>
          </cell>
          <cell r="H635">
            <v>33</v>
          </cell>
        </row>
        <row r="636">
          <cell r="A636" t="str">
            <v>CON1224</v>
          </cell>
          <cell r="B636" t="str">
            <v>CONVERTER POWER BOX DC</v>
          </cell>
          <cell r="C636">
            <v>112</v>
          </cell>
          <cell r="D636">
            <v>138.71</v>
          </cell>
          <cell r="E636">
            <v>138.71</v>
          </cell>
          <cell r="F636">
            <v>138.71</v>
          </cell>
          <cell r="G636">
            <v>138.71</v>
          </cell>
          <cell r="H636">
            <v>100</v>
          </cell>
          <cell r="I636">
            <v>39883</v>
          </cell>
        </row>
        <row r="637">
          <cell r="A637" t="str">
            <v>CONDM20</v>
          </cell>
          <cell r="B637" t="str">
            <v>CONDUIT 20MM FLEXIBLE</v>
          </cell>
          <cell r="C637">
            <v>3</v>
          </cell>
          <cell r="D637">
            <v>3</v>
          </cell>
          <cell r="E637">
            <v>3</v>
          </cell>
          <cell r="F637">
            <v>3</v>
          </cell>
          <cell r="G637">
            <v>3</v>
          </cell>
          <cell r="H637">
            <v>2.44</v>
          </cell>
        </row>
        <row r="638">
          <cell r="A638" t="str">
            <v>CONDM32</v>
          </cell>
          <cell r="B638" t="str">
            <v>CONDUIT 32MM FLEXIBLE</v>
          </cell>
          <cell r="C638">
            <v>11</v>
          </cell>
          <cell r="D638">
            <v>11</v>
          </cell>
          <cell r="E638">
            <v>11</v>
          </cell>
          <cell r="F638">
            <v>11</v>
          </cell>
          <cell r="G638">
            <v>11</v>
          </cell>
          <cell r="H638">
            <v>7.28</v>
          </cell>
        </row>
        <row r="639">
          <cell r="A639" t="str">
            <v>CONDM40</v>
          </cell>
          <cell r="B639" t="str">
            <v>CONDUIT 40MM FLEXIBLE</v>
          </cell>
          <cell r="C639">
            <v>16.5</v>
          </cell>
          <cell r="D639">
            <v>16.5</v>
          </cell>
          <cell r="E639">
            <v>16.5</v>
          </cell>
          <cell r="F639">
            <v>16.5</v>
          </cell>
          <cell r="G639">
            <v>16.5</v>
          </cell>
          <cell r="H639">
            <v>12.66</v>
          </cell>
          <cell r="I639">
            <v>40330</v>
          </cell>
        </row>
        <row r="640">
          <cell r="A640" t="str">
            <v>CONETHS</v>
          </cell>
          <cell r="B640" t="str">
            <v>CONVERTER ETHERNET TO SERIAL</v>
          </cell>
          <cell r="C640">
            <v>150</v>
          </cell>
          <cell r="D640">
            <v>150</v>
          </cell>
          <cell r="E640">
            <v>150</v>
          </cell>
          <cell r="F640">
            <v>150</v>
          </cell>
          <cell r="G640">
            <v>150</v>
          </cell>
          <cell r="H640">
            <v>155.6</v>
          </cell>
        </row>
        <row r="641">
          <cell r="A641" t="str">
            <v>CONMELA</v>
          </cell>
          <cell r="B641" t="str">
            <v>LABEL  KAINGA CONDUCTIVITY METER</v>
          </cell>
          <cell r="C641">
            <v>22.27</v>
          </cell>
          <cell r="D641">
            <v>22.27</v>
          </cell>
          <cell r="E641">
            <v>22.27</v>
          </cell>
          <cell r="F641">
            <v>22.27</v>
          </cell>
          <cell r="G641">
            <v>22.27</v>
          </cell>
          <cell r="H641">
            <v>0</v>
          </cell>
        </row>
        <row r="642">
          <cell r="A642" t="str">
            <v>CONPOSU</v>
          </cell>
          <cell r="B642" t="str">
            <v>POWER SUPPLY PSA300A (FOR RS232 INTERFAC</v>
          </cell>
          <cell r="C642">
            <v>45</v>
          </cell>
          <cell r="D642">
            <v>45</v>
          </cell>
          <cell r="E642">
            <v>45</v>
          </cell>
          <cell r="F642">
            <v>45</v>
          </cell>
          <cell r="G642">
            <v>45</v>
          </cell>
          <cell r="H642">
            <v>0</v>
          </cell>
        </row>
        <row r="643">
          <cell r="A643" t="str">
            <v>CONPROT</v>
          </cell>
          <cell r="B643" t="str">
            <v>CONVERTER  PROTOCOL. RS232 TO 485 &amp; 422</v>
          </cell>
          <cell r="C643">
            <v>285</v>
          </cell>
          <cell r="D643">
            <v>285</v>
          </cell>
          <cell r="E643">
            <v>285</v>
          </cell>
          <cell r="F643">
            <v>285</v>
          </cell>
          <cell r="G643">
            <v>285</v>
          </cell>
          <cell r="H643">
            <v>0</v>
          </cell>
        </row>
        <row r="644">
          <cell r="A644" t="str">
            <v>CONTEP1</v>
          </cell>
          <cell r="B644" t="str">
            <v>CONTA CLIP AP END PLATE RK2.5-4</v>
          </cell>
          <cell r="C644">
            <v>0</v>
          </cell>
          <cell r="D644">
            <v>0</v>
          </cell>
          <cell r="E644">
            <v>0</v>
          </cell>
          <cell r="F644">
            <v>0</v>
          </cell>
          <cell r="G644">
            <v>0</v>
          </cell>
          <cell r="H644">
            <v>0.52500000000000002</v>
          </cell>
        </row>
        <row r="645">
          <cell r="A645" t="str">
            <v>CONTEP2</v>
          </cell>
          <cell r="B645" t="str">
            <v>CONTA CLIP END PLATE STK1/15</v>
          </cell>
          <cell r="C645">
            <v>0.55000000000000004</v>
          </cell>
          <cell r="D645">
            <v>0.68100000000000005</v>
          </cell>
          <cell r="E645">
            <v>0.68100000000000005</v>
          </cell>
          <cell r="F645">
            <v>0.68100000000000005</v>
          </cell>
          <cell r="G645">
            <v>0.68100000000000005</v>
          </cell>
          <cell r="H645">
            <v>0.52400000000000002</v>
          </cell>
          <cell r="I645">
            <v>39988</v>
          </cell>
        </row>
        <row r="646">
          <cell r="A646" t="str">
            <v>CONTEXJ</v>
          </cell>
          <cell r="B646" t="str">
            <v>CONTA CLIP EXTERNAL JUMPER INSULATED</v>
          </cell>
          <cell r="C646">
            <v>0</v>
          </cell>
          <cell r="D646">
            <v>0</v>
          </cell>
          <cell r="E646">
            <v>0</v>
          </cell>
          <cell r="F646">
            <v>0</v>
          </cell>
          <cell r="G646">
            <v>0</v>
          </cell>
          <cell r="H646">
            <v>1.252</v>
          </cell>
        </row>
        <row r="647">
          <cell r="A647" t="str">
            <v>CONTINJ</v>
          </cell>
          <cell r="B647" t="str">
            <v>CONTA CLIP INTERNAL JUMPER INSULATED</v>
          </cell>
          <cell r="C647">
            <v>0</v>
          </cell>
          <cell r="D647">
            <v>0</v>
          </cell>
          <cell r="E647">
            <v>0</v>
          </cell>
          <cell r="F647">
            <v>0</v>
          </cell>
          <cell r="G647">
            <v>0</v>
          </cell>
          <cell r="H647">
            <v>0.80500000000000005</v>
          </cell>
        </row>
        <row r="648">
          <cell r="A648" t="str">
            <v>CONTRAI</v>
          </cell>
          <cell r="B648" t="str">
            <v>CONTA CLIP DIN MOUNTING RAIL TS35x7.5</v>
          </cell>
          <cell r="C648">
            <v>0</v>
          </cell>
          <cell r="D648">
            <v>0</v>
          </cell>
          <cell r="E648">
            <v>0</v>
          </cell>
          <cell r="F648">
            <v>0</v>
          </cell>
          <cell r="G648">
            <v>0</v>
          </cell>
          <cell r="H648">
            <v>9.89</v>
          </cell>
        </row>
        <row r="649">
          <cell r="A649" t="str">
            <v>CONTTE1</v>
          </cell>
          <cell r="B649" t="str">
            <v>CONTA CLIP TERMINAL #STK1/15</v>
          </cell>
          <cell r="C649">
            <v>6.2</v>
          </cell>
          <cell r="D649">
            <v>7.65</v>
          </cell>
          <cell r="E649">
            <v>7.65</v>
          </cell>
          <cell r="F649">
            <v>7.65</v>
          </cell>
          <cell r="G649">
            <v>7.65</v>
          </cell>
          <cell r="H649">
            <v>5.85</v>
          </cell>
          <cell r="I649">
            <v>39988</v>
          </cell>
        </row>
        <row r="650">
          <cell r="A650" t="str">
            <v>CONTTE2</v>
          </cell>
          <cell r="B650" t="str">
            <v>CONTA CLLP TERMINAL RK2.5</v>
          </cell>
          <cell r="C650">
            <v>0</v>
          </cell>
          <cell r="D650">
            <v>0</v>
          </cell>
          <cell r="E650">
            <v>0</v>
          </cell>
          <cell r="F650">
            <v>0</v>
          </cell>
          <cell r="G650">
            <v>0</v>
          </cell>
          <cell r="H650">
            <v>1.163</v>
          </cell>
        </row>
        <row r="651">
          <cell r="A651" t="str">
            <v>COPHDR</v>
          </cell>
          <cell r="B651" t="str">
            <v>DIN RAIL FOR MOUNTING TERMINALS</v>
          </cell>
          <cell r="C651">
            <v>14</v>
          </cell>
          <cell r="D651">
            <v>17.2</v>
          </cell>
          <cell r="E651">
            <v>17.2</v>
          </cell>
          <cell r="F651">
            <v>17.2</v>
          </cell>
          <cell r="G651">
            <v>17.2</v>
          </cell>
          <cell r="H651">
            <v>13.23</v>
          </cell>
          <cell r="I651">
            <v>39953</v>
          </cell>
        </row>
        <row r="652">
          <cell r="A652" t="str">
            <v>COPHEP</v>
          </cell>
          <cell r="B652" t="str">
            <v>PHOENIX CONTACT END BLOCK CLIPFIX 35-5</v>
          </cell>
          <cell r="C652">
            <v>0.8</v>
          </cell>
          <cell r="D652">
            <v>1</v>
          </cell>
          <cell r="E652">
            <v>1</v>
          </cell>
          <cell r="F652">
            <v>1</v>
          </cell>
          <cell r="G652">
            <v>1</v>
          </cell>
          <cell r="H652">
            <v>0.75</v>
          </cell>
          <cell r="I652">
            <v>39953</v>
          </cell>
        </row>
        <row r="653">
          <cell r="A653" t="str">
            <v>COPHFT</v>
          </cell>
          <cell r="B653" t="str">
            <v>PHOENIX FUSED TERMINAL ST 4-HESI</v>
          </cell>
          <cell r="C653">
            <v>7.65</v>
          </cell>
          <cell r="D653">
            <v>9.5</v>
          </cell>
          <cell r="E653">
            <v>9.5</v>
          </cell>
          <cell r="F653">
            <v>9.5</v>
          </cell>
          <cell r="G653">
            <v>9.5</v>
          </cell>
          <cell r="H653">
            <v>7.28</v>
          </cell>
          <cell r="I653">
            <v>39988</v>
          </cell>
        </row>
        <row r="654">
          <cell r="A654" t="str">
            <v>COPHTE</v>
          </cell>
          <cell r="B654" t="str">
            <v>PHOENIX CONTACT TERMINAL ST 2.5</v>
          </cell>
          <cell r="C654">
            <v>0.9</v>
          </cell>
          <cell r="D654">
            <v>1.1000000000000001</v>
          </cell>
          <cell r="E654">
            <v>1.1000000000000001</v>
          </cell>
          <cell r="F654">
            <v>1.1000000000000001</v>
          </cell>
          <cell r="G654">
            <v>1.1000000000000001</v>
          </cell>
          <cell r="H654">
            <v>0.81</v>
          </cell>
          <cell r="I654">
            <v>39953</v>
          </cell>
        </row>
        <row r="655">
          <cell r="A655" t="str">
            <v>COPTUB95</v>
          </cell>
          <cell r="B655" t="str">
            <v>COPPER REFRIGERATION TUBE OD9.5 15MCOIL</v>
          </cell>
          <cell r="C655">
            <v>7.35</v>
          </cell>
          <cell r="D655">
            <v>9.1</v>
          </cell>
          <cell r="E655">
            <v>9.1</v>
          </cell>
          <cell r="F655">
            <v>9.1</v>
          </cell>
          <cell r="G655">
            <v>9.1</v>
          </cell>
          <cell r="H655">
            <v>7</v>
          </cell>
          <cell r="I655">
            <v>40066</v>
          </cell>
        </row>
        <row r="656">
          <cell r="A656" t="str">
            <v>COSMABN</v>
          </cell>
          <cell r="B656" t="str">
            <v>ADAPTER, BNC FEMALE - SMA MALE</v>
          </cell>
          <cell r="C656">
            <v>5</v>
          </cell>
          <cell r="D656">
            <v>5</v>
          </cell>
          <cell r="E656">
            <v>5</v>
          </cell>
          <cell r="F656">
            <v>5</v>
          </cell>
          <cell r="G656">
            <v>5</v>
          </cell>
          <cell r="H656">
            <v>3.2</v>
          </cell>
        </row>
        <row r="657">
          <cell r="A657" t="str">
            <v>COSMARP</v>
          </cell>
          <cell r="B657" t="str">
            <v>ADAPTER SMA SOCKET TO REVERSE PLUG</v>
          </cell>
          <cell r="C657">
            <v>5.5</v>
          </cell>
          <cell r="D657">
            <v>6.81</v>
          </cell>
          <cell r="E657">
            <v>6.81</v>
          </cell>
          <cell r="F657">
            <v>6.81</v>
          </cell>
          <cell r="G657">
            <v>6.81</v>
          </cell>
          <cell r="H657">
            <v>5.0039999999999996</v>
          </cell>
          <cell r="I657">
            <v>39883</v>
          </cell>
        </row>
        <row r="658">
          <cell r="A658" t="str">
            <v>COUCMLA</v>
          </cell>
          <cell r="B658" t="str">
            <v>LABEL  KAINGA CURRENT METER COUNTER</v>
          </cell>
          <cell r="C658">
            <v>33</v>
          </cell>
          <cell r="D658">
            <v>41</v>
          </cell>
          <cell r="E658">
            <v>41</v>
          </cell>
          <cell r="F658">
            <v>41</v>
          </cell>
          <cell r="G658">
            <v>41</v>
          </cell>
          <cell r="H658">
            <v>27.15</v>
          </cell>
          <cell r="I658">
            <v>39988</v>
          </cell>
        </row>
        <row r="659">
          <cell r="A659" t="str">
            <v>COUCOKA</v>
          </cell>
          <cell r="B659" t="str">
            <v>COUNTER  KAINGA CURRENT METER.</v>
          </cell>
          <cell r="C659">
            <v>478</v>
          </cell>
          <cell r="D659">
            <v>790</v>
          </cell>
          <cell r="E659">
            <v>790</v>
          </cell>
          <cell r="F659">
            <v>790</v>
          </cell>
          <cell r="G659">
            <v>790</v>
          </cell>
          <cell r="H659">
            <v>573.38599999999997</v>
          </cell>
          <cell r="I659">
            <v>40000</v>
          </cell>
        </row>
        <row r="660">
          <cell r="A660" t="str">
            <v>COURGKA</v>
          </cell>
          <cell r="B660" t="str">
            <v>COUNTER  KAINGA RAIN GAUGE</v>
          </cell>
          <cell r="C660">
            <v>320</v>
          </cell>
          <cell r="D660">
            <v>320</v>
          </cell>
          <cell r="E660">
            <v>320</v>
          </cell>
          <cell r="F660">
            <v>320</v>
          </cell>
          <cell r="G660">
            <v>320</v>
          </cell>
          <cell r="H660">
            <v>219</v>
          </cell>
        </row>
        <row r="661">
          <cell r="A661" t="str">
            <v>COURGLA</v>
          </cell>
          <cell r="B661" t="str">
            <v>LABEL  KAINGA RAINGAUGE COUNTER</v>
          </cell>
          <cell r="C661">
            <v>38.79</v>
          </cell>
          <cell r="D661">
            <v>38.79</v>
          </cell>
          <cell r="E661">
            <v>38.79</v>
          </cell>
          <cell r="F661">
            <v>38.79</v>
          </cell>
          <cell r="G661">
            <v>38.79</v>
          </cell>
          <cell r="H661">
            <v>0</v>
          </cell>
        </row>
        <row r="662">
          <cell r="A662" t="str">
            <v>COUSOFV16</v>
          </cell>
          <cell r="B662" t="str">
            <v>SOFTWARE KAINGA CM COUNTER.VER 1.6..(USE</v>
          </cell>
          <cell r="C662">
            <v>45</v>
          </cell>
          <cell r="D662">
            <v>45</v>
          </cell>
          <cell r="E662">
            <v>45</v>
          </cell>
          <cell r="F662">
            <v>45</v>
          </cell>
          <cell r="G662">
            <v>45</v>
          </cell>
          <cell r="H662">
            <v>0</v>
          </cell>
        </row>
        <row r="663">
          <cell r="A663" t="str">
            <v>CRY-2MHZ</v>
          </cell>
          <cell r="B663" t="str">
            <v>CRYSTAL  2MHz FOR MPU OPERATION</v>
          </cell>
          <cell r="C663">
            <v>7.92</v>
          </cell>
          <cell r="D663">
            <v>7.92</v>
          </cell>
          <cell r="E663">
            <v>7.92</v>
          </cell>
          <cell r="F663">
            <v>7.92</v>
          </cell>
          <cell r="G663">
            <v>7.92</v>
          </cell>
          <cell r="H663">
            <v>5.25</v>
          </cell>
        </row>
        <row r="664">
          <cell r="A664" t="str">
            <v>CSI1000</v>
          </cell>
          <cell r="B664" t="str">
            <v>CSI CR1000 LOGGER AND WIRING PANEL</v>
          </cell>
          <cell r="C664">
            <v>3700</v>
          </cell>
          <cell r="D664">
            <v>3700</v>
          </cell>
          <cell r="E664">
            <v>3700</v>
          </cell>
          <cell r="F664">
            <v>3700</v>
          </cell>
          <cell r="G664">
            <v>3700</v>
          </cell>
          <cell r="H664">
            <v>2856</v>
          </cell>
        </row>
        <row r="665">
          <cell r="A665" t="str">
            <v>CSI16ME</v>
          </cell>
          <cell r="B665" t="str">
            <v>CAMPBELL SM16M 16MEG MEMORY</v>
          </cell>
          <cell r="C665">
            <v>1790</v>
          </cell>
          <cell r="D665">
            <v>1790</v>
          </cell>
          <cell r="E665">
            <v>1790</v>
          </cell>
          <cell r="F665">
            <v>1790</v>
          </cell>
          <cell r="G665">
            <v>1790</v>
          </cell>
          <cell r="H665">
            <v>1371</v>
          </cell>
        </row>
        <row r="666">
          <cell r="A666" t="str">
            <v>CSIC2158</v>
          </cell>
          <cell r="B666" t="str">
            <v>CSI TRANSDUCER PART OF SR502</v>
          </cell>
          <cell r="C666">
            <v>260</v>
          </cell>
          <cell r="D666">
            <v>325</v>
          </cell>
          <cell r="E666">
            <v>325</v>
          </cell>
          <cell r="F666">
            <v>325</v>
          </cell>
          <cell r="G666">
            <v>325</v>
          </cell>
          <cell r="H666">
            <v>212</v>
          </cell>
        </row>
        <row r="667">
          <cell r="A667" t="str">
            <v>CSICR10</v>
          </cell>
          <cell r="B667" t="str">
            <v>LOGGER  CSI CR10X (128K) c/w</v>
          </cell>
          <cell r="C667">
            <v>3995</v>
          </cell>
          <cell r="D667">
            <v>3995</v>
          </cell>
          <cell r="E667">
            <v>3995</v>
          </cell>
          <cell r="F667">
            <v>3995</v>
          </cell>
          <cell r="G667">
            <v>3995</v>
          </cell>
          <cell r="H667">
            <v>2968</v>
          </cell>
        </row>
        <row r="668">
          <cell r="A668" t="str">
            <v>CSICR200</v>
          </cell>
          <cell r="B668" t="str">
            <v>CAMPBELL CR200 DATALOGGER</v>
          </cell>
          <cell r="C668">
            <v>1050</v>
          </cell>
          <cell r="D668">
            <v>1050</v>
          </cell>
          <cell r="E668">
            <v>1050</v>
          </cell>
          <cell r="F668">
            <v>1050</v>
          </cell>
          <cell r="G668">
            <v>1050</v>
          </cell>
          <cell r="H668">
            <v>800</v>
          </cell>
        </row>
        <row r="669">
          <cell r="A669" t="str">
            <v>CSICR2M</v>
          </cell>
          <cell r="B669" t="str">
            <v>LOGGER  CSI CR10X 2MEG</v>
          </cell>
          <cell r="C669">
            <v>3861</v>
          </cell>
          <cell r="D669">
            <v>3861</v>
          </cell>
          <cell r="E669">
            <v>3861</v>
          </cell>
          <cell r="F669">
            <v>3861</v>
          </cell>
          <cell r="G669">
            <v>3861</v>
          </cell>
          <cell r="H669">
            <v>2700</v>
          </cell>
        </row>
        <row r="670">
          <cell r="A670" t="str">
            <v>CSIDCDI</v>
          </cell>
          <cell r="B670" t="str">
            <v>DC DISTRIBUTION MODULE</v>
          </cell>
          <cell r="C670">
            <v>447.92</v>
          </cell>
          <cell r="D670">
            <v>447.92</v>
          </cell>
          <cell r="E670">
            <v>447.92</v>
          </cell>
          <cell r="F670">
            <v>447.92</v>
          </cell>
          <cell r="G670">
            <v>447.92</v>
          </cell>
          <cell r="H670">
            <v>0</v>
          </cell>
        </row>
        <row r="671">
          <cell r="A671" t="str">
            <v>CSIKITSR50</v>
          </cell>
          <cell r="B671" t="str">
            <v>CSI TRANSDUCER KIT SR50</v>
          </cell>
          <cell r="C671">
            <v>333</v>
          </cell>
          <cell r="D671">
            <v>333</v>
          </cell>
          <cell r="E671">
            <v>333</v>
          </cell>
          <cell r="F671">
            <v>333</v>
          </cell>
          <cell r="G671">
            <v>333</v>
          </cell>
          <cell r="H671">
            <v>256</v>
          </cell>
          <cell r="I671">
            <v>40379</v>
          </cell>
        </row>
        <row r="672">
          <cell r="A672" t="str">
            <v>CSIL4091</v>
          </cell>
          <cell r="B672" t="str">
            <v>CSI DESICCANT PACKET PART OF SR50A</v>
          </cell>
          <cell r="C672">
            <v>0</v>
          </cell>
          <cell r="D672">
            <v>0</v>
          </cell>
          <cell r="E672">
            <v>0</v>
          </cell>
          <cell r="F672">
            <v>0</v>
          </cell>
          <cell r="G672">
            <v>0</v>
          </cell>
          <cell r="H672">
            <v>0.6</v>
          </cell>
        </row>
        <row r="673">
          <cell r="A673" t="str">
            <v>CSIM11</v>
          </cell>
          <cell r="B673" t="str">
            <v>CAMPBELL CSIM11 pH PROBE</v>
          </cell>
          <cell r="C673">
            <v>850</v>
          </cell>
          <cell r="D673">
            <v>925</v>
          </cell>
          <cell r="E673">
            <v>925</v>
          </cell>
          <cell r="F673">
            <v>925</v>
          </cell>
          <cell r="G673">
            <v>925</v>
          </cell>
          <cell r="H673">
            <v>774.3</v>
          </cell>
        </row>
        <row r="674">
          <cell r="A674" t="str">
            <v>CSIMULT</v>
          </cell>
          <cell r="B674" t="str">
            <v>CAMPBELL MULTIPLEXOR AM16/32</v>
          </cell>
          <cell r="C674">
            <v>1650</v>
          </cell>
          <cell r="D674">
            <v>1650</v>
          </cell>
          <cell r="E674">
            <v>1650</v>
          </cell>
          <cell r="F674">
            <v>1650</v>
          </cell>
          <cell r="G674">
            <v>1650</v>
          </cell>
          <cell r="H674">
            <v>1265</v>
          </cell>
        </row>
        <row r="675">
          <cell r="A675" t="str">
            <v>CSINL100</v>
          </cell>
          <cell r="B675" t="str">
            <v>CSI NL100 NETWORK LINK INTERFACE</v>
          </cell>
          <cell r="C675">
            <v>1100</v>
          </cell>
          <cell r="D675">
            <v>1100</v>
          </cell>
          <cell r="E675">
            <v>1100</v>
          </cell>
          <cell r="F675">
            <v>1100</v>
          </cell>
          <cell r="G675">
            <v>1100</v>
          </cell>
          <cell r="H675">
            <v>840</v>
          </cell>
        </row>
        <row r="676">
          <cell r="A676" t="str">
            <v>CSINL115</v>
          </cell>
          <cell r="B676" t="str">
            <v>NL115 ETHERNET &amp; COMPACT FLASH</v>
          </cell>
          <cell r="C676">
            <v>735</v>
          </cell>
          <cell r="D676">
            <v>850</v>
          </cell>
          <cell r="E676">
            <v>850</v>
          </cell>
          <cell r="F676">
            <v>850</v>
          </cell>
          <cell r="G676">
            <v>850</v>
          </cell>
          <cell r="H676">
            <v>692</v>
          </cell>
        </row>
        <row r="677">
          <cell r="A677" t="str">
            <v>CSIS1210</v>
          </cell>
          <cell r="B677" t="str">
            <v>INTERFACE  CAMPBELL STL1210</v>
          </cell>
          <cell r="C677">
            <v>304</v>
          </cell>
          <cell r="D677">
            <v>304</v>
          </cell>
          <cell r="E677">
            <v>304</v>
          </cell>
          <cell r="F677">
            <v>304</v>
          </cell>
          <cell r="G677">
            <v>304</v>
          </cell>
          <cell r="H677">
            <v>85</v>
          </cell>
        </row>
        <row r="678">
          <cell r="A678" t="str">
            <v>CSIS511</v>
          </cell>
          <cell r="B678" t="str">
            <v>INTERFACE  CAMPBELL SDS511 DUAL PORT</v>
          </cell>
          <cell r="C678">
            <v>295.5</v>
          </cell>
          <cell r="D678">
            <v>295.5</v>
          </cell>
          <cell r="E678">
            <v>295.5</v>
          </cell>
          <cell r="F678">
            <v>295.5</v>
          </cell>
          <cell r="G678">
            <v>295.5</v>
          </cell>
          <cell r="H678">
            <v>0</v>
          </cell>
        </row>
        <row r="679">
          <cell r="A679" t="str">
            <v>CSIS932</v>
          </cell>
          <cell r="B679" t="str">
            <v>INTERFACE  CAMPBELL SC932 9 PIN (RS232)</v>
          </cell>
          <cell r="C679">
            <v>395</v>
          </cell>
          <cell r="D679">
            <v>395</v>
          </cell>
          <cell r="E679">
            <v>395</v>
          </cell>
          <cell r="F679">
            <v>395</v>
          </cell>
          <cell r="G679">
            <v>395</v>
          </cell>
          <cell r="H679">
            <v>0</v>
          </cell>
        </row>
        <row r="680">
          <cell r="A680" t="str">
            <v>CSISC32</v>
          </cell>
          <cell r="B680" t="str">
            <v>INTERFACE  CAMPBELL SC32B (RS232)</v>
          </cell>
          <cell r="C680">
            <v>265</v>
          </cell>
          <cell r="D680">
            <v>265</v>
          </cell>
          <cell r="E680">
            <v>265</v>
          </cell>
          <cell r="F680">
            <v>265</v>
          </cell>
          <cell r="G680">
            <v>265</v>
          </cell>
          <cell r="H680">
            <v>160</v>
          </cell>
        </row>
        <row r="681">
          <cell r="A681" t="str">
            <v>CSISWPC</v>
          </cell>
          <cell r="B681" t="str">
            <v>SOFTWARE  CSI PC208</v>
          </cell>
          <cell r="C681">
            <v>621</v>
          </cell>
          <cell r="D681">
            <v>621</v>
          </cell>
          <cell r="E681">
            <v>621</v>
          </cell>
          <cell r="F681">
            <v>621</v>
          </cell>
          <cell r="G681">
            <v>621</v>
          </cell>
          <cell r="H681">
            <v>0</v>
          </cell>
        </row>
        <row r="682">
          <cell r="A682" t="str">
            <v>CSISWPW</v>
          </cell>
          <cell r="B682" t="str">
            <v>SOFTWARE  CSI PC208 (WINDOWS VERSION)</v>
          </cell>
          <cell r="C682">
            <v>755</v>
          </cell>
          <cell r="D682">
            <v>755</v>
          </cell>
          <cell r="E682">
            <v>755</v>
          </cell>
          <cell r="F682">
            <v>755</v>
          </cell>
          <cell r="G682">
            <v>755</v>
          </cell>
          <cell r="H682">
            <v>0</v>
          </cell>
        </row>
        <row r="683">
          <cell r="A683" t="str">
            <v>CSITEPR</v>
          </cell>
          <cell r="B683" t="str">
            <v>CAMPBELL CSI107 TEMP PROBE 11m</v>
          </cell>
          <cell r="C683">
            <v>275</v>
          </cell>
          <cell r="D683">
            <v>275</v>
          </cell>
          <cell r="E683">
            <v>275</v>
          </cell>
          <cell r="F683">
            <v>275</v>
          </cell>
          <cell r="G683">
            <v>275</v>
          </cell>
          <cell r="H683">
            <v>200</v>
          </cell>
        </row>
        <row r="684">
          <cell r="A684" t="str">
            <v>CSITEPR2</v>
          </cell>
          <cell r="B684" t="str">
            <v>CSI 107 TEMPERATURE PROBE 25m CABLE</v>
          </cell>
          <cell r="C684">
            <v>395</v>
          </cell>
          <cell r="D684">
            <v>395</v>
          </cell>
          <cell r="E684">
            <v>395</v>
          </cell>
          <cell r="F684">
            <v>395</v>
          </cell>
          <cell r="G684">
            <v>395</v>
          </cell>
          <cell r="H684">
            <v>151.667</v>
          </cell>
          <cell r="I684">
            <v>39881</v>
          </cell>
        </row>
        <row r="685">
          <cell r="A685" t="str">
            <v>CSITEPR3</v>
          </cell>
          <cell r="B685" t="str">
            <v>CSI 107 TEMPERATURE PROBE 3m CABLE</v>
          </cell>
          <cell r="C685">
            <v>195</v>
          </cell>
          <cell r="D685">
            <v>230</v>
          </cell>
          <cell r="E685">
            <v>230</v>
          </cell>
          <cell r="F685">
            <v>230</v>
          </cell>
          <cell r="G685">
            <v>230</v>
          </cell>
          <cell r="H685">
            <v>175</v>
          </cell>
        </row>
        <row r="686">
          <cell r="A686" t="str">
            <v>CSITRHU</v>
          </cell>
          <cell r="B686" t="str">
            <v>TRANSDUCER  CAMPBELL HUMIDITY</v>
          </cell>
          <cell r="C686">
            <v>264</v>
          </cell>
          <cell r="D686">
            <v>264</v>
          </cell>
          <cell r="E686">
            <v>264</v>
          </cell>
          <cell r="F686">
            <v>264</v>
          </cell>
          <cell r="G686">
            <v>264</v>
          </cell>
          <cell r="H686">
            <v>0</v>
          </cell>
        </row>
        <row r="687">
          <cell r="A687" t="str">
            <v>CSIULTRA</v>
          </cell>
          <cell r="B687" t="str">
            <v>CSI ULTRASONIC DISTANCE SENSOR SR50A</v>
          </cell>
          <cell r="C687">
            <v>2605</v>
          </cell>
          <cell r="D687">
            <v>2605</v>
          </cell>
          <cell r="E687">
            <v>2605</v>
          </cell>
          <cell r="F687">
            <v>2605</v>
          </cell>
          <cell r="G687">
            <v>2605</v>
          </cell>
          <cell r="H687">
            <v>2144.3000000000002</v>
          </cell>
          <cell r="I687">
            <v>40227</v>
          </cell>
        </row>
        <row r="688">
          <cell r="A688" t="str">
            <v>CURRATE</v>
          </cell>
          <cell r="B688" t="str">
            <v>RATING CURVE</v>
          </cell>
          <cell r="C688">
            <v>120</v>
          </cell>
          <cell r="D688">
            <v>120</v>
          </cell>
          <cell r="E688">
            <v>120</v>
          </cell>
          <cell r="F688">
            <v>120</v>
          </cell>
          <cell r="G688">
            <v>120</v>
          </cell>
          <cell r="H688">
            <v>56.183999999999997</v>
          </cell>
        </row>
        <row r="689">
          <cell r="A689" t="str">
            <v>DAAENBP</v>
          </cell>
          <cell r="B689" t="str">
            <v>DAA ENCODER BASEPLATE</v>
          </cell>
          <cell r="C689">
            <v>85</v>
          </cell>
          <cell r="D689">
            <v>85</v>
          </cell>
          <cell r="E689">
            <v>85</v>
          </cell>
          <cell r="F689">
            <v>85</v>
          </cell>
          <cell r="G689">
            <v>85</v>
          </cell>
          <cell r="H689">
            <v>64.099999999999994</v>
          </cell>
          <cell r="I689">
            <v>40221</v>
          </cell>
        </row>
        <row r="690">
          <cell r="A690" t="str">
            <v>DAAENC1</v>
          </cell>
          <cell r="B690" t="str">
            <v>DAA ENCODER H-3342</v>
          </cell>
          <cell r="C690">
            <v>1995</v>
          </cell>
          <cell r="D690">
            <v>1995</v>
          </cell>
          <cell r="E690">
            <v>1995</v>
          </cell>
          <cell r="F690">
            <v>1995</v>
          </cell>
          <cell r="G690">
            <v>1995</v>
          </cell>
          <cell r="H690">
            <v>0</v>
          </cell>
        </row>
        <row r="691">
          <cell r="A691" t="str">
            <v>DAAENCO</v>
          </cell>
          <cell r="B691" t="str">
            <v>DAA ENCODER #H-331</v>
          </cell>
          <cell r="C691">
            <v>1650</v>
          </cell>
          <cell r="D691">
            <v>2050</v>
          </cell>
          <cell r="E691">
            <v>2050</v>
          </cell>
          <cell r="F691">
            <v>2050</v>
          </cell>
          <cell r="G691">
            <v>2050</v>
          </cell>
          <cell r="H691">
            <v>1584.0989999999999</v>
          </cell>
          <cell r="I691">
            <v>39988</v>
          </cell>
        </row>
        <row r="692">
          <cell r="A692" t="str">
            <v>DAAGASC</v>
          </cell>
          <cell r="B692" t="str">
            <v>H350XL LOGGER/H355 GAS PURGE SYSTEM 10m</v>
          </cell>
          <cell r="C692">
            <v>9462</v>
          </cell>
          <cell r="D692">
            <v>11700</v>
          </cell>
          <cell r="E692">
            <v>11700</v>
          </cell>
          <cell r="F692">
            <v>11700</v>
          </cell>
          <cell r="G692">
            <v>11700</v>
          </cell>
          <cell r="H692">
            <v>7878.7030000000004</v>
          </cell>
          <cell r="I692">
            <v>39883</v>
          </cell>
        </row>
        <row r="693">
          <cell r="A693" t="str">
            <v>DAAGASC2</v>
          </cell>
          <cell r="B693" t="str">
            <v>H350XL LOGGER/H355 GAS PURGE SYSTEM 20m</v>
          </cell>
          <cell r="C693">
            <v>9750</v>
          </cell>
          <cell r="D693">
            <v>9750</v>
          </cell>
          <cell r="E693">
            <v>9750</v>
          </cell>
          <cell r="F693">
            <v>9750</v>
          </cell>
          <cell r="G693">
            <v>9750</v>
          </cell>
          <cell r="H693">
            <v>7049.9269999999997</v>
          </cell>
        </row>
        <row r="694">
          <cell r="A694" t="str">
            <v>DAAGASC5</v>
          </cell>
          <cell r="B694" t="str">
            <v>H350XL LOGGER/H355 GAS SYSTEM 5m</v>
          </cell>
          <cell r="C694">
            <v>9750</v>
          </cell>
          <cell r="D694">
            <v>9750</v>
          </cell>
          <cell r="E694">
            <v>9750</v>
          </cell>
          <cell r="F694">
            <v>9750</v>
          </cell>
          <cell r="G694">
            <v>9750</v>
          </cell>
          <cell r="H694">
            <v>6363.4080000000004</v>
          </cell>
        </row>
        <row r="695">
          <cell r="A695" t="str">
            <v>DAAH355</v>
          </cell>
          <cell r="B695" t="str">
            <v>DAA H-355 "SMART GAS" SYSTEM</v>
          </cell>
          <cell r="C695">
            <v>0</v>
          </cell>
          <cell r="D695">
            <v>0</v>
          </cell>
          <cell r="E695">
            <v>0</v>
          </cell>
          <cell r="F695">
            <v>0</v>
          </cell>
          <cell r="G695">
            <v>0</v>
          </cell>
          <cell r="H695">
            <v>3647.3110000000001</v>
          </cell>
        </row>
        <row r="696">
          <cell r="A696" t="str">
            <v>DAALOGG</v>
          </cell>
          <cell r="B696" t="str">
            <v>DAA DATA LOGGER #H-500XL</v>
          </cell>
          <cell r="C696">
            <v>2750</v>
          </cell>
          <cell r="D696">
            <v>2750</v>
          </cell>
          <cell r="E696">
            <v>2750</v>
          </cell>
          <cell r="F696">
            <v>2750</v>
          </cell>
          <cell r="G696">
            <v>2750</v>
          </cell>
          <cell r="H696">
            <v>2143.9450000000002</v>
          </cell>
        </row>
        <row r="697">
          <cell r="A697" t="str">
            <v>DAAPRES</v>
          </cell>
          <cell r="B697" t="str">
            <v>DAA H-350-LITE PRESSURE TRANSDUCER  0-5</v>
          </cell>
          <cell r="C697">
            <v>2200</v>
          </cell>
          <cell r="D697">
            <v>2200</v>
          </cell>
          <cell r="E697">
            <v>2200</v>
          </cell>
          <cell r="F697">
            <v>2200</v>
          </cell>
          <cell r="G697">
            <v>2200</v>
          </cell>
          <cell r="H697">
            <v>0</v>
          </cell>
        </row>
        <row r="698">
          <cell r="A698" t="str">
            <v>DAARADA</v>
          </cell>
          <cell r="B698" t="str">
            <v>RADAR DISTANCE MEASUREMENT SYSTEM</v>
          </cell>
          <cell r="C698">
            <v>6100</v>
          </cell>
          <cell r="D698">
            <v>6695</v>
          </cell>
          <cell r="E698">
            <v>6695</v>
          </cell>
          <cell r="F698">
            <v>6695</v>
          </cell>
          <cell r="G698">
            <v>6695</v>
          </cell>
          <cell r="H698">
            <v>5443.2039999999997</v>
          </cell>
        </row>
        <row r="699">
          <cell r="A699" t="str">
            <v>DESBOTT</v>
          </cell>
          <cell r="B699" t="str">
            <v>DESICANT BOTTLE</v>
          </cell>
          <cell r="C699">
            <v>22</v>
          </cell>
          <cell r="D699">
            <v>22</v>
          </cell>
          <cell r="E699">
            <v>22</v>
          </cell>
          <cell r="F699">
            <v>22</v>
          </cell>
          <cell r="G699">
            <v>22</v>
          </cell>
          <cell r="H699">
            <v>0</v>
          </cell>
        </row>
        <row r="700">
          <cell r="A700" t="str">
            <v>DIDYKIT</v>
          </cell>
          <cell r="B700" t="str">
            <v>DIDYMO SAMPLING KIT</v>
          </cell>
          <cell r="C700">
            <v>352</v>
          </cell>
          <cell r="D700">
            <v>387</v>
          </cell>
          <cell r="E700">
            <v>387</v>
          </cell>
          <cell r="F700">
            <v>387</v>
          </cell>
          <cell r="G700">
            <v>387</v>
          </cell>
          <cell r="H700">
            <v>335.31700000000001</v>
          </cell>
          <cell r="I700">
            <v>39884</v>
          </cell>
        </row>
        <row r="701">
          <cell r="A701" t="str">
            <v>DIFFLIG</v>
          </cell>
          <cell r="B701" t="str">
            <v>LIGHT DIFFUSER</v>
          </cell>
          <cell r="C701">
            <v>235.2</v>
          </cell>
          <cell r="D701">
            <v>291.2</v>
          </cell>
          <cell r="E701">
            <v>291.2</v>
          </cell>
          <cell r="F701">
            <v>291.2</v>
          </cell>
          <cell r="G701">
            <v>291.2</v>
          </cell>
          <cell r="H701">
            <v>0</v>
          </cell>
          <cell r="I701">
            <v>39882</v>
          </cell>
        </row>
        <row r="702">
          <cell r="A702" t="str">
            <v>DIO-1.5KE6.8</v>
          </cell>
          <cell r="B702" t="str">
            <v>DIODE TVS  1.5KE6.8CA</v>
          </cell>
          <cell r="C702">
            <v>1.5</v>
          </cell>
          <cell r="D702">
            <v>1.5</v>
          </cell>
          <cell r="E702">
            <v>1.5</v>
          </cell>
          <cell r="F702">
            <v>1.5</v>
          </cell>
          <cell r="G702">
            <v>1.5</v>
          </cell>
          <cell r="H702">
            <v>0.98</v>
          </cell>
        </row>
        <row r="703">
          <cell r="A703" t="str">
            <v>DIO-1N4001</v>
          </cell>
          <cell r="B703" t="str">
            <v>DIODE 1N4001 1 AMP 50 VOLT</v>
          </cell>
          <cell r="C703">
            <v>0.6</v>
          </cell>
          <cell r="D703">
            <v>0.6</v>
          </cell>
          <cell r="E703">
            <v>0.6</v>
          </cell>
          <cell r="F703">
            <v>0.6</v>
          </cell>
          <cell r="G703">
            <v>0.6</v>
          </cell>
          <cell r="H703">
            <v>0.14499999999999999</v>
          </cell>
        </row>
        <row r="704">
          <cell r="A704" t="str">
            <v>DIO-1N4148</v>
          </cell>
          <cell r="B704" t="str">
            <v>DIODE 1N4148</v>
          </cell>
          <cell r="C704">
            <v>0.2</v>
          </cell>
          <cell r="D704">
            <v>0.2</v>
          </cell>
          <cell r="E704">
            <v>0.2</v>
          </cell>
          <cell r="F704">
            <v>0.2</v>
          </cell>
          <cell r="G704">
            <v>0.2</v>
          </cell>
          <cell r="H704">
            <v>0.2</v>
          </cell>
        </row>
        <row r="705">
          <cell r="A705" t="str">
            <v>DIO-1N5822</v>
          </cell>
          <cell r="B705" t="str">
            <v>DIODE 1N5822. 3 AMP SCHOTTKY</v>
          </cell>
          <cell r="C705">
            <v>3</v>
          </cell>
          <cell r="D705">
            <v>3</v>
          </cell>
          <cell r="E705">
            <v>3</v>
          </cell>
          <cell r="F705">
            <v>3</v>
          </cell>
          <cell r="G705">
            <v>3</v>
          </cell>
          <cell r="H705">
            <v>0</v>
          </cell>
        </row>
        <row r="706">
          <cell r="A706" t="str">
            <v>DIO-BYV272</v>
          </cell>
          <cell r="B706" t="str">
            <v>DIODE BYV-27-200 FAST SWITCHING</v>
          </cell>
          <cell r="C706">
            <v>1.86</v>
          </cell>
          <cell r="D706">
            <v>1.86</v>
          </cell>
          <cell r="E706">
            <v>1.86</v>
          </cell>
          <cell r="F706">
            <v>1.86</v>
          </cell>
          <cell r="G706">
            <v>1.86</v>
          </cell>
          <cell r="H706">
            <v>0</v>
          </cell>
        </row>
        <row r="707">
          <cell r="A707" t="str">
            <v>DIO-LM3852</v>
          </cell>
          <cell r="B707" t="str">
            <v>DIODE LM385Z-2.5V. 2.5 VOLT PREC VOLT RE</v>
          </cell>
          <cell r="C707">
            <v>3</v>
          </cell>
          <cell r="D707">
            <v>3</v>
          </cell>
          <cell r="E707">
            <v>3</v>
          </cell>
          <cell r="F707">
            <v>3</v>
          </cell>
          <cell r="G707">
            <v>3</v>
          </cell>
          <cell r="H707">
            <v>0</v>
          </cell>
        </row>
        <row r="708">
          <cell r="A708" t="str">
            <v>DIO-MR751</v>
          </cell>
          <cell r="B708" t="str">
            <v>DIODE MR751. 100V 6 AMP RECTIFIER</v>
          </cell>
          <cell r="C708">
            <v>2.4700000000000002</v>
          </cell>
          <cell r="D708">
            <v>2.4700000000000002</v>
          </cell>
          <cell r="E708">
            <v>2.4700000000000002</v>
          </cell>
          <cell r="F708">
            <v>2.4700000000000002</v>
          </cell>
          <cell r="G708">
            <v>2.4700000000000002</v>
          </cell>
          <cell r="H708">
            <v>2.2010000000000001</v>
          </cell>
        </row>
        <row r="709">
          <cell r="A709" t="str">
            <v>DIO-MR752G</v>
          </cell>
          <cell r="B709" t="str">
            <v>DIODE MR752G 6A 200V</v>
          </cell>
          <cell r="C709">
            <v>1.5</v>
          </cell>
          <cell r="D709">
            <v>1.5</v>
          </cell>
          <cell r="E709">
            <v>1.5</v>
          </cell>
          <cell r="F709">
            <v>1.5</v>
          </cell>
          <cell r="G709">
            <v>1.5</v>
          </cell>
          <cell r="H709">
            <v>1.2509999999999999</v>
          </cell>
        </row>
        <row r="710">
          <cell r="A710" t="str">
            <v>DIO-SCHOT</v>
          </cell>
          <cell r="B710" t="str">
            <v>DIODE SMALL SIGNAL TYPE  schottky</v>
          </cell>
          <cell r="C710">
            <v>3.8</v>
          </cell>
          <cell r="D710">
            <v>3.8</v>
          </cell>
          <cell r="E710">
            <v>3.8</v>
          </cell>
          <cell r="F710">
            <v>3.8</v>
          </cell>
          <cell r="G710">
            <v>3.8</v>
          </cell>
          <cell r="H710">
            <v>0</v>
          </cell>
        </row>
        <row r="711">
          <cell r="A711" t="str">
            <v>DIO-TVS12</v>
          </cell>
          <cell r="B711" t="str">
            <v>DIODE TVS12. TRANSIENT VOLTAGE SUPERSSO</v>
          </cell>
          <cell r="C711">
            <v>0.69299999999999995</v>
          </cell>
          <cell r="D711">
            <v>0.99</v>
          </cell>
          <cell r="E711">
            <v>0.99</v>
          </cell>
          <cell r="F711">
            <v>0.99</v>
          </cell>
          <cell r="G711">
            <v>0.99</v>
          </cell>
          <cell r="H711">
            <v>0.66</v>
          </cell>
          <cell r="I711">
            <v>40070</v>
          </cell>
        </row>
        <row r="712">
          <cell r="A712" t="str">
            <v>DIO-Z0151</v>
          </cell>
          <cell r="B712" t="str">
            <v>DIODE  ZENER 15 VOLT 1W</v>
          </cell>
          <cell r="C712">
            <v>0.72</v>
          </cell>
          <cell r="D712">
            <v>0.72</v>
          </cell>
          <cell r="E712">
            <v>0.72</v>
          </cell>
          <cell r="F712">
            <v>0.72</v>
          </cell>
          <cell r="G712">
            <v>0.72</v>
          </cell>
          <cell r="H712">
            <v>0.46</v>
          </cell>
        </row>
        <row r="713">
          <cell r="A713" t="str">
            <v>DIO-Z03.3</v>
          </cell>
          <cell r="B713" t="str">
            <v>DIODE ZENER 3.3 VOLT 400mw +-5%</v>
          </cell>
          <cell r="C713">
            <v>0.72</v>
          </cell>
          <cell r="D713">
            <v>0.72</v>
          </cell>
          <cell r="E713">
            <v>0.72</v>
          </cell>
          <cell r="F713">
            <v>0.72</v>
          </cell>
          <cell r="G713">
            <v>0.72</v>
          </cell>
          <cell r="H713">
            <v>7.6999999999999999E-2</v>
          </cell>
        </row>
        <row r="714">
          <cell r="A714" t="str">
            <v>DIO-Z043</v>
          </cell>
          <cell r="B714" t="str">
            <v>DIODE  ZENER 43V 3.5W</v>
          </cell>
          <cell r="C714">
            <v>0.72</v>
          </cell>
          <cell r="D714">
            <v>0.72</v>
          </cell>
          <cell r="E714">
            <v>0.72</v>
          </cell>
          <cell r="F714">
            <v>0.72</v>
          </cell>
          <cell r="G714">
            <v>0.72</v>
          </cell>
          <cell r="H714">
            <v>1.08</v>
          </cell>
        </row>
        <row r="715">
          <cell r="A715" t="str">
            <v>DIO-Z05.1</v>
          </cell>
          <cell r="B715" t="str">
            <v>DIODE ZENER 5.1 VOLT 400mw +-5%</v>
          </cell>
          <cell r="C715">
            <v>0.72</v>
          </cell>
          <cell r="D715">
            <v>0.72</v>
          </cell>
          <cell r="E715">
            <v>0.72</v>
          </cell>
          <cell r="F715">
            <v>0.72</v>
          </cell>
          <cell r="G715">
            <v>0.72</v>
          </cell>
          <cell r="H715">
            <v>0</v>
          </cell>
        </row>
        <row r="716">
          <cell r="A716" t="str">
            <v>DIO-Z05.6</v>
          </cell>
          <cell r="B716" t="str">
            <v>DIODE ZENER 5.6 VOLT 400mw +-5%</v>
          </cell>
          <cell r="C716">
            <v>0.72</v>
          </cell>
          <cell r="D716">
            <v>0.72</v>
          </cell>
          <cell r="E716">
            <v>0.72</v>
          </cell>
          <cell r="F716">
            <v>0.72</v>
          </cell>
          <cell r="G716">
            <v>0.72</v>
          </cell>
          <cell r="H716">
            <v>0</v>
          </cell>
        </row>
        <row r="717">
          <cell r="A717" t="str">
            <v>DIO-Z06.2</v>
          </cell>
          <cell r="B717" t="str">
            <v>DIODE ZENER 6.2 VOLT 400mw +-5%</v>
          </cell>
          <cell r="C717">
            <v>0.72</v>
          </cell>
          <cell r="D717">
            <v>0.72</v>
          </cell>
          <cell r="E717">
            <v>0.72</v>
          </cell>
          <cell r="F717">
            <v>0.72</v>
          </cell>
          <cell r="G717">
            <v>0.72</v>
          </cell>
          <cell r="H717">
            <v>0.24</v>
          </cell>
        </row>
        <row r="718">
          <cell r="A718" t="str">
            <v>DIO7SHE</v>
          </cell>
          <cell r="B718" t="str">
            <v>DIODE 7 SEG LED.RED CATHODE.HI EMMISSION</v>
          </cell>
          <cell r="C718">
            <v>3</v>
          </cell>
          <cell r="D718">
            <v>3</v>
          </cell>
          <cell r="E718">
            <v>3</v>
          </cell>
          <cell r="F718">
            <v>3</v>
          </cell>
          <cell r="G718">
            <v>3</v>
          </cell>
          <cell r="H718">
            <v>1.306</v>
          </cell>
        </row>
        <row r="719">
          <cell r="A719" t="str">
            <v>DIOSB560</v>
          </cell>
          <cell r="B719" t="str">
            <v>DIODE  SB560</v>
          </cell>
          <cell r="C719">
            <v>7.5</v>
          </cell>
          <cell r="D719">
            <v>7.5</v>
          </cell>
          <cell r="E719">
            <v>7.5</v>
          </cell>
          <cell r="F719">
            <v>7.5</v>
          </cell>
          <cell r="G719">
            <v>7.5</v>
          </cell>
          <cell r="H719">
            <v>0</v>
          </cell>
        </row>
        <row r="720">
          <cell r="A720" t="str">
            <v>DIS6201</v>
          </cell>
          <cell r="B720" t="str">
            <v>DISPLAY  LCD #HC16201</v>
          </cell>
          <cell r="C720">
            <v>26</v>
          </cell>
          <cell r="D720">
            <v>26</v>
          </cell>
          <cell r="E720">
            <v>26</v>
          </cell>
          <cell r="F720">
            <v>26</v>
          </cell>
          <cell r="G720">
            <v>26</v>
          </cell>
          <cell r="H720">
            <v>0</v>
          </cell>
        </row>
        <row r="721">
          <cell r="A721" t="str">
            <v>DISCHAR</v>
          </cell>
          <cell r="B721" t="str">
            <v>DISCHARGER</v>
          </cell>
          <cell r="C721">
            <v>0</v>
          </cell>
          <cell r="D721">
            <v>0</v>
          </cell>
          <cell r="E721">
            <v>0</v>
          </cell>
          <cell r="F721">
            <v>0</v>
          </cell>
          <cell r="G721">
            <v>0</v>
          </cell>
          <cell r="H721">
            <v>0</v>
          </cell>
        </row>
        <row r="722">
          <cell r="A722" t="str">
            <v>DISL164</v>
          </cell>
          <cell r="B722" t="str">
            <v>DISPLAY  LCD 6MM</v>
          </cell>
          <cell r="C722">
            <v>32</v>
          </cell>
          <cell r="D722">
            <v>32</v>
          </cell>
          <cell r="E722">
            <v>32</v>
          </cell>
          <cell r="F722">
            <v>32</v>
          </cell>
          <cell r="G722">
            <v>32</v>
          </cell>
          <cell r="H722">
            <v>16</v>
          </cell>
        </row>
        <row r="723">
          <cell r="A723" t="str">
            <v>DISL305</v>
          </cell>
          <cell r="B723" t="str">
            <v>DISPLAY  LCD  3.5 DIGIT</v>
          </cell>
          <cell r="C723">
            <v>19.27</v>
          </cell>
          <cell r="D723">
            <v>19.27</v>
          </cell>
          <cell r="E723">
            <v>19.27</v>
          </cell>
          <cell r="F723">
            <v>19.27</v>
          </cell>
          <cell r="G723">
            <v>19.27</v>
          </cell>
          <cell r="H723">
            <v>0</v>
          </cell>
        </row>
        <row r="724">
          <cell r="A724" t="str">
            <v>DISLC16</v>
          </cell>
          <cell r="B724" t="str">
            <v>DISPLAY  LCD 1x16 CHARACTER</v>
          </cell>
          <cell r="C724">
            <v>134.5</v>
          </cell>
          <cell r="D724">
            <v>134.5</v>
          </cell>
          <cell r="E724">
            <v>134.5</v>
          </cell>
          <cell r="F724">
            <v>134.5</v>
          </cell>
          <cell r="G724">
            <v>134.5</v>
          </cell>
          <cell r="H724">
            <v>0</v>
          </cell>
        </row>
        <row r="725">
          <cell r="A725" t="str">
            <v>DOBANOD</v>
          </cell>
          <cell r="B725" t="str">
            <v>ANODE  ZINC (YANMAR)</v>
          </cell>
          <cell r="C725">
            <v>13.6</v>
          </cell>
          <cell r="D725">
            <v>17</v>
          </cell>
          <cell r="E725">
            <v>17</v>
          </cell>
          <cell r="F725">
            <v>17</v>
          </cell>
          <cell r="G725">
            <v>17</v>
          </cell>
          <cell r="H725">
            <v>12.9</v>
          </cell>
          <cell r="I725">
            <v>39988</v>
          </cell>
        </row>
        <row r="726">
          <cell r="A726" t="str">
            <v>DOBBAEX</v>
          </cell>
          <cell r="B726" t="str">
            <v>DOBIE BASIC EXTENDED BODY BATTERY VERSIO</v>
          </cell>
          <cell r="C726">
            <v>2603</v>
          </cell>
          <cell r="D726">
            <v>2975</v>
          </cell>
          <cell r="E726">
            <v>2975</v>
          </cell>
          <cell r="F726">
            <v>2975</v>
          </cell>
          <cell r="G726">
            <v>2975</v>
          </cell>
          <cell r="H726">
            <v>0</v>
          </cell>
          <cell r="I726">
            <v>39883</v>
          </cell>
        </row>
        <row r="727">
          <cell r="A727" t="str">
            <v>DOBBAHO</v>
          </cell>
          <cell r="B727" t="str">
            <v>DOBIE BATTERY HOLDER (IS VERSION)</v>
          </cell>
          <cell r="C727">
            <v>450</v>
          </cell>
          <cell r="D727">
            <v>450</v>
          </cell>
          <cell r="E727">
            <v>450</v>
          </cell>
          <cell r="F727">
            <v>450</v>
          </cell>
          <cell r="G727">
            <v>450</v>
          </cell>
          <cell r="H727">
            <v>0</v>
          </cell>
        </row>
        <row r="728">
          <cell r="A728" t="str">
            <v>DOBBASI</v>
          </cell>
          <cell r="B728" t="str">
            <v>DOBIE BASIC ASSEMBLY (NO DRUCK OR TATTLE</v>
          </cell>
          <cell r="C728">
            <v>1984.5</v>
          </cell>
          <cell r="D728">
            <v>2457</v>
          </cell>
          <cell r="E728">
            <v>2457</v>
          </cell>
          <cell r="F728">
            <v>2457</v>
          </cell>
          <cell r="G728">
            <v>2457</v>
          </cell>
          <cell r="H728">
            <v>0</v>
          </cell>
          <cell r="I728">
            <v>39883</v>
          </cell>
        </row>
        <row r="729">
          <cell r="A729" t="str">
            <v>DOBBATH</v>
          </cell>
          <cell r="B729" t="str">
            <v>BATTERY HOLDER 4 X D CELL #S-6102</v>
          </cell>
          <cell r="C729">
            <v>3.7</v>
          </cell>
          <cell r="D729">
            <v>3.7</v>
          </cell>
          <cell r="E729">
            <v>3.7</v>
          </cell>
          <cell r="F729">
            <v>3.7</v>
          </cell>
          <cell r="G729">
            <v>3.7</v>
          </cell>
          <cell r="H729">
            <v>2.99</v>
          </cell>
        </row>
        <row r="730">
          <cell r="A730" t="str">
            <v>DOBBCLG</v>
          </cell>
          <cell r="B730" t="str">
            <v>DOBIE BATTERY CLAMP - LONG</v>
          </cell>
          <cell r="C730">
            <v>55.1</v>
          </cell>
          <cell r="D730">
            <v>55.1</v>
          </cell>
          <cell r="E730">
            <v>55.1</v>
          </cell>
          <cell r="F730">
            <v>55.1</v>
          </cell>
          <cell r="G730">
            <v>55.1</v>
          </cell>
          <cell r="H730">
            <v>0</v>
          </cell>
        </row>
        <row r="731">
          <cell r="A731" t="str">
            <v>DOBBCSH</v>
          </cell>
          <cell r="B731" t="str">
            <v>DOBIE BATTERY CLAMP - SHORT</v>
          </cell>
          <cell r="C731">
            <v>46.1</v>
          </cell>
          <cell r="D731">
            <v>46.1</v>
          </cell>
          <cell r="E731">
            <v>46.1</v>
          </cell>
          <cell r="F731">
            <v>46.1</v>
          </cell>
          <cell r="G731">
            <v>46.1</v>
          </cell>
          <cell r="H731">
            <v>0</v>
          </cell>
        </row>
        <row r="732">
          <cell r="A732" t="str">
            <v>DOBBOX2</v>
          </cell>
          <cell r="B732" t="str">
            <v>BOX  PLASTIC DRILLED FOR DOBIE MULTICOMP</v>
          </cell>
          <cell r="C732">
            <v>80</v>
          </cell>
          <cell r="D732">
            <v>80</v>
          </cell>
          <cell r="E732">
            <v>80</v>
          </cell>
          <cell r="F732">
            <v>80</v>
          </cell>
          <cell r="G732">
            <v>80</v>
          </cell>
          <cell r="H732">
            <v>0</v>
          </cell>
        </row>
        <row r="733">
          <cell r="A733" t="str">
            <v>DOBBRCL</v>
          </cell>
          <cell r="B733" t="str">
            <v>DOBIE  BATTERY RETAINING CLAMP</v>
          </cell>
          <cell r="C733">
            <v>40</v>
          </cell>
          <cell r="D733">
            <v>40</v>
          </cell>
          <cell r="E733">
            <v>40</v>
          </cell>
          <cell r="F733">
            <v>40</v>
          </cell>
          <cell r="G733">
            <v>40</v>
          </cell>
          <cell r="H733">
            <v>0</v>
          </cell>
        </row>
        <row r="734">
          <cell r="A734" t="str">
            <v>DOBBREX</v>
          </cell>
          <cell r="B734" t="str">
            <v>DOBIE  EXTENDED BRACKET</v>
          </cell>
          <cell r="C734">
            <v>70</v>
          </cell>
          <cell r="D734">
            <v>70</v>
          </cell>
          <cell r="E734">
            <v>70</v>
          </cell>
          <cell r="F734">
            <v>70</v>
          </cell>
          <cell r="G734">
            <v>70</v>
          </cell>
          <cell r="H734">
            <v>0</v>
          </cell>
        </row>
        <row r="735">
          <cell r="A735" t="str">
            <v>DOBBRPI</v>
          </cell>
          <cell r="B735" t="str">
            <v>DOBIE  BATTERY CLAMP PILLAR</v>
          </cell>
          <cell r="C735">
            <v>11</v>
          </cell>
          <cell r="D735">
            <v>11</v>
          </cell>
          <cell r="E735">
            <v>11</v>
          </cell>
          <cell r="F735">
            <v>11</v>
          </cell>
          <cell r="G735">
            <v>11</v>
          </cell>
          <cell r="H735">
            <v>0</v>
          </cell>
        </row>
        <row r="736">
          <cell r="A736" t="str">
            <v>DOBBRPS</v>
          </cell>
          <cell r="B736" t="str">
            <v>DOBIE BATTERY CLAMP PILLAR STUD</v>
          </cell>
          <cell r="C736">
            <v>6</v>
          </cell>
          <cell r="D736">
            <v>6</v>
          </cell>
          <cell r="E736">
            <v>6</v>
          </cell>
          <cell r="F736">
            <v>6</v>
          </cell>
          <cell r="G736">
            <v>6</v>
          </cell>
          <cell r="H736">
            <v>0</v>
          </cell>
        </row>
        <row r="737">
          <cell r="A737" t="str">
            <v>DOBCAB</v>
          </cell>
          <cell r="B737" t="str">
            <v>CABLE  DOBIE SERIAL INTERFACE TATTLETALE</v>
          </cell>
          <cell r="C737">
            <v>26</v>
          </cell>
          <cell r="D737">
            <v>32.25</v>
          </cell>
          <cell r="E737">
            <v>32.25</v>
          </cell>
          <cell r="F737">
            <v>32.25</v>
          </cell>
          <cell r="G737">
            <v>32.25</v>
          </cell>
          <cell r="H737">
            <v>0</v>
          </cell>
          <cell r="I737">
            <v>39883</v>
          </cell>
        </row>
        <row r="738">
          <cell r="A738" t="str">
            <v>DOBCACO</v>
          </cell>
          <cell r="B738" t="str">
            <v>DOBIE CONNECTOR CAP</v>
          </cell>
          <cell r="C738">
            <v>60</v>
          </cell>
          <cell r="D738">
            <v>60</v>
          </cell>
          <cell r="E738">
            <v>60</v>
          </cell>
          <cell r="F738">
            <v>60</v>
          </cell>
          <cell r="G738">
            <v>60</v>
          </cell>
          <cell r="H738">
            <v>0</v>
          </cell>
        </row>
        <row r="739">
          <cell r="A739" t="str">
            <v>DOBCADB</v>
          </cell>
          <cell r="B739" t="str">
            <v>DOBIE 'C' ADAPTOR</v>
          </cell>
          <cell r="C739">
            <v>20</v>
          </cell>
          <cell r="D739">
            <v>20</v>
          </cell>
          <cell r="E739">
            <v>20</v>
          </cell>
          <cell r="F739">
            <v>20</v>
          </cell>
          <cell r="G739">
            <v>20</v>
          </cell>
          <cell r="H739">
            <v>0</v>
          </cell>
        </row>
        <row r="740">
          <cell r="A740" t="str">
            <v>DOBCHAM</v>
          </cell>
          <cell r="B740" t="str">
            <v>DOBIE  CHAMBER</v>
          </cell>
          <cell r="C740">
            <v>520</v>
          </cell>
          <cell r="D740">
            <v>570</v>
          </cell>
          <cell r="E740">
            <v>570</v>
          </cell>
          <cell r="F740">
            <v>570</v>
          </cell>
          <cell r="G740">
            <v>570</v>
          </cell>
          <cell r="H740">
            <v>360</v>
          </cell>
          <cell r="I740">
            <v>39888</v>
          </cell>
        </row>
        <row r="741">
          <cell r="A741" t="str">
            <v>DOBCHEX</v>
          </cell>
          <cell r="B741" t="str">
            <v>DOBIE CHAMBER (EXTENDED VERSION)</v>
          </cell>
          <cell r="C741">
            <v>643</v>
          </cell>
          <cell r="D741">
            <v>795.8</v>
          </cell>
          <cell r="E741">
            <v>795.8</v>
          </cell>
          <cell r="F741">
            <v>795.8</v>
          </cell>
          <cell r="G741">
            <v>795.8</v>
          </cell>
          <cell r="H741">
            <v>553.45000000000005</v>
          </cell>
          <cell r="I741">
            <v>39846</v>
          </cell>
        </row>
        <row r="742">
          <cell r="A742" t="str">
            <v>DOBCHFL</v>
          </cell>
          <cell r="B742" t="str">
            <v>DOBIE CHAMBER FLANGE</v>
          </cell>
          <cell r="C742">
            <v>425</v>
          </cell>
          <cell r="D742">
            <v>425</v>
          </cell>
          <cell r="E742">
            <v>425</v>
          </cell>
          <cell r="F742">
            <v>425</v>
          </cell>
          <cell r="G742">
            <v>425</v>
          </cell>
          <cell r="H742">
            <v>0</v>
          </cell>
        </row>
        <row r="743">
          <cell r="A743" t="str">
            <v>DOBDRUA</v>
          </cell>
          <cell r="B743" t="str">
            <v>DOBIE  DRUCK ADAPTOR</v>
          </cell>
          <cell r="C743">
            <v>183</v>
          </cell>
          <cell r="D743">
            <v>183</v>
          </cell>
          <cell r="E743">
            <v>183</v>
          </cell>
          <cell r="F743">
            <v>183</v>
          </cell>
          <cell r="G743">
            <v>183</v>
          </cell>
          <cell r="H743">
            <v>0</v>
          </cell>
        </row>
        <row r="744">
          <cell r="A744" t="str">
            <v>DOBFLHA</v>
          </cell>
          <cell r="B744" t="str">
            <v>DOBIE FLANGE HANDLE ASSEMBLY</v>
          </cell>
          <cell r="C744">
            <v>78</v>
          </cell>
          <cell r="D744">
            <v>78</v>
          </cell>
          <cell r="E744">
            <v>78</v>
          </cell>
          <cell r="F744">
            <v>78</v>
          </cell>
          <cell r="G744">
            <v>78</v>
          </cell>
          <cell r="H744">
            <v>0</v>
          </cell>
        </row>
        <row r="745">
          <cell r="A745" t="str">
            <v>DOBIE</v>
          </cell>
          <cell r="B745" t="str">
            <v>DOBIE WAVEGAUGE COMPLETE</v>
          </cell>
          <cell r="C745">
            <v>0</v>
          </cell>
          <cell r="D745">
            <v>0</v>
          </cell>
          <cell r="E745">
            <v>0</v>
          </cell>
          <cell r="F745">
            <v>0</v>
          </cell>
          <cell r="G745">
            <v>0</v>
          </cell>
          <cell r="H745">
            <v>0</v>
          </cell>
        </row>
        <row r="746">
          <cell r="A746" t="str">
            <v>DOBINAD</v>
          </cell>
          <cell r="B746" t="str">
            <v>DOBIE INSULATED ADAPTER</v>
          </cell>
          <cell r="C746">
            <v>50</v>
          </cell>
          <cell r="D746">
            <v>50</v>
          </cell>
          <cell r="E746">
            <v>50</v>
          </cell>
          <cell r="F746">
            <v>50</v>
          </cell>
          <cell r="G746">
            <v>50</v>
          </cell>
          <cell r="H746">
            <v>0</v>
          </cell>
        </row>
        <row r="747">
          <cell r="A747" t="str">
            <v>DOBLABS</v>
          </cell>
          <cell r="B747" t="str">
            <v>DOBIE  LABEL SET</v>
          </cell>
          <cell r="C747">
            <v>28</v>
          </cell>
          <cell r="D747">
            <v>35</v>
          </cell>
          <cell r="E747">
            <v>35</v>
          </cell>
          <cell r="F747">
            <v>35</v>
          </cell>
          <cell r="G747">
            <v>35</v>
          </cell>
          <cell r="H747">
            <v>26.09</v>
          </cell>
        </row>
        <row r="748">
          <cell r="A748" t="str">
            <v>DOBLOG2</v>
          </cell>
          <cell r="B748" t="str">
            <v>LOGGER  TATTLETALE TT8 (VERSION 2)</v>
          </cell>
          <cell r="C748">
            <v>900</v>
          </cell>
          <cell r="D748">
            <v>920</v>
          </cell>
          <cell r="E748">
            <v>920</v>
          </cell>
          <cell r="F748">
            <v>920</v>
          </cell>
          <cell r="G748">
            <v>920</v>
          </cell>
          <cell r="H748">
            <v>708.31899999999996</v>
          </cell>
          <cell r="I748">
            <v>40267</v>
          </cell>
        </row>
        <row r="749">
          <cell r="A749" t="str">
            <v>DOBLOGG</v>
          </cell>
          <cell r="B749" t="str">
            <v>LOGGER  TATTLETALE TT8</v>
          </cell>
          <cell r="C749">
            <v>1156</v>
          </cell>
          <cell r="D749">
            <v>1431</v>
          </cell>
          <cell r="E749">
            <v>1431</v>
          </cell>
          <cell r="F749">
            <v>1431</v>
          </cell>
          <cell r="G749">
            <v>1431</v>
          </cell>
          <cell r="H749">
            <v>0</v>
          </cell>
          <cell r="I749">
            <v>39883</v>
          </cell>
        </row>
        <row r="750">
          <cell r="A750" t="str">
            <v>DOBLREN</v>
          </cell>
          <cell r="B750" t="str">
            <v>DOBIE  RETAINING NUT FOR LED HOUSING</v>
          </cell>
          <cell r="C750">
            <v>10</v>
          </cell>
          <cell r="D750">
            <v>10</v>
          </cell>
          <cell r="E750">
            <v>10</v>
          </cell>
          <cell r="F750">
            <v>10</v>
          </cell>
          <cell r="G750">
            <v>10</v>
          </cell>
          <cell r="H750">
            <v>0</v>
          </cell>
        </row>
        <row r="751">
          <cell r="A751" t="str">
            <v>DOBLRET</v>
          </cell>
          <cell r="B751" t="str">
            <v>DOBIE  ACRYLIC HOUSING FOR LED</v>
          </cell>
          <cell r="C751">
            <v>45</v>
          </cell>
          <cell r="D751">
            <v>45</v>
          </cell>
          <cell r="E751">
            <v>45</v>
          </cell>
          <cell r="F751">
            <v>45</v>
          </cell>
          <cell r="G751">
            <v>45</v>
          </cell>
          <cell r="H751">
            <v>0</v>
          </cell>
        </row>
        <row r="752">
          <cell r="A752" t="str">
            <v>DOBMACP</v>
          </cell>
          <cell r="B752" t="str">
            <v>DOBIE MAGENT CENTRE POLE</v>
          </cell>
          <cell r="C752">
            <v>0</v>
          </cell>
          <cell r="D752">
            <v>0</v>
          </cell>
          <cell r="E752">
            <v>0</v>
          </cell>
          <cell r="F752">
            <v>0</v>
          </cell>
          <cell r="G752">
            <v>0</v>
          </cell>
          <cell r="H752">
            <v>0</v>
          </cell>
        </row>
        <row r="753">
          <cell r="A753" t="str">
            <v>DOBMAGN</v>
          </cell>
          <cell r="B753" t="str">
            <v>DOBIE  MAGNET</v>
          </cell>
          <cell r="C753">
            <v>5.5</v>
          </cell>
          <cell r="D753">
            <v>5.5</v>
          </cell>
          <cell r="E753">
            <v>5.5</v>
          </cell>
          <cell r="F753">
            <v>5.5</v>
          </cell>
          <cell r="G753">
            <v>5.5</v>
          </cell>
          <cell r="H753">
            <v>0</v>
          </cell>
        </row>
        <row r="754">
          <cell r="A754" t="str">
            <v>DOBMAHO</v>
          </cell>
          <cell r="B754" t="str">
            <v>DOBIE MAGNET SWITCH HOLDER</v>
          </cell>
          <cell r="C754">
            <v>45</v>
          </cell>
          <cell r="D754">
            <v>45</v>
          </cell>
          <cell r="E754">
            <v>45</v>
          </cell>
          <cell r="F754">
            <v>45</v>
          </cell>
          <cell r="G754">
            <v>45</v>
          </cell>
          <cell r="H754">
            <v>0</v>
          </cell>
        </row>
        <row r="755">
          <cell r="A755" t="str">
            <v>DOBMBAR</v>
          </cell>
          <cell r="B755" t="str">
            <v>DOBIE ISOLATED MOUNTING BAR</v>
          </cell>
          <cell r="C755">
            <v>75</v>
          </cell>
          <cell r="D755">
            <v>75</v>
          </cell>
          <cell r="E755">
            <v>75</v>
          </cell>
          <cell r="F755">
            <v>75</v>
          </cell>
          <cell r="G755">
            <v>75</v>
          </cell>
          <cell r="H755">
            <v>0</v>
          </cell>
        </row>
        <row r="756">
          <cell r="A756" t="str">
            <v>DOBMECH</v>
          </cell>
          <cell r="B756" t="str">
            <v>DOBIE MECHANICAL ASSEMBLY</v>
          </cell>
          <cell r="C756">
            <v>1500</v>
          </cell>
          <cell r="D756">
            <v>1500</v>
          </cell>
          <cell r="E756">
            <v>1500</v>
          </cell>
          <cell r="F756">
            <v>1500</v>
          </cell>
          <cell r="G756">
            <v>1500</v>
          </cell>
          <cell r="H756">
            <v>0</v>
          </cell>
        </row>
        <row r="757">
          <cell r="A757" t="str">
            <v>DOBMEEX</v>
          </cell>
          <cell r="B757" t="str">
            <v>DOBIE  EXTENDED MECHANICAL ASSEMBLY</v>
          </cell>
          <cell r="C757">
            <v>1365</v>
          </cell>
          <cell r="D757">
            <v>1365</v>
          </cell>
          <cell r="E757">
            <v>1365</v>
          </cell>
          <cell r="F757">
            <v>1365</v>
          </cell>
          <cell r="G757">
            <v>1365</v>
          </cell>
          <cell r="H757">
            <v>0</v>
          </cell>
        </row>
        <row r="758">
          <cell r="A758" t="str">
            <v>DOBMOUN</v>
          </cell>
          <cell r="B758" t="str">
            <v>DOBIE MOUNTING BLOCK SET</v>
          </cell>
          <cell r="C758">
            <v>215</v>
          </cell>
          <cell r="D758">
            <v>215</v>
          </cell>
          <cell r="E758">
            <v>215</v>
          </cell>
          <cell r="F758">
            <v>215</v>
          </cell>
          <cell r="G758">
            <v>215</v>
          </cell>
          <cell r="H758">
            <v>0</v>
          </cell>
        </row>
        <row r="759">
          <cell r="A759" t="str">
            <v>DOBOR01</v>
          </cell>
          <cell r="B759" t="str">
            <v>DOBIE  O-RING 15 x 1.5mm</v>
          </cell>
          <cell r="C759">
            <v>0.38</v>
          </cell>
          <cell r="D759">
            <v>0.38</v>
          </cell>
          <cell r="E759">
            <v>0.38</v>
          </cell>
          <cell r="F759">
            <v>0.38</v>
          </cell>
          <cell r="G759">
            <v>0.38</v>
          </cell>
          <cell r="H759">
            <v>0</v>
          </cell>
        </row>
        <row r="760">
          <cell r="A760" t="str">
            <v>DOBOR02</v>
          </cell>
          <cell r="B760" t="str">
            <v>DOBIE  O-RING 15 x 2 mm</v>
          </cell>
          <cell r="C760">
            <v>0.4</v>
          </cell>
          <cell r="D760">
            <v>0.4</v>
          </cell>
          <cell r="E760">
            <v>0.4</v>
          </cell>
          <cell r="F760">
            <v>0.4</v>
          </cell>
          <cell r="G760">
            <v>0.4</v>
          </cell>
          <cell r="H760">
            <v>0</v>
          </cell>
        </row>
        <row r="761">
          <cell r="A761" t="str">
            <v>DOBOR03</v>
          </cell>
          <cell r="B761" t="str">
            <v>DOBIE  O-RING 15 x 2.5mm</v>
          </cell>
          <cell r="C761">
            <v>0.6</v>
          </cell>
          <cell r="D761">
            <v>0.6</v>
          </cell>
          <cell r="E761">
            <v>0.6</v>
          </cell>
          <cell r="F761">
            <v>0.6</v>
          </cell>
          <cell r="G761">
            <v>0.6</v>
          </cell>
          <cell r="H761">
            <v>0</v>
          </cell>
        </row>
        <row r="762">
          <cell r="A762" t="str">
            <v>DOBOR04</v>
          </cell>
          <cell r="B762" t="str">
            <v>DOBIE  O-RING 22 x 2.5mm</v>
          </cell>
          <cell r="C762">
            <v>0.75</v>
          </cell>
          <cell r="D762">
            <v>0.75</v>
          </cell>
          <cell r="E762">
            <v>0.75</v>
          </cell>
          <cell r="F762">
            <v>0.75</v>
          </cell>
          <cell r="G762">
            <v>0.75</v>
          </cell>
          <cell r="H762">
            <v>0</v>
          </cell>
        </row>
        <row r="763">
          <cell r="A763" t="str">
            <v>DOBOR05</v>
          </cell>
          <cell r="B763" t="str">
            <v>DOBIE  O-RING 9 x 1.5mm</v>
          </cell>
          <cell r="C763">
            <v>0.38</v>
          </cell>
          <cell r="D763">
            <v>0.38</v>
          </cell>
          <cell r="E763">
            <v>0.38</v>
          </cell>
          <cell r="F763">
            <v>0.38</v>
          </cell>
          <cell r="G763">
            <v>0.38</v>
          </cell>
          <cell r="H763">
            <v>0</v>
          </cell>
        </row>
        <row r="764">
          <cell r="A764" t="str">
            <v>DOBORLG</v>
          </cell>
          <cell r="B764" t="str">
            <v>DOBIE  O-RING 359 N70</v>
          </cell>
          <cell r="C764">
            <v>5.4</v>
          </cell>
          <cell r="D764">
            <v>5.4</v>
          </cell>
          <cell r="E764">
            <v>5.4</v>
          </cell>
          <cell r="F764">
            <v>5.4</v>
          </cell>
          <cell r="G764">
            <v>5.4</v>
          </cell>
          <cell r="H764">
            <v>3.03</v>
          </cell>
        </row>
        <row r="765">
          <cell r="A765" t="str">
            <v>DOBORSM</v>
          </cell>
          <cell r="B765" t="str">
            <v>DOBIE  O-RING 16 x 1.5 N70</v>
          </cell>
          <cell r="C765">
            <v>1</v>
          </cell>
          <cell r="D765">
            <v>1</v>
          </cell>
          <cell r="E765">
            <v>1</v>
          </cell>
          <cell r="F765">
            <v>1</v>
          </cell>
          <cell r="G765">
            <v>1</v>
          </cell>
          <cell r="H765">
            <v>0.26</v>
          </cell>
        </row>
        <row r="766">
          <cell r="A766" t="str">
            <v>DOBPCB</v>
          </cell>
          <cell r="B766" t="str">
            <v>DOBIE  PCB INTERFACE</v>
          </cell>
          <cell r="C766">
            <v>150</v>
          </cell>
          <cell r="D766">
            <v>150</v>
          </cell>
          <cell r="E766">
            <v>150</v>
          </cell>
          <cell r="F766">
            <v>150</v>
          </cell>
          <cell r="G766">
            <v>150</v>
          </cell>
          <cell r="H766">
            <v>0</v>
          </cell>
        </row>
        <row r="767">
          <cell r="A767" t="str">
            <v>DOBPRAD</v>
          </cell>
          <cell r="B767" t="str">
            <v>DOBIE  PRESSURE SENSOR ADAPTER</v>
          </cell>
          <cell r="C767">
            <v>45</v>
          </cell>
          <cell r="D767">
            <v>45</v>
          </cell>
          <cell r="E767">
            <v>45</v>
          </cell>
          <cell r="F767">
            <v>45</v>
          </cell>
          <cell r="G767">
            <v>45</v>
          </cell>
          <cell r="H767">
            <v>28</v>
          </cell>
        </row>
        <row r="768">
          <cell r="A768" t="str">
            <v>DOBPRFI</v>
          </cell>
          <cell r="B768" t="str">
            <v>DOBIE  PRESSURE SENSOR FILTER</v>
          </cell>
          <cell r="C768">
            <v>45</v>
          </cell>
          <cell r="D768">
            <v>45</v>
          </cell>
          <cell r="E768">
            <v>45</v>
          </cell>
          <cell r="F768">
            <v>45</v>
          </cell>
          <cell r="G768">
            <v>45</v>
          </cell>
          <cell r="H768">
            <v>0</v>
          </cell>
        </row>
        <row r="769">
          <cell r="A769" t="str">
            <v>DOBSEBC</v>
          </cell>
          <cell r="B769" t="str">
            <v>DOBIE  SENSOR BRACKET COVER</v>
          </cell>
          <cell r="C769">
            <v>15</v>
          </cell>
          <cell r="D769">
            <v>15</v>
          </cell>
          <cell r="E769">
            <v>15</v>
          </cell>
          <cell r="F769">
            <v>15</v>
          </cell>
          <cell r="G769">
            <v>15</v>
          </cell>
          <cell r="H769">
            <v>0</v>
          </cell>
        </row>
        <row r="770">
          <cell r="A770" t="str">
            <v>DOBSEBR</v>
          </cell>
          <cell r="B770" t="str">
            <v>DOBIE  SENSOR BRACKET</v>
          </cell>
          <cell r="C770">
            <v>60</v>
          </cell>
          <cell r="D770">
            <v>60</v>
          </cell>
          <cell r="E770">
            <v>60</v>
          </cell>
          <cell r="F770">
            <v>60</v>
          </cell>
          <cell r="G770">
            <v>60</v>
          </cell>
          <cell r="H770">
            <v>0</v>
          </cell>
        </row>
        <row r="771">
          <cell r="A771" t="str">
            <v>DOBSEFR</v>
          </cell>
          <cell r="B771" t="str">
            <v>DOBIE  SENSOR FILTER PLATE SET</v>
          </cell>
          <cell r="C771">
            <v>67.5</v>
          </cell>
          <cell r="D771">
            <v>67.5</v>
          </cell>
          <cell r="E771">
            <v>67.5</v>
          </cell>
          <cell r="F771">
            <v>67.5</v>
          </cell>
          <cell r="G771">
            <v>67.5</v>
          </cell>
          <cell r="H771">
            <v>0</v>
          </cell>
        </row>
        <row r="772">
          <cell r="A772" t="str">
            <v>DOBSPAR</v>
          </cell>
          <cell r="B772" t="str">
            <v>DOBIE  SPARES KIT</v>
          </cell>
          <cell r="C772">
            <v>200</v>
          </cell>
          <cell r="D772">
            <v>200</v>
          </cell>
          <cell r="E772">
            <v>200</v>
          </cell>
          <cell r="F772">
            <v>200</v>
          </cell>
          <cell r="G772">
            <v>200</v>
          </cell>
          <cell r="H772">
            <v>0</v>
          </cell>
        </row>
        <row r="773">
          <cell r="A773" t="str">
            <v>DOBTHSP</v>
          </cell>
          <cell r="B773" t="str">
            <v>DOBIE TOP HAT SPACER</v>
          </cell>
          <cell r="C773">
            <v>2.5</v>
          </cell>
          <cell r="D773">
            <v>2.5</v>
          </cell>
          <cell r="E773">
            <v>2.5</v>
          </cell>
          <cell r="F773">
            <v>2.5</v>
          </cell>
          <cell r="G773">
            <v>2.5</v>
          </cell>
          <cell r="H773">
            <v>0</v>
          </cell>
        </row>
        <row r="774">
          <cell r="A774" t="str">
            <v>DOBWASH</v>
          </cell>
          <cell r="B774" t="str">
            <v>DOBIE  INSULATING WASHER</v>
          </cell>
          <cell r="C774">
            <v>5.5</v>
          </cell>
          <cell r="D774">
            <v>5.5</v>
          </cell>
          <cell r="E774">
            <v>5.5</v>
          </cell>
          <cell r="F774">
            <v>5.5</v>
          </cell>
          <cell r="G774">
            <v>5.5</v>
          </cell>
          <cell r="H774">
            <v>0</v>
          </cell>
        </row>
        <row r="775">
          <cell r="A775" t="str">
            <v>DOORCON</v>
          </cell>
          <cell r="B775" t="str">
            <v>OVERHEAD DOOR CONTACT. AMSECO MODEL #ODC</v>
          </cell>
          <cell r="C775">
            <v>75</v>
          </cell>
          <cell r="D775">
            <v>75</v>
          </cell>
          <cell r="E775">
            <v>75</v>
          </cell>
          <cell r="F775">
            <v>75</v>
          </cell>
          <cell r="G775">
            <v>75</v>
          </cell>
          <cell r="H775">
            <v>28.224</v>
          </cell>
        </row>
        <row r="776">
          <cell r="A776" t="str">
            <v>DOPTSDI</v>
          </cell>
          <cell r="B776" t="str">
            <v>D-OPTO DO SENSOR, SDI-12 VERSION</v>
          </cell>
          <cell r="C776">
            <v>4520</v>
          </cell>
          <cell r="D776">
            <v>4520</v>
          </cell>
          <cell r="E776">
            <v>4520</v>
          </cell>
          <cell r="F776">
            <v>4520</v>
          </cell>
          <cell r="G776">
            <v>4520</v>
          </cell>
          <cell r="H776">
            <v>3473.75</v>
          </cell>
        </row>
        <row r="777">
          <cell r="A777" t="str">
            <v>DRILLB1</v>
          </cell>
          <cell r="B777" t="str">
            <v>R SERIES Q BIT 18mm x 400mm</v>
          </cell>
          <cell r="C777">
            <v>125</v>
          </cell>
          <cell r="D777">
            <v>125</v>
          </cell>
          <cell r="E777">
            <v>125</v>
          </cell>
          <cell r="F777">
            <v>125</v>
          </cell>
          <cell r="G777">
            <v>125</v>
          </cell>
          <cell r="H777">
            <v>93.77</v>
          </cell>
        </row>
        <row r="778">
          <cell r="A778" t="str">
            <v>DRILLB2</v>
          </cell>
          <cell r="B778" t="str">
            <v>R SERIES Q BIT 18mm x 200mm</v>
          </cell>
          <cell r="C778">
            <v>125</v>
          </cell>
          <cell r="D778">
            <v>125</v>
          </cell>
          <cell r="E778">
            <v>125</v>
          </cell>
          <cell r="F778">
            <v>125</v>
          </cell>
          <cell r="G778">
            <v>125</v>
          </cell>
          <cell r="H778">
            <v>91.54</v>
          </cell>
        </row>
        <row r="779">
          <cell r="A779" t="str">
            <v>DRILLB3</v>
          </cell>
          <cell r="B779" t="str">
            <v>R SERIES Q BIT 16mm x 200mm</v>
          </cell>
          <cell r="C779">
            <v>110</v>
          </cell>
          <cell r="D779">
            <v>110</v>
          </cell>
          <cell r="E779">
            <v>110</v>
          </cell>
          <cell r="F779">
            <v>110</v>
          </cell>
          <cell r="G779">
            <v>110</v>
          </cell>
          <cell r="H779">
            <v>82</v>
          </cell>
        </row>
        <row r="780">
          <cell r="A780" t="str">
            <v>DRILLDY</v>
          </cell>
          <cell r="B780" t="str">
            <v>DYNADRILL DD543 ROTARY HAMMER</v>
          </cell>
          <cell r="C780">
            <v>900</v>
          </cell>
          <cell r="D780">
            <v>900</v>
          </cell>
          <cell r="E780">
            <v>900</v>
          </cell>
          <cell r="F780">
            <v>900</v>
          </cell>
          <cell r="G780">
            <v>900</v>
          </cell>
          <cell r="H780">
            <v>658</v>
          </cell>
        </row>
        <row r="781">
          <cell r="A781" t="str">
            <v>DROGLH</v>
          </cell>
          <cell r="B781" t="str">
            <v>DROGUE  LIGHT HOLDER ASSEMBLY</v>
          </cell>
          <cell r="C781">
            <v>69</v>
          </cell>
          <cell r="D781">
            <v>69</v>
          </cell>
          <cell r="E781">
            <v>69</v>
          </cell>
          <cell r="F781">
            <v>69</v>
          </cell>
          <cell r="G781">
            <v>69</v>
          </cell>
          <cell r="H781">
            <v>0</v>
          </cell>
        </row>
        <row r="782">
          <cell r="A782" t="str">
            <v>DROGUE</v>
          </cell>
          <cell r="B782" t="str">
            <v>DROGUE  GPS DRIFTER</v>
          </cell>
          <cell r="C782">
            <v>4895</v>
          </cell>
          <cell r="D782">
            <v>4895</v>
          </cell>
          <cell r="E782">
            <v>4895</v>
          </cell>
          <cell r="F782">
            <v>4895</v>
          </cell>
          <cell r="G782">
            <v>4895</v>
          </cell>
          <cell r="H782">
            <v>0</v>
          </cell>
        </row>
        <row r="783">
          <cell r="A783" t="str">
            <v>DRUCK3B5</v>
          </cell>
          <cell r="B783" t="str">
            <v>DRUCK PMP4000 + - 0.04% 3.5 BAR A</v>
          </cell>
          <cell r="C783">
            <v>1680</v>
          </cell>
          <cell r="D783">
            <v>1680</v>
          </cell>
          <cell r="E783">
            <v>1680</v>
          </cell>
          <cell r="F783">
            <v>1680</v>
          </cell>
          <cell r="G783">
            <v>1680</v>
          </cell>
          <cell r="H783">
            <v>1200</v>
          </cell>
        </row>
        <row r="784">
          <cell r="A784" t="str">
            <v>DRUCK4B</v>
          </cell>
          <cell r="B784" t="str">
            <v>DRUCK PMP4000 + - 0.04% 4 BAR A</v>
          </cell>
          <cell r="C784">
            <v>1865</v>
          </cell>
          <cell r="D784">
            <v>1865</v>
          </cell>
          <cell r="E784">
            <v>1865</v>
          </cell>
          <cell r="F784">
            <v>1865</v>
          </cell>
          <cell r="G784">
            <v>1865</v>
          </cell>
          <cell r="H784">
            <v>1200</v>
          </cell>
        </row>
        <row r="785">
          <cell r="A785" t="str">
            <v>DRUCK4BG</v>
          </cell>
          <cell r="B785" t="str">
            <v>DRUCK PMP4000 4 BAR G</v>
          </cell>
          <cell r="C785">
            <v>1865</v>
          </cell>
          <cell r="D785">
            <v>1865</v>
          </cell>
          <cell r="E785">
            <v>1865</v>
          </cell>
          <cell r="F785">
            <v>1865</v>
          </cell>
          <cell r="G785">
            <v>1865</v>
          </cell>
          <cell r="H785">
            <v>1306</v>
          </cell>
        </row>
        <row r="786">
          <cell r="A786" t="str">
            <v>DRUCK7B</v>
          </cell>
          <cell r="B786" t="str">
            <v>DRUCK PMP4000 + -0.04% 7 BAR A</v>
          </cell>
          <cell r="C786">
            <v>1640.1</v>
          </cell>
          <cell r="D786">
            <v>2030.6</v>
          </cell>
          <cell r="E786">
            <v>2030.6</v>
          </cell>
          <cell r="F786">
            <v>2030.6</v>
          </cell>
          <cell r="G786">
            <v>2030.6</v>
          </cell>
          <cell r="H786">
            <v>1552</v>
          </cell>
          <cell r="I786">
            <v>39883</v>
          </cell>
        </row>
        <row r="787">
          <cell r="A787" t="str">
            <v>EARCLAM</v>
          </cell>
          <cell r="B787" t="str">
            <v>EARTH CLAMP SCH 13mm</v>
          </cell>
          <cell r="C787">
            <v>16</v>
          </cell>
          <cell r="D787">
            <v>16</v>
          </cell>
          <cell r="E787">
            <v>16</v>
          </cell>
          <cell r="F787">
            <v>16</v>
          </cell>
          <cell r="G787">
            <v>16</v>
          </cell>
          <cell r="H787">
            <v>9.5</v>
          </cell>
        </row>
        <row r="788">
          <cell r="A788" t="str">
            <v>EARRO13</v>
          </cell>
          <cell r="B788" t="str">
            <v>EARTH ROD COPPER CLAD 13mm 2M LONG</v>
          </cell>
          <cell r="C788">
            <v>22</v>
          </cell>
          <cell r="D788">
            <v>22</v>
          </cell>
          <cell r="E788">
            <v>22</v>
          </cell>
          <cell r="F788">
            <v>22</v>
          </cell>
          <cell r="G788">
            <v>22</v>
          </cell>
          <cell r="H788">
            <v>16</v>
          </cell>
        </row>
        <row r="789">
          <cell r="A789" t="str">
            <v>EARROCO</v>
          </cell>
          <cell r="B789" t="str">
            <v>EARTH ROD COUPLER C2000925</v>
          </cell>
          <cell r="C789">
            <v>12</v>
          </cell>
          <cell r="D789">
            <v>12</v>
          </cell>
          <cell r="E789">
            <v>12</v>
          </cell>
          <cell r="F789">
            <v>12</v>
          </cell>
          <cell r="G789">
            <v>12</v>
          </cell>
          <cell r="H789">
            <v>6.15</v>
          </cell>
        </row>
        <row r="790">
          <cell r="A790" t="str">
            <v>EARTAG</v>
          </cell>
          <cell r="B790" t="str">
            <v>EARTH TAG 4DBE</v>
          </cell>
          <cell r="C790">
            <v>2</v>
          </cell>
          <cell r="D790">
            <v>2</v>
          </cell>
          <cell r="E790">
            <v>2</v>
          </cell>
          <cell r="F790">
            <v>2</v>
          </cell>
          <cell r="G790">
            <v>2</v>
          </cell>
          <cell r="H790">
            <v>0.52400000000000002</v>
          </cell>
        </row>
        <row r="791">
          <cell r="A791" t="str">
            <v>EARWIR2</v>
          </cell>
          <cell r="B791" t="str">
            <v>EARTH WIRE AND WEIGHT 2.5mm</v>
          </cell>
          <cell r="C791">
            <v>2.5</v>
          </cell>
          <cell r="D791">
            <v>2.5</v>
          </cell>
          <cell r="E791">
            <v>2.5</v>
          </cell>
          <cell r="F791">
            <v>2.5</v>
          </cell>
          <cell r="G791">
            <v>2.5</v>
          </cell>
          <cell r="H791">
            <v>1.9159999999999999</v>
          </cell>
        </row>
        <row r="792">
          <cell r="A792" t="str">
            <v>EARWIR6</v>
          </cell>
          <cell r="B792" t="str">
            <v>EARTH WIRE 6mm - GREEN/YELLOW</v>
          </cell>
          <cell r="C792">
            <v>3.5</v>
          </cell>
          <cell r="D792">
            <v>3.5</v>
          </cell>
          <cell r="E792">
            <v>3.5</v>
          </cell>
          <cell r="F792">
            <v>3.5</v>
          </cell>
          <cell r="G792">
            <v>3.5</v>
          </cell>
          <cell r="H792">
            <v>2.46</v>
          </cell>
        </row>
        <row r="793">
          <cell r="A793" t="str">
            <v>ENC-HINGE</v>
          </cell>
          <cell r="B793" t="str">
            <v>HINGE  FISKARS BOX</v>
          </cell>
          <cell r="C793">
            <v>9</v>
          </cell>
          <cell r="D793">
            <v>9</v>
          </cell>
          <cell r="E793">
            <v>9</v>
          </cell>
          <cell r="F793">
            <v>9</v>
          </cell>
          <cell r="G793">
            <v>9</v>
          </cell>
          <cell r="H793">
            <v>0</v>
          </cell>
        </row>
        <row r="794">
          <cell r="A794" t="str">
            <v>ENC-SCREW</v>
          </cell>
          <cell r="B794" t="str">
            <v>QUICK LOCK SCREW</v>
          </cell>
          <cell r="C794">
            <v>2.2000000000000002</v>
          </cell>
          <cell r="D794">
            <v>2.2000000000000002</v>
          </cell>
          <cell r="E794">
            <v>2.2000000000000002</v>
          </cell>
          <cell r="F794">
            <v>2.2000000000000002</v>
          </cell>
          <cell r="G794">
            <v>2.2000000000000002</v>
          </cell>
          <cell r="H794">
            <v>0</v>
          </cell>
        </row>
        <row r="795">
          <cell r="A795" t="str">
            <v>ENCBOP1</v>
          </cell>
          <cell r="B795" t="str">
            <v>PCB  KAINGA ENCODER REV3</v>
          </cell>
          <cell r="C795">
            <v>250</v>
          </cell>
          <cell r="D795">
            <v>250</v>
          </cell>
          <cell r="E795">
            <v>250</v>
          </cell>
          <cell r="F795">
            <v>250</v>
          </cell>
          <cell r="G795">
            <v>250</v>
          </cell>
          <cell r="H795">
            <v>0</v>
          </cell>
        </row>
        <row r="796">
          <cell r="A796" t="str">
            <v>ENCBOPC</v>
          </cell>
          <cell r="B796" t="str">
            <v>PCB  KAINGA ENCODER REV2</v>
          </cell>
          <cell r="C796">
            <v>250</v>
          </cell>
          <cell r="D796">
            <v>250</v>
          </cell>
          <cell r="E796">
            <v>250</v>
          </cell>
          <cell r="F796">
            <v>250</v>
          </cell>
          <cell r="G796">
            <v>250</v>
          </cell>
          <cell r="H796">
            <v>0</v>
          </cell>
        </row>
        <row r="797">
          <cell r="A797" t="str">
            <v>ENCBPC1</v>
          </cell>
          <cell r="B797" t="str">
            <v>PCB  KAINGA ENCODER REV1</v>
          </cell>
          <cell r="C797">
            <v>189.15</v>
          </cell>
          <cell r="D797">
            <v>189.15</v>
          </cell>
          <cell r="E797">
            <v>189.15</v>
          </cell>
          <cell r="F797">
            <v>189.15</v>
          </cell>
          <cell r="G797">
            <v>189.15</v>
          </cell>
          <cell r="H797">
            <v>0</v>
          </cell>
        </row>
        <row r="798">
          <cell r="A798" t="str">
            <v>ENCBPUJ</v>
          </cell>
          <cell r="B798" t="str">
            <v>ENCODER  BOSS JOCKEY (IDLER) PULLEY</v>
          </cell>
          <cell r="C798">
            <v>185.96</v>
          </cell>
          <cell r="D798">
            <v>185.96</v>
          </cell>
          <cell r="E798">
            <v>185.96</v>
          </cell>
          <cell r="F798">
            <v>185.96</v>
          </cell>
          <cell r="G798">
            <v>185.96</v>
          </cell>
          <cell r="H798">
            <v>0</v>
          </cell>
        </row>
        <row r="799">
          <cell r="A799" t="str">
            <v>ENCBPUL</v>
          </cell>
          <cell r="B799" t="str">
            <v>ENCODER  BOSS PULLEY 100mm</v>
          </cell>
          <cell r="C799">
            <v>48</v>
          </cell>
          <cell r="D799">
            <v>48</v>
          </cell>
          <cell r="E799">
            <v>48</v>
          </cell>
          <cell r="F799">
            <v>48</v>
          </cell>
          <cell r="G799">
            <v>48</v>
          </cell>
          <cell r="H799">
            <v>0</v>
          </cell>
        </row>
        <row r="800">
          <cell r="A800" t="str">
            <v>ENCBR06</v>
          </cell>
          <cell r="B800" t="str">
            <v>ENCODER  BEARING STAINLESS STEEL 6mm</v>
          </cell>
          <cell r="C800">
            <v>31</v>
          </cell>
          <cell r="D800">
            <v>31</v>
          </cell>
          <cell r="E800">
            <v>31</v>
          </cell>
          <cell r="F800">
            <v>31</v>
          </cell>
          <cell r="G800">
            <v>31</v>
          </cell>
          <cell r="H800">
            <v>22.89</v>
          </cell>
        </row>
        <row r="801">
          <cell r="A801" t="str">
            <v>ENCBR08</v>
          </cell>
          <cell r="B801" t="str">
            <v>ENCODER  BEARING  8mm</v>
          </cell>
          <cell r="C801">
            <v>31.08</v>
          </cell>
          <cell r="D801">
            <v>38.479999999999997</v>
          </cell>
          <cell r="E801">
            <v>38.479999999999997</v>
          </cell>
          <cell r="F801">
            <v>38.479999999999997</v>
          </cell>
          <cell r="G801">
            <v>38.479999999999997</v>
          </cell>
          <cell r="H801">
            <v>29.6</v>
          </cell>
          <cell r="I801">
            <v>39883</v>
          </cell>
        </row>
        <row r="802">
          <cell r="A802" t="str">
            <v>ENCBRPS</v>
          </cell>
          <cell r="B802" t="str">
            <v>ENCODER  PULLEY SUPPORT BRACKET</v>
          </cell>
          <cell r="C802">
            <v>19.86</v>
          </cell>
          <cell r="D802">
            <v>19.86</v>
          </cell>
          <cell r="E802">
            <v>19.86</v>
          </cell>
          <cell r="F802">
            <v>19.86</v>
          </cell>
          <cell r="G802">
            <v>19.86</v>
          </cell>
          <cell r="H802">
            <v>0</v>
          </cell>
        </row>
        <row r="803">
          <cell r="A803" t="str">
            <v>ENCBRSU</v>
          </cell>
          <cell r="B803" t="str">
            <v>ENCODER  SUPPORT BRACKET</v>
          </cell>
          <cell r="C803">
            <v>23.68</v>
          </cell>
          <cell r="D803">
            <v>23.68</v>
          </cell>
          <cell r="E803">
            <v>23.68</v>
          </cell>
          <cell r="F803">
            <v>23.68</v>
          </cell>
          <cell r="G803">
            <v>23.68</v>
          </cell>
          <cell r="H803">
            <v>0</v>
          </cell>
        </row>
        <row r="804">
          <cell r="A804" t="str">
            <v>ENCCAAS</v>
          </cell>
          <cell r="B804" t="str">
            <v>ENCODER  CABLE ASSY</v>
          </cell>
          <cell r="C804">
            <v>90.66</v>
          </cell>
          <cell r="D804">
            <v>90.66</v>
          </cell>
          <cell r="E804">
            <v>90.66</v>
          </cell>
          <cell r="F804">
            <v>90.66</v>
          </cell>
          <cell r="G804">
            <v>90.66</v>
          </cell>
          <cell r="H804">
            <v>0</v>
          </cell>
        </row>
        <row r="805">
          <cell r="A805" t="str">
            <v>ENCFLPU</v>
          </cell>
          <cell r="B805" t="str">
            <v>ENCODER  FLANGE FOR 100mm PULLEY C-W THU</v>
          </cell>
          <cell r="C805">
            <v>40</v>
          </cell>
          <cell r="D805">
            <v>40</v>
          </cell>
          <cell r="E805">
            <v>40</v>
          </cell>
          <cell r="F805">
            <v>40</v>
          </cell>
          <cell r="G805">
            <v>40</v>
          </cell>
          <cell r="H805">
            <v>0</v>
          </cell>
        </row>
        <row r="806">
          <cell r="A806" t="str">
            <v>ENCG150</v>
          </cell>
          <cell r="B806" t="str">
            <v>ENCODER  TOOTH GEAR 150</v>
          </cell>
          <cell r="C806">
            <v>37.67</v>
          </cell>
          <cell r="D806">
            <v>37.67</v>
          </cell>
          <cell r="E806">
            <v>37.67</v>
          </cell>
          <cell r="F806">
            <v>37.67</v>
          </cell>
          <cell r="G806">
            <v>37.67</v>
          </cell>
          <cell r="H806">
            <v>0</v>
          </cell>
        </row>
        <row r="807">
          <cell r="A807" t="str">
            <v>ENCHOBL</v>
          </cell>
          <cell r="B807" t="str">
            <v>ENCODER  BEARING HOUSING 8mm</v>
          </cell>
          <cell r="C807">
            <v>31.13</v>
          </cell>
          <cell r="D807">
            <v>31.13</v>
          </cell>
          <cell r="E807">
            <v>31.13</v>
          </cell>
          <cell r="F807">
            <v>31.13</v>
          </cell>
          <cell r="G807">
            <v>31.13</v>
          </cell>
          <cell r="H807">
            <v>0</v>
          </cell>
        </row>
        <row r="808">
          <cell r="A808" t="str">
            <v>ENCHOBS</v>
          </cell>
          <cell r="B808" t="str">
            <v>ENCODER  BEARING HOUSING 6mm</v>
          </cell>
          <cell r="C808">
            <v>29.08</v>
          </cell>
          <cell r="D808">
            <v>29.08</v>
          </cell>
          <cell r="E808">
            <v>29.08</v>
          </cell>
          <cell r="F808">
            <v>29.08</v>
          </cell>
          <cell r="G808">
            <v>29.08</v>
          </cell>
          <cell r="H808">
            <v>0</v>
          </cell>
        </row>
        <row r="809">
          <cell r="A809" t="str">
            <v>ENCHOUS</v>
          </cell>
          <cell r="B809" t="str">
            <v>ENCODER  HOUSING ASSEMBLY</v>
          </cell>
          <cell r="C809">
            <v>358.83</v>
          </cell>
          <cell r="D809">
            <v>358.83</v>
          </cell>
          <cell r="E809">
            <v>358.83</v>
          </cell>
          <cell r="F809">
            <v>358.83</v>
          </cell>
          <cell r="G809">
            <v>358.83</v>
          </cell>
          <cell r="H809">
            <v>0</v>
          </cell>
        </row>
        <row r="810">
          <cell r="A810" t="str">
            <v>ENCINTF</v>
          </cell>
          <cell r="B810" t="str">
            <v>ENCODER INTERFACE</v>
          </cell>
          <cell r="C810">
            <v>95</v>
          </cell>
          <cell r="D810">
            <v>95</v>
          </cell>
          <cell r="E810">
            <v>95</v>
          </cell>
          <cell r="F810">
            <v>95</v>
          </cell>
          <cell r="G810">
            <v>95</v>
          </cell>
          <cell r="H810">
            <v>65</v>
          </cell>
        </row>
        <row r="811">
          <cell r="A811" t="str">
            <v>ENCINTM</v>
          </cell>
          <cell r="B811" t="str">
            <v>ENCODER INTERFACE MODULE</v>
          </cell>
          <cell r="C811">
            <v>180</v>
          </cell>
          <cell r="D811">
            <v>180</v>
          </cell>
          <cell r="E811">
            <v>180</v>
          </cell>
          <cell r="F811">
            <v>180</v>
          </cell>
          <cell r="G811">
            <v>180</v>
          </cell>
          <cell r="H811">
            <v>0</v>
          </cell>
        </row>
        <row r="812">
          <cell r="A812" t="str">
            <v>ENCKASH</v>
          </cell>
          <cell r="B812" t="str">
            <v>ENCODER  KAINGA SHAFT</v>
          </cell>
          <cell r="C812">
            <v>1250</v>
          </cell>
          <cell r="D812">
            <v>1250</v>
          </cell>
          <cell r="E812">
            <v>1250</v>
          </cell>
          <cell r="F812">
            <v>1250</v>
          </cell>
          <cell r="G812">
            <v>1250</v>
          </cell>
          <cell r="H812">
            <v>0</v>
          </cell>
        </row>
        <row r="813">
          <cell r="A813" t="str">
            <v>ENCLABE</v>
          </cell>
          <cell r="B813" t="str">
            <v>LABEL.KAINGA SHAFT ENCODER</v>
          </cell>
          <cell r="C813">
            <v>6.26</v>
          </cell>
          <cell r="D813">
            <v>6.26</v>
          </cell>
          <cell r="E813">
            <v>6.26</v>
          </cell>
          <cell r="F813">
            <v>6.26</v>
          </cell>
          <cell r="G813">
            <v>6.26</v>
          </cell>
          <cell r="H813">
            <v>0</v>
          </cell>
        </row>
        <row r="814">
          <cell r="A814" t="str">
            <v>ENCMADI</v>
          </cell>
          <cell r="B814" t="str">
            <v>ENCODER  MAGNET DISK HOLDER</v>
          </cell>
          <cell r="C814">
            <v>50</v>
          </cell>
          <cell r="D814">
            <v>50</v>
          </cell>
          <cell r="E814">
            <v>50</v>
          </cell>
          <cell r="F814">
            <v>50</v>
          </cell>
          <cell r="G814">
            <v>50</v>
          </cell>
          <cell r="H814">
            <v>0</v>
          </cell>
        </row>
        <row r="815">
          <cell r="A815" t="str">
            <v>ENCMARE</v>
          </cell>
          <cell r="B815" t="str">
            <v>ENCODER  MAGNET XL2000</v>
          </cell>
          <cell r="C815">
            <v>5</v>
          </cell>
          <cell r="D815">
            <v>5</v>
          </cell>
          <cell r="E815">
            <v>5</v>
          </cell>
          <cell r="F815">
            <v>5</v>
          </cell>
          <cell r="G815">
            <v>5</v>
          </cell>
          <cell r="H815">
            <v>0</v>
          </cell>
        </row>
        <row r="816">
          <cell r="A816" t="str">
            <v>ENCP100</v>
          </cell>
          <cell r="B816" t="str">
            <v>ENCODER  PULLEY 100mm</v>
          </cell>
          <cell r="C816">
            <v>90</v>
          </cell>
          <cell r="D816">
            <v>90</v>
          </cell>
          <cell r="E816">
            <v>90</v>
          </cell>
          <cell r="F816">
            <v>90</v>
          </cell>
          <cell r="G816">
            <v>90</v>
          </cell>
          <cell r="H816">
            <v>0</v>
          </cell>
        </row>
        <row r="817">
          <cell r="A817" t="str">
            <v>ENCP375</v>
          </cell>
          <cell r="B817" t="str">
            <v>ENCODER  PULLEY 375MM</v>
          </cell>
          <cell r="C817">
            <v>115</v>
          </cell>
          <cell r="D817">
            <v>115</v>
          </cell>
          <cell r="E817">
            <v>115</v>
          </cell>
          <cell r="F817">
            <v>115</v>
          </cell>
          <cell r="G817">
            <v>115</v>
          </cell>
          <cell r="H817">
            <v>0</v>
          </cell>
        </row>
        <row r="818">
          <cell r="A818" t="str">
            <v>ENCPJOC</v>
          </cell>
          <cell r="B818" t="str">
            <v>ENCODER  JOCKEY PULLEY</v>
          </cell>
          <cell r="C818">
            <v>27.3</v>
          </cell>
          <cell r="D818">
            <v>33.799999999999997</v>
          </cell>
          <cell r="E818">
            <v>33.799999999999997</v>
          </cell>
          <cell r="F818">
            <v>33.799999999999997</v>
          </cell>
          <cell r="G818">
            <v>33.799999999999997</v>
          </cell>
          <cell r="H818">
            <v>0</v>
          </cell>
          <cell r="I818">
            <v>39883</v>
          </cell>
        </row>
        <row r="819">
          <cell r="A819" t="str">
            <v>ENCPLAD</v>
          </cell>
          <cell r="B819" t="str">
            <v>ENCODER  ADAPTOR PLATE</v>
          </cell>
          <cell r="C819">
            <v>15.99</v>
          </cell>
          <cell r="D819">
            <v>15.99</v>
          </cell>
          <cell r="E819">
            <v>15.99</v>
          </cell>
          <cell r="F819">
            <v>15.99</v>
          </cell>
          <cell r="G819">
            <v>15.99</v>
          </cell>
          <cell r="H819">
            <v>0</v>
          </cell>
        </row>
        <row r="820">
          <cell r="A820" t="str">
            <v>ENCPRUN</v>
          </cell>
          <cell r="B820" t="str">
            <v>ENCODER  PRESET UNIT</v>
          </cell>
          <cell r="C820">
            <v>200</v>
          </cell>
          <cell r="D820">
            <v>200</v>
          </cell>
          <cell r="E820">
            <v>200</v>
          </cell>
          <cell r="F820">
            <v>200</v>
          </cell>
          <cell r="G820">
            <v>200</v>
          </cell>
          <cell r="H820">
            <v>0</v>
          </cell>
        </row>
        <row r="821">
          <cell r="A821" t="str">
            <v>ENCSHDI</v>
          </cell>
          <cell r="B821" t="str">
            <v>ENCODER  MAGNETIC DISK SHAFT</v>
          </cell>
          <cell r="C821">
            <v>25</v>
          </cell>
          <cell r="D821">
            <v>25</v>
          </cell>
          <cell r="E821">
            <v>25</v>
          </cell>
          <cell r="F821">
            <v>25</v>
          </cell>
          <cell r="G821">
            <v>25</v>
          </cell>
          <cell r="H821">
            <v>0</v>
          </cell>
        </row>
        <row r="822">
          <cell r="A822" t="str">
            <v>ENCSHGI</v>
          </cell>
          <cell r="B822" t="str">
            <v>ENCODER  150 TOOTH GEAR SHAFT</v>
          </cell>
          <cell r="C822">
            <v>16.86</v>
          </cell>
          <cell r="D822">
            <v>16.86</v>
          </cell>
          <cell r="E822">
            <v>16.86</v>
          </cell>
          <cell r="F822">
            <v>16.86</v>
          </cell>
          <cell r="G822">
            <v>16.86</v>
          </cell>
          <cell r="H822">
            <v>0</v>
          </cell>
        </row>
        <row r="823">
          <cell r="A823" t="str">
            <v>ENCSWRE</v>
          </cell>
          <cell r="B823" t="str">
            <v>ENCODER  REED SWITCH</v>
          </cell>
          <cell r="C823">
            <v>3.48</v>
          </cell>
          <cell r="D823">
            <v>3.48</v>
          </cell>
          <cell r="E823">
            <v>3.48</v>
          </cell>
          <cell r="F823">
            <v>3.48</v>
          </cell>
          <cell r="G823">
            <v>3.48</v>
          </cell>
          <cell r="H823">
            <v>0</v>
          </cell>
        </row>
        <row r="824">
          <cell r="A824" t="str">
            <v>ENCWASH</v>
          </cell>
          <cell r="B824" t="str">
            <v>ENCODER  WASHER</v>
          </cell>
          <cell r="C824">
            <v>1.18</v>
          </cell>
          <cell r="D824">
            <v>1.18</v>
          </cell>
          <cell r="E824">
            <v>1.18</v>
          </cell>
          <cell r="F824">
            <v>1.18</v>
          </cell>
          <cell r="G824">
            <v>1.18</v>
          </cell>
          <cell r="H824">
            <v>0</v>
          </cell>
        </row>
        <row r="825">
          <cell r="A825" t="str">
            <v>ENCWPUL</v>
          </cell>
          <cell r="B825" t="str">
            <v>ENCODER  PULLEY WASHER</v>
          </cell>
          <cell r="C825">
            <v>9</v>
          </cell>
          <cell r="D825">
            <v>9</v>
          </cell>
          <cell r="E825">
            <v>9</v>
          </cell>
          <cell r="F825">
            <v>9</v>
          </cell>
          <cell r="G825">
            <v>9</v>
          </cell>
          <cell r="H825">
            <v>0</v>
          </cell>
        </row>
        <row r="826">
          <cell r="A826" t="str">
            <v>ENVBULO</v>
          </cell>
          <cell r="B826" t="str">
            <v>ENVIRO-LAB  ORANGE BULB</v>
          </cell>
          <cell r="C826">
            <v>28.19</v>
          </cell>
          <cell r="D826">
            <v>28.19</v>
          </cell>
          <cell r="E826">
            <v>28.19</v>
          </cell>
          <cell r="F826">
            <v>28.19</v>
          </cell>
          <cell r="G826">
            <v>28.19</v>
          </cell>
          <cell r="H826">
            <v>0</v>
          </cell>
        </row>
        <row r="827">
          <cell r="A827" t="str">
            <v>ENVBULR</v>
          </cell>
          <cell r="B827" t="str">
            <v>ENVIRO-LAB  RED BULB</v>
          </cell>
          <cell r="C827">
            <v>28.08</v>
          </cell>
          <cell r="D827">
            <v>28.08</v>
          </cell>
          <cell r="E827">
            <v>28.08</v>
          </cell>
          <cell r="F827">
            <v>28.08</v>
          </cell>
          <cell r="G827">
            <v>28.08</v>
          </cell>
          <cell r="H827">
            <v>0</v>
          </cell>
        </row>
        <row r="828">
          <cell r="A828" t="str">
            <v>ENVHEAD</v>
          </cell>
          <cell r="B828" t="str">
            <v>HEAD REED. LATER MODEL WITHOUT PCB</v>
          </cell>
          <cell r="C828">
            <v>3500.8</v>
          </cell>
          <cell r="D828">
            <v>3500.8</v>
          </cell>
          <cell r="E828">
            <v>3500.8</v>
          </cell>
          <cell r="F828">
            <v>3500.8</v>
          </cell>
          <cell r="G828">
            <v>3500.8</v>
          </cell>
          <cell r="H828">
            <v>0</v>
          </cell>
        </row>
        <row r="829">
          <cell r="A829" t="str">
            <v>EPB12VM</v>
          </cell>
          <cell r="B829" t="str">
            <v>EPB  12V UPDATE</v>
          </cell>
          <cell r="C829">
            <v>25</v>
          </cell>
          <cell r="D829">
            <v>25</v>
          </cell>
          <cell r="E829">
            <v>25</v>
          </cell>
          <cell r="F829">
            <v>25</v>
          </cell>
          <cell r="G829">
            <v>25</v>
          </cell>
          <cell r="H829">
            <v>0</v>
          </cell>
        </row>
        <row r="830">
          <cell r="A830" t="str">
            <v>EPBBRBS</v>
          </cell>
          <cell r="B830" t="str">
            <v>EPB  MAIN BRACKET STAINLESS STEEL</v>
          </cell>
          <cell r="C830">
            <v>28.33</v>
          </cell>
          <cell r="D830">
            <v>28.33</v>
          </cell>
          <cell r="E830">
            <v>28.33</v>
          </cell>
          <cell r="F830">
            <v>28.33</v>
          </cell>
          <cell r="G830">
            <v>28.33</v>
          </cell>
          <cell r="H830">
            <v>0</v>
          </cell>
        </row>
        <row r="831">
          <cell r="A831" t="str">
            <v>EPBBRME</v>
          </cell>
          <cell r="B831" t="str">
            <v>EPB  METER BRACKET</v>
          </cell>
          <cell r="C831">
            <v>35.07</v>
          </cell>
          <cell r="D831">
            <v>43.5</v>
          </cell>
          <cell r="E831">
            <v>43.5</v>
          </cell>
          <cell r="F831">
            <v>43.5</v>
          </cell>
          <cell r="G831">
            <v>43.5</v>
          </cell>
          <cell r="H831">
            <v>33</v>
          </cell>
        </row>
        <row r="832">
          <cell r="A832" t="str">
            <v>EPBBUZZ</v>
          </cell>
          <cell r="B832" t="str">
            <v>EPB  BUZZER UNIT</v>
          </cell>
          <cell r="C832">
            <v>180</v>
          </cell>
          <cell r="D832">
            <v>180</v>
          </cell>
          <cell r="E832">
            <v>180</v>
          </cell>
          <cell r="F832">
            <v>180</v>
          </cell>
          <cell r="G832">
            <v>180</v>
          </cell>
          <cell r="H832">
            <v>0</v>
          </cell>
        </row>
        <row r="833">
          <cell r="A833" t="str">
            <v>EPBCLPS</v>
          </cell>
          <cell r="B833" t="str">
            <v>EPB  CLUTCH PLATE SPRING</v>
          </cell>
          <cell r="C833">
            <v>7.5</v>
          </cell>
          <cell r="D833">
            <v>7.5</v>
          </cell>
          <cell r="E833">
            <v>7.5</v>
          </cell>
          <cell r="F833">
            <v>7.5</v>
          </cell>
          <cell r="G833">
            <v>7.5</v>
          </cell>
          <cell r="H833">
            <v>6.5149999999999997</v>
          </cell>
        </row>
        <row r="834">
          <cell r="A834" t="str">
            <v>EPBCOMB</v>
          </cell>
          <cell r="B834" t="str">
            <v>EPB WITH BUZZER UNIT</v>
          </cell>
          <cell r="C834">
            <v>449.4</v>
          </cell>
          <cell r="D834">
            <v>556.4</v>
          </cell>
          <cell r="E834">
            <v>556.4</v>
          </cell>
          <cell r="F834">
            <v>556.4</v>
          </cell>
          <cell r="G834">
            <v>556.4</v>
          </cell>
          <cell r="H834">
            <v>320.37</v>
          </cell>
        </row>
        <row r="835">
          <cell r="A835" t="str">
            <v>EPBCOMP</v>
          </cell>
          <cell r="B835" t="str">
            <v>EPB  COMPLETE - METER VERSION</v>
          </cell>
          <cell r="C835">
            <v>440</v>
          </cell>
          <cell r="D835">
            <v>440</v>
          </cell>
          <cell r="E835">
            <v>440</v>
          </cell>
          <cell r="F835">
            <v>440</v>
          </cell>
          <cell r="G835">
            <v>440</v>
          </cell>
          <cell r="H835">
            <v>358.65</v>
          </cell>
        </row>
        <row r="836">
          <cell r="A836" t="str">
            <v>EPBMEAS</v>
          </cell>
          <cell r="B836" t="str">
            <v>EPB  MECHANICAL ASSEMBLY ONLY</v>
          </cell>
          <cell r="C836">
            <v>318</v>
          </cell>
          <cell r="D836">
            <v>318</v>
          </cell>
          <cell r="E836">
            <v>318</v>
          </cell>
          <cell r="F836">
            <v>318</v>
          </cell>
          <cell r="G836">
            <v>318</v>
          </cell>
          <cell r="H836">
            <v>275.077</v>
          </cell>
        </row>
        <row r="837">
          <cell r="A837" t="str">
            <v>EPBPOIN</v>
          </cell>
          <cell r="B837" t="str">
            <v>EPB  POINTER STAINLESS STEEL</v>
          </cell>
          <cell r="C837">
            <v>13.5</v>
          </cell>
          <cell r="D837">
            <v>13.5</v>
          </cell>
          <cell r="E837">
            <v>13.5</v>
          </cell>
          <cell r="F837">
            <v>13.5</v>
          </cell>
          <cell r="G837">
            <v>13.5</v>
          </cell>
          <cell r="H837">
            <v>9</v>
          </cell>
        </row>
        <row r="838">
          <cell r="A838" t="str">
            <v>EPBPROB</v>
          </cell>
          <cell r="B838" t="str">
            <v>EPB  PROBE</v>
          </cell>
          <cell r="C838">
            <v>55</v>
          </cell>
          <cell r="D838">
            <v>55</v>
          </cell>
          <cell r="E838">
            <v>55</v>
          </cell>
          <cell r="F838">
            <v>55</v>
          </cell>
          <cell r="G838">
            <v>55</v>
          </cell>
          <cell r="H838">
            <v>43.975999999999999</v>
          </cell>
          <cell r="I838">
            <v>40217</v>
          </cell>
        </row>
        <row r="839">
          <cell r="A839" t="str">
            <v>EPBSSDW</v>
          </cell>
          <cell r="B839" t="str">
            <v>STAINLESS STEEL 'D' WASHER</v>
          </cell>
          <cell r="C839">
            <v>2.95</v>
          </cell>
          <cell r="D839">
            <v>3.65</v>
          </cell>
          <cell r="E839">
            <v>3.65</v>
          </cell>
          <cell r="F839">
            <v>3.65</v>
          </cell>
          <cell r="G839">
            <v>3.65</v>
          </cell>
          <cell r="H839">
            <v>4.75</v>
          </cell>
          <cell r="I839">
            <v>40143</v>
          </cell>
        </row>
        <row r="840">
          <cell r="A840" t="str">
            <v>EREBRAS</v>
          </cell>
          <cell r="B840" t="str">
            <v>EREEL  BRAKE ASSEMBLY SCREW AND NUT</v>
          </cell>
          <cell r="C840">
            <v>425</v>
          </cell>
          <cell r="D840">
            <v>425</v>
          </cell>
          <cell r="E840">
            <v>425</v>
          </cell>
          <cell r="F840">
            <v>425</v>
          </cell>
          <cell r="G840">
            <v>425</v>
          </cell>
          <cell r="H840">
            <v>0</v>
          </cell>
        </row>
        <row r="841">
          <cell r="A841" t="str">
            <v>EREBRCO</v>
          </cell>
          <cell r="B841" t="str">
            <v>EREEL  COUNTER BRACKET</v>
          </cell>
          <cell r="C841">
            <v>195</v>
          </cell>
          <cell r="D841">
            <v>195</v>
          </cell>
          <cell r="E841">
            <v>195</v>
          </cell>
          <cell r="F841">
            <v>195</v>
          </cell>
          <cell r="G841">
            <v>195</v>
          </cell>
          <cell r="H841">
            <v>0</v>
          </cell>
        </row>
        <row r="842">
          <cell r="A842" t="str">
            <v>ERECOBG</v>
          </cell>
          <cell r="B842" t="str">
            <v>EREEL  BOTTOM GOING COUNTER</v>
          </cell>
          <cell r="C842">
            <v>78.5</v>
          </cell>
          <cell r="D842">
            <v>78.5</v>
          </cell>
          <cell r="E842">
            <v>78.5</v>
          </cell>
          <cell r="F842">
            <v>78.5</v>
          </cell>
          <cell r="G842">
            <v>78.5</v>
          </cell>
          <cell r="H842">
            <v>0</v>
          </cell>
        </row>
        <row r="843">
          <cell r="A843" t="str">
            <v>EREELAS</v>
          </cell>
          <cell r="B843" t="str">
            <v>EREEL COMPLETE</v>
          </cell>
          <cell r="C843">
            <v>0</v>
          </cell>
          <cell r="D843">
            <v>0</v>
          </cell>
          <cell r="E843">
            <v>0</v>
          </cell>
          <cell r="F843">
            <v>0</v>
          </cell>
          <cell r="G843">
            <v>0</v>
          </cell>
          <cell r="H843">
            <v>0</v>
          </cell>
        </row>
        <row r="844">
          <cell r="A844" t="str">
            <v>EREGE15</v>
          </cell>
          <cell r="B844" t="str">
            <v>EREEL  COUNTER GEAR 15 TOOTH</v>
          </cell>
          <cell r="C844">
            <v>38.25</v>
          </cell>
          <cell r="D844">
            <v>38.25</v>
          </cell>
          <cell r="E844">
            <v>38.25</v>
          </cell>
          <cell r="F844">
            <v>38.25</v>
          </cell>
          <cell r="G844">
            <v>38.25</v>
          </cell>
          <cell r="H844">
            <v>0</v>
          </cell>
        </row>
        <row r="845">
          <cell r="A845" t="str">
            <v>EUPHTES</v>
          </cell>
          <cell r="B845" t="str">
            <v>EUTECH PH TESTER 30</v>
          </cell>
          <cell r="C845">
            <v>220</v>
          </cell>
          <cell r="D845">
            <v>220</v>
          </cell>
          <cell r="E845">
            <v>220</v>
          </cell>
          <cell r="F845">
            <v>220</v>
          </cell>
          <cell r="G845">
            <v>220</v>
          </cell>
          <cell r="H845">
            <v>150</v>
          </cell>
        </row>
        <row r="846">
          <cell r="A846" t="str">
            <v>EWS</v>
          </cell>
          <cell r="B846" t="str">
            <v>ELECTRONIC WEATHER STATION</v>
          </cell>
          <cell r="C846">
            <v>0</v>
          </cell>
          <cell r="D846">
            <v>0</v>
          </cell>
          <cell r="E846">
            <v>0</v>
          </cell>
          <cell r="F846">
            <v>0</v>
          </cell>
          <cell r="G846">
            <v>0</v>
          </cell>
          <cell r="H846">
            <v>0</v>
          </cell>
        </row>
        <row r="847">
          <cell r="A847" t="str">
            <v>FCADAPT</v>
          </cell>
          <cell r="B847" t="str">
            <v>ADAPTOR  FLASH PCMCIA CARD</v>
          </cell>
          <cell r="C847">
            <v>29</v>
          </cell>
          <cell r="D847">
            <v>29</v>
          </cell>
          <cell r="E847">
            <v>29</v>
          </cell>
          <cell r="F847">
            <v>29</v>
          </cell>
          <cell r="G847">
            <v>29</v>
          </cell>
          <cell r="H847">
            <v>14.222</v>
          </cell>
        </row>
        <row r="848">
          <cell r="A848" t="str">
            <v>FCDRCF8</v>
          </cell>
          <cell r="B848" t="str">
            <v>FLASH CARD  DATA RECORDER (PERSISTOR CF8</v>
          </cell>
          <cell r="C848">
            <v>808</v>
          </cell>
          <cell r="D848">
            <v>1000</v>
          </cell>
          <cell r="E848">
            <v>1000</v>
          </cell>
          <cell r="F848">
            <v>1000</v>
          </cell>
          <cell r="G848">
            <v>1000</v>
          </cell>
          <cell r="H848">
            <v>0</v>
          </cell>
          <cell r="I848">
            <v>39884</v>
          </cell>
        </row>
        <row r="849">
          <cell r="A849" t="str">
            <v>FCDRCF82</v>
          </cell>
          <cell r="B849" t="str">
            <v>FLASH CARD  DATA RECORDER V2 (PERSISTOR</v>
          </cell>
          <cell r="C849">
            <v>500</v>
          </cell>
          <cell r="D849">
            <v>540</v>
          </cell>
          <cell r="E849">
            <v>540</v>
          </cell>
          <cell r="F849">
            <v>540</v>
          </cell>
          <cell r="G849">
            <v>540</v>
          </cell>
          <cell r="H849">
            <v>412.98599999999999</v>
          </cell>
        </row>
        <row r="850">
          <cell r="A850" t="str">
            <v>FCDSBCO</v>
          </cell>
          <cell r="B850" t="str">
            <v>CONNECTOR  SQUISHY BUSS</v>
          </cell>
          <cell r="C850">
            <v>215.5</v>
          </cell>
          <cell r="D850">
            <v>215.5</v>
          </cell>
          <cell r="E850">
            <v>215.5</v>
          </cell>
          <cell r="F850">
            <v>215.5</v>
          </cell>
          <cell r="G850">
            <v>215.5</v>
          </cell>
          <cell r="H850">
            <v>0</v>
          </cell>
        </row>
        <row r="851">
          <cell r="A851" t="str">
            <v>FCMEM16</v>
          </cell>
          <cell r="B851" t="str">
            <v>FLASH CARD  16MB COMPACT</v>
          </cell>
          <cell r="C851">
            <v>220</v>
          </cell>
          <cell r="D851">
            <v>220</v>
          </cell>
          <cell r="E851">
            <v>220</v>
          </cell>
          <cell r="F851">
            <v>220</v>
          </cell>
          <cell r="G851">
            <v>220</v>
          </cell>
          <cell r="H851">
            <v>0</v>
          </cell>
        </row>
        <row r="852">
          <cell r="A852" t="str">
            <v>FCMEM256</v>
          </cell>
          <cell r="B852" t="str">
            <v>FLASH CARD 256MB COMPACT</v>
          </cell>
          <cell r="C852">
            <v>55</v>
          </cell>
          <cell r="D852">
            <v>55</v>
          </cell>
          <cell r="E852">
            <v>55</v>
          </cell>
          <cell r="F852">
            <v>55</v>
          </cell>
          <cell r="G852">
            <v>55</v>
          </cell>
          <cell r="H852">
            <v>40</v>
          </cell>
        </row>
        <row r="853">
          <cell r="A853" t="str">
            <v>FCMEM32</v>
          </cell>
          <cell r="B853" t="str">
            <v>FLASH CARD  2GB COMPACT</v>
          </cell>
          <cell r="C853">
            <v>22</v>
          </cell>
          <cell r="D853">
            <v>25</v>
          </cell>
          <cell r="E853">
            <v>25</v>
          </cell>
          <cell r="F853">
            <v>25</v>
          </cell>
          <cell r="G853">
            <v>25</v>
          </cell>
          <cell r="H853">
            <v>19</v>
          </cell>
          <cell r="I853">
            <v>40267</v>
          </cell>
        </row>
        <row r="854">
          <cell r="A854" t="str">
            <v>FCMEM64</v>
          </cell>
          <cell r="B854" t="str">
            <v>FLASH CARD  64MB COMPACT</v>
          </cell>
          <cell r="C854">
            <v>40</v>
          </cell>
          <cell r="D854">
            <v>40</v>
          </cell>
          <cell r="E854">
            <v>40</v>
          </cell>
          <cell r="F854">
            <v>40</v>
          </cell>
          <cell r="G854">
            <v>40</v>
          </cell>
          <cell r="H854">
            <v>0</v>
          </cell>
        </row>
        <row r="855">
          <cell r="A855" t="str">
            <v>FCREADE</v>
          </cell>
          <cell r="B855" t="str">
            <v>FLASH CARD READER WRITER</v>
          </cell>
          <cell r="C855">
            <v>20</v>
          </cell>
          <cell r="D855">
            <v>20</v>
          </cell>
          <cell r="E855">
            <v>20</v>
          </cell>
          <cell r="F855">
            <v>20</v>
          </cell>
          <cell r="G855">
            <v>20</v>
          </cell>
          <cell r="H855">
            <v>15.15</v>
          </cell>
          <cell r="I855">
            <v>40299</v>
          </cell>
        </row>
        <row r="856">
          <cell r="A856" t="str">
            <v>FERTUCS</v>
          </cell>
          <cell r="B856" t="str">
            <v>FERRITE TUBULAR CABLE SHIELD</v>
          </cell>
          <cell r="C856">
            <v>4</v>
          </cell>
          <cell r="D856">
            <v>4</v>
          </cell>
          <cell r="E856">
            <v>4</v>
          </cell>
          <cell r="F856">
            <v>4</v>
          </cell>
          <cell r="G856">
            <v>4</v>
          </cell>
          <cell r="H856">
            <v>0</v>
          </cell>
        </row>
        <row r="857">
          <cell r="A857" t="str">
            <v>FILMU02</v>
          </cell>
          <cell r="B857" t="str">
            <v>FILTER  DC (MURATA)</v>
          </cell>
          <cell r="C857">
            <v>24.69</v>
          </cell>
          <cell r="D857">
            <v>24.69</v>
          </cell>
          <cell r="E857">
            <v>24.69</v>
          </cell>
          <cell r="F857">
            <v>24.69</v>
          </cell>
          <cell r="G857">
            <v>24.69</v>
          </cell>
          <cell r="H857">
            <v>0</v>
          </cell>
        </row>
        <row r="858">
          <cell r="A858" t="str">
            <v>FISANCA</v>
          </cell>
          <cell r="B858" t="str">
            <v>ELECTRIC FISHING  CASTING ANODE</v>
          </cell>
          <cell r="C858">
            <v>2.65</v>
          </cell>
          <cell r="D858">
            <v>3.25</v>
          </cell>
          <cell r="E858">
            <v>3.25</v>
          </cell>
          <cell r="F858">
            <v>3.25</v>
          </cell>
          <cell r="G858">
            <v>3.25</v>
          </cell>
          <cell r="H858">
            <v>8</v>
          </cell>
          <cell r="I858">
            <v>39883</v>
          </cell>
        </row>
        <row r="859">
          <cell r="A859" t="str">
            <v>FISANSM</v>
          </cell>
          <cell r="B859" t="str">
            <v>ELECTRIC FISHING  SMALL CATCHING ANODE (</v>
          </cell>
          <cell r="C859">
            <v>125</v>
          </cell>
          <cell r="D859">
            <v>125</v>
          </cell>
          <cell r="E859">
            <v>125</v>
          </cell>
          <cell r="F859">
            <v>125</v>
          </cell>
          <cell r="G859">
            <v>125</v>
          </cell>
          <cell r="H859">
            <v>101.227</v>
          </cell>
        </row>
        <row r="860">
          <cell r="A860" t="str">
            <v>FISANST</v>
          </cell>
          <cell r="B860" t="str">
            <v>EFISH  STANDARD CATCHING ANODE (395mm DI</v>
          </cell>
          <cell r="C860">
            <v>125</v>
          </cell>
          <cell r="D860">
            <v>125</v>
          </cell>
          <cell r="E860">
            <v>125</v>
          </cell>
          <cell r="F860">
            <v>125</v>
          </cell>
          <cell r="G860">
            <v>125</v>
          </cell>
          <cell r="H860">
            <v>99.99</v>
          </cell>
        </row>
        <row r="861">
          <cell r="A861" t="str">
            <v>FISBABR</v>
          </cell>
          <cell r="B861" t="str">
            <v>EFISH  BACKPACK MOUNTING BRACKET</v>
          </cell>
          <cell r="C861">
            <v>99.84</v>
          </cell>
          <cell r="D861">
            <v>124</v>
          </cell>
          <cell r="E861">
            <v>124</v>
          </cell>
          <cell r="F861">
            <v>124</v>
          </cell>
          <cell r="G861">
            <v>124</v>
          </cell>
          <cell r="H861">
            <v>101.795</v>
          </cell>
          <cell r="I861">
            <v>40004</v>
          </cell>
        </row>
        <row r="862">
          <cell r="A862" t="str">
            <v>FISBAFP</v>
          </cell>
          <cell r="B862" t="str">
            <v>EFISH  BACKPACK PROTECTIVE COVER</v>
          </cell>
          <cell r="C862">
            <v>130</v>
          </cell>
          <cell r="D862">
            <v>160</v>
          </cell>
          <cell r="E862">
            <v>160</v>
          </cell>
          <cell r="F862">
            <v>160</v>
          </cell>
          <cell r="G862">
            <v>160</v>
          </cell>
          <cell r="H862">
            <v>122.81</v>
          </cell>
          <cell r="I862">
            <v>40154</v>
          </cell>
        </row>
        <row r="863">
          <cell r="A863" t="str">
            <v>FISBAHF</v>
          </cell>
          <cell r="B863" t="str">
            <v>ELECTRIC FISHING  BACKPACK HARNESS AND F</v>
          </cell>
          <cell r="C863">
            <v>403.2</v>
          </cell>
          <cell r="D863">
            <v>499</v>
          </cell>
          <cell r="E863">
            <v>499</v>
          </cell>
          <cell r="F863">
            <v>499</v>
          </cell>
          <cell r="G863">
            <v>499</v>
          </cell>
          <cell r="H863">
            <v>355.02199999999999</v>
          </cell>
          <cell r="I863">
            <v>40105</v>
          </cell>
        </row>
        <row r="864">
          <cell r="A864" t="str">
            <v>FISBAPA</v>
          </cell>
          <cell r="B864" t="str">
            <v>EFISH  BACKPACK COMPLETE EFM300</v>
          </cell>
          <cell r="C864">
            <v>3850</v>
          </cell>
          <cell r="D864">
            <v>5350</v>
          </cell>
          <cell r="E864">
            <v>5350</v>
          </cell>
          <cell r="F864">
            <v>5350</v>
          </cell>
          <cell r="G864">
            <v>5350</v>
          </cell>
          <cell r="H864">
            <v>3430.9520000000002</v>
          </cell>
          <cell r="I864">
            <v>40155</v>
          </cell>
        </row>
        <row r="865">
          <cell r="A865" t="str">
            <v>FISBBBP</v>
          </cell>
          <cell r="B865" t="str">
            <v>EFISH  BASEPLATE</v>
          </cell>
          <cell r="C865">
            <v>42</v>
          </cell>
          <cell r="D865">
            <v>52</v>
          </cell>
          <cell r="E865">
            <v>52</v>
          </cell>
          <cell r="F865">
            <v>52</v>
          </cell>
          <cell r="G865">
            <v>52</v>
          </cell>
          <cell r="H865">
            <v>41.45</v>
          </cell>
          <cell r="I865">
            <v>40154</v>
          </cell>
        </row>
        <row r="866">
          <cell r="A866" t="str">
            <v>FISBBGB</v>
          </cell>
          <cell r="B866" t="str">
            <v>EFISH  GUIDE BRACKET</v>
          </cell>
          <cell r="C866">
            <v>44</v>
          </cell>
          <cell r="D866">
            <v>54</v>
          </cell>
          <cell r="E866">
            <v>54</v>
          </cell>
          <cell r="F866">
            <v>54</v>
          </cell>
          <cell r="G866">
            <v>54</v>
          </cell>
          <cell r="H866">
            <v>41.85</v>
          </cell>
          <cell r="I866">
            <v>40154</v>
          </cell>
        </row>
        <row r="867">
          <cell r="A867" t="str">
            <v>FISBBIM</v>
          </cell>
          <cell r="B867" t="str">
            <v>EFISH  BOX INTERFACE KIT</v>
          </cell>
          <cell r="C867">
            <v>42</v>
          </cell>
          <cell r="D867">
            <v>52</v>
          </cell>
          <cell r="E867">
            <v>52</v>
          </cell>
          <cell r="F867">
            <v>52</v>
          </cell>
          <cell r="G867">
            <v>52</v>
          </cell>
          <cell r="H867">
            <v>38.799999999999997</v>
          </cell>
          <cell r="I867">
            <v>40154</v>
          </cell>
        </row>
        <row r="868">
          <cell r="A868" t="str">
            <v>FISBBPF</v>
          </cell>
          <cell r="B868" t="str">
            <v>EFISH  BATTERY BOX PADS</v>
          </cell>
          <cell r="C868">
            <v>9</v>
          </cell>
          <cell r="D868">
            <v>10</v>
          </cell>
          <cell r="E868">
            <v>10</v>
          </cell>
          <cell r="F868">
            <v>10</v>
          </cell>
          <cell r="G868">
            <v>10</v>
          </cell>
          <cell r="H868">
            <v>7.7</v>
          </cell>
          <cell r="I868">
            <v>40150</v>
          </cell>
        </row>
        <row r="869">
          <cell r="A869" t="str">
            <v>FISBBSG</v>
          </cell>
          <cell r="B869" t="str">
            <v>EFISH  SWITCH GUIDE BRACKET</v>
          </cell>
          <cell r="C869">
            <v>50</v>
          </cell>
          <cell r="D869">
            <v>61</v>
          </cell>
          <cell r="E869">
            <v>61</v>
          </cell>
          <cell r="F869">
            <v>61</v>
          </cell>
          <cell r="G869">
            <v>61</v>
          </cell>
          <cell r="H869">
            <v>46.85</v>
          </cell>
          <cell r="I869">
            <v>40154</v>
          </cell>
        </row>
        <row r="870">
          <cell r="A870" t="str">
            <v>FISBOCO</v>
          </cell>
          <cell r="B870" t="str">
            <v>PCB  EFISH CONTROL</v>
          </cell>
          <cell r="C870">
            <v>1260</v>
          </cell>
          <cell r="D870">
            <v>1260</v>
          </cell>
          <cell r="E870">
            <v>1260</v>
          </cell>
          <cell r="F870">
            <v>1260</v>
          </cell>
          <cell r="G870">
            <v>1260</v>
          </cell>
          <cell r="H870">
            <v>1031.5129999999999</v>
          </cell>
        </row>
        <row r="871">
          <cell r="A871" t="str">
            <v>FISBODI</v>
          </cell>
          <cell r="B871" t="str">
            <v>PCB  EFISH DISPLAY</v>
          </cell>
          <cell r="C871">
            <v>311</v>
          </cell>
          <cell r="D871">
            <v>311</v>
          </cell>
          <cell r="E871">
            <v>311</v>
          </cell>
          <cell r="F871">
            <v>311</v>
          </cell>
          <cell r="G871">
            <v>311</v>
          </cell>
          <cell r="H871">
            <v>289.58499999999998</v>
          </cell>
        </row>
        <row r="872">
          <cell r="A872" t="str">
            <v>FISBOFB</v>
          </cell>
          <cell r="B872" t="str">
            <v>PCB  EFISH FEEDBACK</v>
          </cell>
          <cell r="C872">
            <v>190</v>
          </cell>
          <cell r="D872">
            <v>190</v>
          </cell>
          <cell r="E872">
            <v>190</v>
          </cell>
          <cell r="F872">
            <v>190</v>
          </cell>
          <cell r="G872">
            <v>190</v>
          </cell>
          <cell r="H872">
            <v>170.27500000000001</v>
          </cell>
        </row>
        <row r="873">
          <cell r="A873" t="str">
            <v>FISBOWA</v>
          </cell>
          <cell r="B873" t="str">
            <v>PCB  EFISH WAND</v>
          </cell>
          <cell r="C873">
            <v>104</v>
          </cell>
          <cell r="D873">
            <v>130</v>
          </cell>
          <cell r="E873">
            <v>130</v>
          </cell>
          <cell r="F873">
            <v>130</v>
          </cell>
          <cell r="G873">
            <v>130</v>
          </cell>
          <cell r="H873">
            <v>71.081000000000003</v>
          </cell>
          <cell r="I873">
            <v>40121</v>
          </cell>
        </row>
        <row r="874">
          <cell r="A874" t="str">
            <v>FISBOXB</v>
          </cell>
          <cell r="B874" t="str">
            <v>EFISH  BACKPACK BATTERY BOX</v>
          </cell>
          <cell r="C874">
            <v>95</v>
          </cell>
          <cell r="D874">
            <v>117.03</v>
          </cell>
          <cell r="E874">
            <v>117.03</v>
          </cell>
          <cell r="F874">
            <v>117.03</v>
          </cell>
          <cell r="G874">
            <v>117.03</v>
          </cell>
          <cell r="H874">
            <v>90.02</v>
          </cell>
          <cell r="I874">
            <v>40004</v>
          </cell>
        </row>
        <row r="875">
          <cell r="A875" t="str">
            <v>FISBOXC</v>
          </cell>
          <cell r="B875" t="str">
            <v>EFISH  BACKPACK CONTROL BOX</v>
          </cell>
          <cell r="C875">
            <v>183</v>
          </cell>
          <cell r="D875">
            <v>225.5</v>
          </cell>
          <cell r="E875">
            <v>225.5</v>
          </cell>
          <cell r="F875">
            <v>225.5</v>
          </cell>
          <cell r="G875">
            <v>225.5</v>
          </cell>
          <cell r="H875">
            <v>173.32</v>
          </cell>
          <cell r="I875">
            <v>40154</v>
          </cell>
        </row>
        <row r="876">
          <cell r="A876" t="str">
            <v>FISBOXP</v>
          </cell>
          <cell r="B876" t="str">
            <v>STORAGE BOX</v>
          </cell>
          <cell r="C876">
            <v>95</v>
          </cell>
          <cell r="D876">
            <v>95</v>
          </cell>
          <cell r="E876">
            <v>95</v>
          </cell>
          <cell r="F876">
            <v>95</v>
          </cell>
          <cell r="G876">
            <v>95</v>
          </cell>
          <cell r="H876">
            <v>79.91</v>
          </cell>
        </row>
        <row r="877">
          <cell r="A877" t="str">
            <v>FISCABS</v>
          </cell>
          <cell r="B877" t="str">
            <v>EFISH  CABLE SET</v>
          </cell>
          <cell r="C877">
            <v>60</v>
          </cell>
          <cell r="D877">
            <v>74</v>
          </cell>
          <cell r="E877">
            <v>74</v>
          </cell>
          <cell r="F877">
            <v>74</v>
          </cell>
          <cell r="G877">
            <v>74</v>
          </cell>
          <cell r="H877">
            <v>49.7</v>
          </cell>
          <cell r="I877">
            <v>40154</v>
          </cell>
        </row>
        <row r="878">
          <cell r="A878" t="str">
            <v>FISCACO</v>
          </cell>
          <cell r="B878" t="str">
            <v>EFISH  CATHODE</v>
          </cell>
          <cell r="C878">
            <v>85</v>
          </cell>
          <cell r="D878">
            <v>85</v>
          </cell>
          <cell r="E878">
            <v>85</v>
          </cell>
          <cell r="F878">
            <v>85</v>
          </cell>
          <cell r="G878">
            <v>85</v>
          </cell>
          <cell r="H878">
            <v>47.567999999999998</v>
          </cell>
        </row>
        <row r="879">
          <cell r="A879" t="str">
            <v>FISCOCD</v>
          </cell>
          <cell r="B879" t="str">
            <v>DISPLAY BOARD COVER</v>
          </cell>
          <cell r="C879">
            <v>41</v>
          </cell>
          <cell r="D879">
            <v>51</v>
          </cell>
          <cell r="E879">
            <v>51</v>
          </cell>
          <cell r="F879">
            <v>51</v>
          </cell>
          <cell r="G879">
            <v>51</v>
          </cell>
          <cell r="H879">
            <v>41.7</v>
          </cell>
          <cell r="I879">
            <v>40150</v>
          </cell>
        </row>
        <row r="880">
          <cell r="A880" t="str">
            <v>FISCOHS</v>
          </cell>
          <cell r="B880" t="str">
            <v>EFISH  CONTROL PCB HEATSINK</v>
          </cell>
          <cell r="C880">
            <v>50</v>
          </cell>
          <cell r="D880">
            <v>50</v>
          </cell>
          <cell r="E880">
            <v>50</v>
          </cell>
          <cell r="F880">
            <v>50</v>
          </cell>
          <cell r="G880">
            <v>50</v>
          </cell>
          <cell r="H880">
            <v>35.975999999999999</v>
          </cell>
          <cell r="I880">
            <v>40224</v>
          </cell>
        </row>
        <row r="881">
          <cell r="A881" t="str">
            <v>FISCOPS</v>
          </cell>
          <cell r="B881" t="str">
            <v>EFISH  SAFETY PANEL PILLAR SET</v>
          </cell>
          <cell r="C881">
            <v>12.6</v>
          </cell>
          <cell r="D881">
            <v>16</v>
          </cell>
          <cell r="E881">
            <v>16</v>
          </cell>
          <cell r="F881">
            <v>16</v>
          </cell>
          <cell r="G881">
            <v>16</v>
          </cell>
          <cell r="H881">
            <v>11.96</v>
          </cell>
          <cell r="I881">
            <v>40129</v>
          </cell>
        </row>
        <row r="882">
          <cell r="A882" t="str">
            <v>FISCOSP</v>
          </cell>
          <cell r="B882" t="str">
            <v>EFISH  SAFETY PANEL</v>
          </cell>
          <cell r="C882">
            <v>35.799999999999997</v>
          </cell>
          <cell r="D882">
            <v>44</v>
          </cell>
          <cell r="E882">
            <v>44</v>
          </cell>
          <cell r="F882">
            <v>44</v>
          </cell>
          <cell r="G882">
            <v>44</v>
          </cell>
          <cell r="H882">
            <v>34.688000000000002</v>
          </cell>
          <cell r="I882">
            <v>40150</v>
          </cell>
        </row>
        <row r="883">
          <cell r="A883" t="str">
            <v>FISCPSE</v>
          </cell>
          <cell r="B883" t="str">
            <v>EFISH  SENSOR PROTECTIVE COLLAR</v>
          </cell>
          <cell r="C883">
            <v>17</v>
          </cell>
          <cell r="D883">
            <v>17</v>
          </cell>
          <cell r="E883">
            <v>17</v>
          </cell>
          <cell r="F883">
            <v>17</v>
          </cell>
          <cell r="G883">
            <v>17</v>
          </cell>
          <cell r="H883">
            <v>16.75</v>
          </cell>
        </row>
        <row r="884">
          <cell r="A884" t="str">
            <v>FISE300</v>
          </cell>
          <cell r="B884" t="str">
            <v>ELECTRIC FISHING MACHINE EFM300</v>
          </cell>
          <cell r="C884">
            <v>7995</v>
          </cell>
          <cell r="D884">
            <v>8250</v>
          </cell>
          <cell r="E884">
            <v>8250</v>
          </cell>
          <cell r="F884">
            <v>8250</v>
          </cell>
          <cell r="G884">
            <v>8250</v>
          </cell>
          <cell r="H884">
            <v>4100</v>
          </cell>
          <cell r="I884">
            <v>39981</v>
          </cell>
        </row>
        <row r="885">
          <cell r="A885" t="str">
            <v>FISE300A</v>
          </cell>
          <cell r="B885" t="str">
            <v>E/FISHING MACHINE EFM300 AUSTRALIAN VER</v>
          </cell>
          <cell r="C885">
            <v>8950</v>
          </cell>
          <cell r="D885">
            <v>8950</v>
          </cell>
          <cell r="E885">
            <v>8950</v>
          </cell>
          <cell r="F885">
            <v>8950</v>
          </cell>
          <cell r="G885">
            <v>8950</v>
          </cell>
          <cell r="H885">
            <v>4400</v>
          </cell>
          <cell r="I885">
            <v>39981</v>
          </cell>
        </row>
        <row r="886">
          <cell r="A886" t="str">
            <v>FISFBBT</v>
          </cell>
          <cell r="B886" t="str">
            <v>EFISH  TILT SWITCH BLOCK</v>
          </cell>
          <cell r="C886">
            <v>55</v>
          </cell>
          <cell r="D886">
            <v>68</v>
          </cell>
          <cell r="E886">
            <v>68</v>
          </cell>
          <cell r="F886">
            <v>68</v>
          </cell>
          <cell r="G886">
            <v>68</v>
          </cell>
          <cell r="H886">
            <v>52.1</v>
          </cell>
          <cell r="I886">
            <v>40150</v>
          </cell>
        </row>
        <row r="887">
          <cell r="A887" t="str">
            <v>FISGLLL</v>
          </cell>
          <cell r="B887" t="str">
            <v>RUBBER LINESMAN GLOVES (SIZE 11, LARGE)</v>
          </cell>
          <cell r="C887">
            <v>85</v>
          </cell>
          <cell r="D887">
            <v>85</v>
          </cell>
          <cell r="E887">
            <v>85</v>
          </cell>
          <cell r="F887">
            <v>85</v>
          </cell>
          <cell r="G887">
            <v>85</v>
          </cell>
          <cell r="H887">
            <v>75.31</v>
          </cell>
        </row>
        <row r="888">
          <cell r="A888" t="str">
            <v>FISGLLM</v>
          </cell>
          <cell r="B888" t="str">
            <v>EFISH  RUBBER LINESMAN GLOVES (MEDIUM)</v>
          </cell>
          <cell r="C888">
            <v>85</v>
          </cell>
          <cell r="D888">
            <v>85</v>
          </cell>
          <cell r="E888">
            <v>85</v>
          </cell>
          <cell r="F888">
            <v>85</v>
          </cell>
          <cell r="G888">
            <v>85</v>
          </cell>
          <cell r="H888">
            <v>75.31</v>
          </cell>
        </row>
        <row r="889">
          <cell r="A889" t="str">
            <v>FISGLLS</v>
          </cell>
          <cell r="B889" t="str">
            <v>EFISH  RUBBER LINESMAN GLOVES (SMALL)</v>
          </cell>
          <cell r="C889">
            <v>85</v>
          </cell>
          <cell r="D889">
            <v>85</v>
          </cell>
          <cell r="E889">
            <v>85</v>
          </cell>
          <cell r="F889">
            <v>85</v>
          </cell>
          <cell r="G889">
            <v>85</v>
          </cell>
          <cell r="H889">
            <v>75.31</v>
          </cell>
        </row>
        <row r="890">
          <cell r="A890" t="str">
            <v>FISKNCA</v>
          </cell>
          <cell r="B890" t="str">
            <v>KNOB CAP SIFAM BRAND</v>
          </cell>
          <cell r="C890">
            <v>1.5</v>
          </cell>
          <cell r="D890">
            <v>1.5</v>
          </cell>
          <cell r="E890">
            <v>1.5</v>
          </cell>
          <cell r="F890">
            <v>1.5</v>
          </cell>
          <cell r="G890">
            <v>1.5</v>
          </cell>
          <cell r="H890">
            <v>0.5</v>
          </cell>
        </row>
        <row r="891">
          <cell r="A891" t="str">
            <v>FISKNOB</v>
          </cell>
          <cell r="B891" t="str">
            <v>1/4  COLLET KNOB SIFAM BRAND</v>
          </cell>
          <cell r="C891">
            <v>4.0999999999999996</v>
          </cell>
          <cell r="D891">
            <v>5.0999999999999996</v>
          </cell>
          <cell r="E891">
            <v>5.0999999999999996</v>
          </cell>
          <cell r="F891">
            <v>5.0999999999999996</v>
          </cell>
          <cell r="G891">
            <v>5.0999999999999996</v>
          </cell>
          <cell r="H891">
            <v>4.2</v>
          </cell>
          <cell r="I891">
            <v>39988</v>
          </cell>
        </row>
        <row r="892">
          <cell r="A892" t="str">
            <v>FISLABS</v>
          </cell>
          <cell r="B892" t="str">
            <v>EFISH  LABEL SET</v>
          </cell>
          <cell r="C892">
            <v>70</v>
          </cell>
          <cell r="D892">
            <v>70</v>
          </cell>
          <cell r="E892">
            <v>70</v>
          </cell>
          <cell r="F892">
            <v>70</v>
          </cell>
          <cell r="G892">
            <v>70</v>
          </cell>
          <cell r="H892">
            <v>61.09</v>
          </cell>
        </row>
        <row r="893">
          <cell r="A893" t="str">
            <v>FISMORS</v>
          </cell>
          <cell r="B893" t="str">
            <v>EFISH RESET MODULE</v>
          </cell>
          <cell r="C893">
            <v>75</v>
          </cell>
          <cell r="D893">
            <v>75</v>
          </cell>
          <cell r="E893">
            <v>75</v>
          </cell>
          <cell r="F893">
            <v>75</v>
          </cell>
          <cell r="G893">
            <v>75</v>
          </cell>
          <cell r="H893">
            <v>52</v>
          </cell>
        </row>
        <row r="894">
          <cell r="A894" t="str">
            <v>FISMSHO</v>
          </cell>
          <cell r="B894" t="str">
            <v>EFISH  MAINSET HOUSING</v>
          </cell>
          <cell r="C894">
            <v>370</v>
          </cell>
          <cell r="D894">
            <v>370</v>
          </cell>
          <cell r="E894">
            <v>370</v>
          </cell>
          <cell r="F894">
            <v>370</v>
          </cell>
          <cell r="G894">
            <v>370</v>
          </cell>
          <cell r="H894">
            <v>0</v>
          </cell>
        </row>
        <row r="895">
          <cell r="A895" t="str">
            <v>FISNUCO</v>
          </cell>
          <cell r="B895" t="str">
            <v>KNOB NUT COVER SIFAM BRAND</v>
          </cell>
          <cell r="C895">
            <v>1.5</v>
          </cell>
          <cell r="D895">
            <v>1.5</v>
          </cell>
          <cell r="E895">
            <v>1.5</v>
          </cell>
          <cell r="F895">
            <v>1.5</v>
          </cell>
          <cell r="G895">
            <v>1.5</v>
          </cell>
          <cell r="H895">
            <v>0.84</v>
          </cell>
        </row>
        <row r="896">
          <cell r="A896" t="str">
            <v>FISPTR1</v>
          </cell>
          <cell r="B896" t="str">
            <v>EFISH  PULSE TRANSFORMER 4mH</v>
          </cell>
          <cell r="C896">
            <v>5</v>
          </cell>
          <cell r="D896">
            <v>5</v>
          </cell>
          <cell r="E896">
            <v>5</v>
          </cell>
          <cell r="F896">
            <v>5</v>
          </cell>
          <cell r="G896">
            <v>5</v>
          </cell>
          <cell r="H896">
            <v>0</v>
          </cell>
        </row>
        <row r="897">
          <cell r="A897" t="str">
            <v>FISRES</v>
          </cell>
          <cell r="B897" t="str">
            <v>EFISH RESET CIRCUIT</v>
          </cell>
          <cell r="C897">
            <v>80</v>
          </cell>
          <cell r="D897">
            <v>80</v>
          </cell>
          <cell r="E897">
            <v>80</v>
          </cell>
          <cell r="F897">
            <v>80</v>
          </cell>
          <cell r="G897">
            <v>80</v>
          </cell>
          <cell r="H897">
            <v>0</v>
          </cell>
        </row>
        <row r="898">
          <cell r="A898" t="str">
            <v>FISROBL</v>
          </cell>
          <cell r="B898" t="str">
            <v>EFISH  WAND FIBREGLASS SURF CASTING ROD</v>
          </cell>
          <cell r="C898">
            <v>80</v>
          </cell>
          <cell r="D898">
            <v>80</v>
          </cell>
          <cell r="E898">
            <v>80</v>
          </cell>
          <cell r="F898">
            <v>80</v>
          </cell>
          <cell r="G898">
            <v>80</v>
          </cell>
          <cell r="H898">
            <v>60.62</v>
          </cell>
        </row>
        <row r="899">
          <cell r="A899" t="str">
            <v>FISS313</v>
          </cell>
          <cell r="B899" t="str">
            <v>EFISH  DISPLAY BOARD SPACER</v>
          </cell>
          <cell r="C899">
            <v>4.8</v>
          </cell>
          <cell r="D899">
            <v>6</v>
          </cell>
          <cell r="E899">
            <v>6</v>
          </cell>
          <cell r="F899">
            <v>6</v>
          </cell>
          <cell r="G899">
            <v>6</v>
          </cell>
          <cell r="H899">
            <v>4.38</v>
          </cell>
          <cell r="I899">
            <v>40150</v>
          </cell>
        </row>
        <row r="900">
          <cell r="A900" t="str">
            <v>FISSWBO</v>
          </cell>
          <cell r="B900" t="str">
            <v>EFISH  SAFETY SWITCH BOX</v>
          </cell>
          <cell r="C900">
            <v>28.5</v>
          </cell>
          <cell r="D900">
            <v>35.5</v>
          </cell>
          <cell r="E900">
            <v>35.5</v>
          </cell>
          <cell r="F900">
            <v>35.5</v>
          </cell>
          <cell r="G900">
            <v>35.5</v>
          </cell>
          <cell r="H900">
            <v>31.632000000000001</v>
          </cell>
          <cell r="I900">
            <v>40150</v>
          </cell>
        </row>
        <row r="901">
          <cell r="A901" t="str">
            <v>FISSWSA</v>
          </cell>
          <cell r="B901" t="str">
            <v>EFISH  EXTERNAL SAFETY SWITCH</v>
          </cell>
          <cell r="C901">
            <v>157.5</v>
          </cell>
          <cell r="D901">
            <v>195</v>
          </cell>
          <cell r="E901">
            <v>195</v>
          </cell>
          <cell r="F901">
            <v>195</v>
          </cell>
          <cell r="G901">
            <v>195</v>
          </cell>
          <cell r="H901">
            <v>150</v>
          </cell>
          <cell r="I901">
            <v>40154</v>
          </cell>
        </row>
        <row r="902">
          <cell r="A902" t="str">
            <v>FISUGHP</v>
          </cell>
          <cell r="B902" t="str">
            <v>EFISH  UPGRADE HANDLE COVER PLATE</v>
          </cell>
          <cell r="C902">
            <v>100</v>
          </cell>
          <cell r="D902">
            <v>100</v>
          </cell>
          <cell r="E902">
            <v>100</v>
          </cell>
          <cell r="F902">
            <v>100</v>
          </cell>
          <cell r="G902">
            <v>100</v>
          </cell>
          <cell r="H902">
            <v>0</v>
          </cell>
        </row>
        <row r="903">
          <cell r="A903" t="str">
            <v>FISUGKI</v>
          </cell>
          <cell r="B903" t="str">
            <v>EFISH  UPGRADE KIT</v>
          </cell>
          <cell r="C903">
            <v>190</v>
          </cell>
          <cell r="D903">
            <v>190</v>
          </cell>
          <cell r="E903">
            <v>190</v>
          </cell>
          <cell r="F903">
            <v>190</v>
          </cell>
          <cell r="G903">
            <v>190</v>
          </cell>
          <cell r="H903">
            <v>0</v>
          </cell>
        </row>
        <row r="904">
          <cell r="A904" t="str">
            <v>FISUGMP</v>
          </cell>
          <cell r="B904" t="str">
            <v>EFISH  UPGRADE SWITCH MOUNTING PLATE</v>
          </cell>
          <cell r="C904">
            <v>52.5</v>
          </cell>
          <cell r="D904">
            <v>52.5</v>
          </cell>
          <cell r="E904">
            <v>52.5</v>
          </cell>
          <cell r="F904">
            <v>52.5</v>
          </cell>
          <cell r="G904">
            <v>52.5</v>
          </cell>
          <cell r="H904">
            <v>0</v>
          </cell>
        </row>
        <row r="905">
          <cell r="A905" t="str">
            <v>FISUGPL</v>
          </cell>
          <cell r="B905" t="str">
            <v>EFISH  UPGRADE PLUNGER</v>
          </cell>
          <cell r="C905">
            <v>19.5</v>
          </cell>
          <cell r="D905">
            <v>19.5</v>
          </cell>
          <cell r="E905">
            <v>19.5</v>
          </cell>
          <cell r="F905">
            <v>19.5</v>
          </cell>
          <cell r="G905">
            <v>19.5</v>
          </cell>
          <cell r="H905">
            <v>0</v>
          </cell>
        </row>
        <row r="906">
          <cell r="A906" t="str">
            <v>FISUGSC</v>
          </cell>
          <cell r="B906" t="str">
            <v>EFISH  UPGRADE MAINSET WAND SWITCH COVER</v>
          </cell>
          <cell r="C906">
            <v>19.5</v>
          </cell>
          <cell r="D906">
            <v>19.5</v>
          </cell>
          <cell r="E906">
            <v>19.5</v>
          </cell>
          <cell r="F906">
            <v>19.5</v>
          </cell>
          <cell r="G906">
            <v>19.5</v>
          </cell>
          <cell r="H906">
            <v>0</v>
          </cell>
        </row>
        <row r="907">
          <cell r="A907" t="str">
            <v>FISUGSW</v>
          </cell>
          <cell r="B907" t="str">
            <v>EFISH  UPGRADE MAINSET WAND SWITCH</v>
          </cell>
          <cell r="C907">
            <v>14.2</v>
          </cell>
          <cell r="D907">
            <v>14.2</v>
          </cell>
          <cell r="E907">
            <v>14.2</v>
          </cell>
          <cell r="F907">
            <v>14.2</v>
          </cell>
          <cell r="G907">
            <v>14.2</v>
          </cell>
          <cell r="H907">
            <v>0</v>
          </cell>
        </row>
        <row r="908">
          <cell r="A908" t="str">
            <v>FISUGTC</v>
          </cell>
          <cell r="B908" t="str">
            <v>EFISH  UPGRADE THREADED COLLAR</v>
          </cell>
          <cell r="C908">
            <v>30</v>
          </cell>
          <cell r="D908">
            <v>30</v>
          </cell>
          <cell r="E908">
            <v>30</v>
          </cell>
          <cell r="F908">
            <v>30</v>
          </cell>
          <cell r="G908">
            <v>30</v>
          </cell>
          <cell r="H908">
            <v>0</v>
          </cell>
        </row>
        <row r="909">
          <cell r="A909" t="str">
            <v>FISUGWT</v>
          </cell>
          <cell r="B909" t="str">
            <v>EFISH  UPGRADE WAND ANODE TUBE</v>
          </cell>
          <cell r="C909">
            <v>75</v>
          </cell>
          <cell r="D909">
            <v>75</v>
          </cell>
          <cell r="E909">
            <v>75</v>
          </cell>
          <cell r="F909">
            <v>75</v>
          </cell>
          <cell r="G909">
            <v>75</v>
          </cell>
          <cell r="H909">
            <v>0</v>
          </cell>
        </row>
        <row r="910">
          <cell r="A910" t="str">
            <v>FISWAAC</v>
          </cell>
          <cell r="B910" t="str">
            <v>EFISH  WAND CABLE GLAND ADAPTOR</v>
          </cell>
          <cell r="C910">
            <v>50</v>
          </cell>
          <cell r="D910">
            <v>62</v>
          </cell>
          <cell r="E910">
            <v>62</v>
          </cell>
          <cell r="F910">
            <v>62</v>
          </cell>
          <cell r="G910">
            <v>62</v>
          </cell>
          <cell r="H910">
            <v>46.75</v>
          </cell>
          <cell r="I910">
            <v>40122</v>
          </cell>
        </row>
        <row r="911">
          <cell r="A911" t="str">
            <v>FISWAAM</v>
          </cell>
          <cell r="B911" t="str">
            <v>EFISH  WAND MOUNTING SENSOR ASSEMBLY</v>
          </cell>
          <cell r="C911">
            <v>162</v>
          </cell>
          <cell r="D911">
            <v>205</v>
          </cell>
          <cell r="E911">
            <v>205</v>
          </cell>
          <cell r="F911">
            <v>205</v>
          </cell>
          <cell r="G911">
            <v>205</v>
          </cell>
          <cell r="H911">
            <v>156.44999999999999</v>
          </cell>
          <cell r="I911">
            <v>40121</v>
          </cell>
        </row>
        <row r="912">
          <cell r="A912" t="str">
            <v>FISWACO</v>
          </cell>
          <cell r="B912" t="str">
            <v>EFISH  WAND COMPLETE</v>
          </cell>
          <cell r="C912">
            <v>1392</v>
          </cell>
          <cell r="D912">
            <v>1725</v>
          </cell>
          <cell r="E912">
            <v>1725</v>
          </cell>
          <cell r="F912">
            <v>1725</v>
          </cell>
          <cell r="G912">
            <v>1725</v>
          </cell>
          <cell r="H912">
            <v>1325</v>
          </cell>
          <cell r="I912">
            <v>40127</v>
          </cell>
        </row>
        <row r="913">
          <cell r="A913" t="str">
            <v>FISWAHA</v>
          </cell>
          <cell r="B913" t="str">
            <v>EFISH  WAND HANDLE</v>
          </cell>
          <cell r="C913">
            <v>395</v>
          </cell>
          <cell r="D913">
            <v>488</v>
          </cell>
          <cell r="E913">
            <v>488</v>
          </cell>
          <cell r="F913">
            <v>488</v>
          </cell>
          <cell r="G913">
            <v>488</v>
          </cell>
          <cell r="H913">
            <v>381.05599999999998</v>
          </cell>
          <cell r="I913">
            <v>40122</v>
          </cell>
        </row>
        <row r="914">
          <cell r="A914" t="str">
            <v>FISWAPH</v>
          </cell>
          <cell r="B914" t="str">
            <v>EFISH  WAND PANEL COMPLETE</v>
          </cell>
          <cell r="C914">
            <v>170</v>
          </cell>
          <cell r="D914">
            <v>210</v>
          </cell>
          <cell r="E914">
            <v>210</v>
          </cell>
          <cell r="F914">
            <v>210</v>
          </cell>
          <cell r="G914">
            <v>210</v>
          </cell>
          <cell r="H914">
            <v>150.87100000000001</v>
          </cell>
          <cell r="I914">
            <v>40129</v>
          </cell>
        </row>
        <row r="915">
          <cell r="A915" t="str">
            <v>FISWAPO</v>
          </cell>
          <cell r="B915" t="str">
            <v>EFISH  WAND SWITCH PLATE</v>
          </cell>
          <cell r="C915">
            <v>90.5</v>
          </cell>
          <cell r="D915">
            <v>112</v>
          </cell>
          <cell r="E915">
            <v>112</v>
          </cell>
          <cell r="F915">
            <v>112</v>
          </cell>
          <cell r="G915">
            <v>112</v>
          </cell>
          <cell r="H915">
            <v>96.25</v>
          </cell>
          <cell r="I915">
            <v>40126</v>
          </cell>
        </row>
        <row r="916">
          <cell r="A916" t="str">
            <v>FISWARK</v>
          </cell>
          <cell r="B916" t="str">
            <v>EFISH  WAND ROD KIT</v>
          </cell>
          <cell r="C916">
            <v>725</v>
          </cell>
          <cell r="D916">
            <v>725</v>
          </cell>
          <cell r="E916">
            <v>725</v>
          </cell>
          <cell r="F916">
            <v>725</v>
          </cell>
          <cell r="G916">
            <v>725</v>
          </cell>
          <cell r="H916">
            <v>431.642</v>
          </cell>
          <cell r="I916">
            <v>40126</v>
          </cell>
        </row>
        <row r="917">
          <cell r="A917" t="str">
            <v>FISWARP</v>
          </cell>
          <cell r="B917" t="str">
            <v>EFISH  WAND REPAIR INSERT</v>
          </cell>
          <cell r="C917">
            <v>90</v>
          </cell>
          <cell r="D917">
            <v>90</v>
          </cell>
          <cell r="E917">
            <v>90</v>
          </cell>
          <cell r="F917">
            <v>90</v>
          </cell>
          <cell r="G917">
            <v>90</v>
          </cell>
          <cell r="H917">
            <v>80</v>
          </cell>
        </row>
        <row r="918">
          <cell r="A918" t="str">
            <v>FISWATC</v>
          </cell>
          <cell r="B918" t="str">
            <v>EFISH  WAND TUBE CAP</v>
          </cell>
          <cell r="C918">
            <v>7.5</v>
          </cell>
          <cell r="D918">
            <v>7.5</v>
          </cell>
          <cell r="E918">
            <v>7.5</v>
          </cell>
          <cell r="F918">
            <v>7.5</v>
          </cell>
          <cell r="G918">
            <v>7.5</v>
          </cell>
          <cell r="H918">
            <v>5</v>
          </cell>
        </row>
        <row r="919">
          <cell r="A919" t="str">
            <v>FISWATU</v>
          </cell>
          <cell r="B919" t="str">
            <v>EFISH  WAND CONTAINER</v>
          </cell>
          <cell r="C919">
            <v>117.6</v>
          </cell>
          <cell r="D919">
            <v>146</v>
          </cell>
          <cell r="E919">
            <v>146</v>
          </cell>
          <cell r="F919">
            <v>146</v>
          </cell>
          <cell r="G919">
            <v>146</v>
          </cell>
          <cell r="H919">
            <v>126.117</v>
          </cell>
          <cell r="I919">
            <v>40126</v>
          </cell>
        </row>
        <row r="920">
          <cell r="A920" t="str">
            <v>FISWAUC</v>
          </cell>
          <cell r="B920" t="str">
            <v>EFISH WAND UPGRADE COMPLETE</v>
          </cell>
          <cell r="C920">
            <v>1700</v>
          </cell>
          <cell r="D920">
            <v>1700</v>
          </cell>
          <cell r="E920">
            <v>1700</v>
          </cell>
          <cell r="F920">
            <v>1700</v>
          </cell>
          <cell r="G920">
            <v>1700</v>
          </cell>
          <cell r="H920">
            <v>0</v>
          </cell>
        </row>
        <row r="921">
          <cell r="A921" t="str">
            <v>FISWAUG</v>
          </cell>
          <cell r="B921" t="str">
            <v>EFISH  WAND MAIN SET UPGRADE</v>
          </cell>
          <cell r="C921">
            <v>1434</v>
          </cell>
          <cell r="D921">
            <v>1434</v>
          </cell>
          <cell r="E921">
            <v>1434</v>
          </cell>
          <cell r="F921">
            <v>1434</v>
          </cell>
          <cell r="G921">
            <v>1434</v>
          </cell>
          <cell r="H921">
            <v>0</v>
          </cell>
        </row>
        <row r="922">
          <cell r="A922" t="str">
            <v>FISWCSP</v>
          </cell>
          <cell r="B922" t="str">
            <v>ADAPTOR  SPIRAL CABLE GLAND FOR EFISH WA</v>
          </cell>
          <cell r="C922">
            <v>7.8</v>
          </cell>
          <cell r="D922">
            <v>7.8</v>
          </cell>
          <cell r="E922">
            <v>7.8</v>
          </cell>
          <cell r="F922">
            <v>7.8</v>
          </cell>
          <cell r="G922">
            <v>7.8</v>
          </cell>
          <cell r="H922">
            <v>0</v>
          </cell>
        </row>
        <row r="923">
          <cell r="A923" t="str">
            <v>FISWDC</v>
          </cell>
          <cell r="B923" t="str">
            <v>WATER DETECTOR CIRCUIT</v>
          </cell>
          <cell r="C923">
            <v>240</v>
          </cell>
          <cell r="D923">
            <v>295</v>
          </cell>
          <cell r="E923">
            <v>295</v>
          </cell>
          <cell r="F923">
            <v>295</v>
          </cell>
          <cell r="G923">
            <v>295</v>
          </cell>
          <cell r="H923">
            <v>157.72</v>
          </cell>
        </row>
        <row r="924">
          <cell r="A924" t="str">
            <v>FISWGLA</v>
          </cell>
          <cell r="B924" t="str">
            <v>GLAND M16 SKINTOP SPRIAL GREY BMS16</v>
          </cell>
          <cell r="C924">
            <v>5.5</v>
          </cell>
          <cell r="D924">
            <v>5.5</v>
          </cell>
          <cell r="E924">
            <v>5.5</v>
          </cell>
          <cell r="F924">
            <v>5.5</v>
          </cell>
          <cell r="G924">
            <v>5.5</v>
          </cell>
          <cell r="H924">
            <v>3.15</v>
          </cell>
        </row>
        <row r="925">
          <cell r="A925" t="str">
            <v>FISWGLN</v>
          </cell>
          <cell r="B925" t="str">
            <v>EFISH  WAND GLAND NUT. M16 SKINTOP SPRIA</v>
          </cell>
          <cell r="C925">
            <v>0.45</v>
          </cell>
          <cell r="D925">
            <v>0.45</v>
          </cell>
          <cell r="E925">
            <v>0.45</v>
          </cell>
          <cell r="F925">
            <v>0.45</v>
          </cell>
          <cell r="G925">
            <v>0.45</v>
          </cell>
          <cell r="H925">
            <v>0</v>
          </cell>
        </row>
        <row r="926">
          <cell r="A926" t="str">
            <v>FLASHRU</v>
          </cell>
          <cell r="B926" t="str">
            <v>RUBBER FLASHING DEKTITE SIZE 0-35</v>
          </cell>
          <cell r="C926">
            <v>22</v>
          </cell>
          <cell r="D926">
            <v>22</v>
          </cell>
          <cell r="E926">
            <v>22</v>
          </cell>
          <cell r="F926">
            <v>22</v>
          </cell>
          <cell r="G926">
            <v>22</v>
          </cell>
          <cell r="H926">
            <v>7.95</v>
          </cell>
        </row>
        <row r="927">
          <cell r="A927" t="str">
            <v>FLOAT05</v>
          </cell>
          <cell r="B927" t="str">
            <v>"FLOAT  5"" COPPER"</v>
          </cell>
          <cell r="C927">
            <v>110.25</v>
          </cell>
          <cell r="D927">
            <v>136.5</v>
          </cell>
          <cell r="E927">
            <v>136.5</v>
          </cell>
          <cell r="F927">
            <v>136.5</v>
          </cell>
          <cell r="G927">
            <v>136.5</v>
          </cell>
          <cell r="H927">
            <v>0</v>
          </cell>
        </row>
        <row r="928">
          <cell r="A928" t="str">
            <v>FLOAT10</v>
          </cell>
          <cell r="B928" t="str">
            <v>"FLOAT  10"" FIBREGLASS"</v>
          </cell>
          <cell r="C928">
            <v>200</v>
          </cell>
          <cell r="D928">
            <v>210</v>
          </cell>
          <cell r="E928">
            <v>210</v>
          </cell>
          <cell r="F928">
            <v>210</v>
          </cell>
          <cell r="G928">
            <v>210</v>
          </cell>
          <cell r="H928">
            <v>328.03</v>
          </cell>
        </row>
        <row r="929">
          <cell r="A929" t="str">
            <v>FLOCO10</v>
          </cell>
          <cell r="B929" t="str">
            <v>"COUPLER FOR 10"" FIBREGLASS FLOAT"</v>
          </cell>
          <cell r="C929">
            <v>20</v>
          </cell>
          <cell r="D929">
            <v>20</v>
          </cell>
          <cell r="E929">
            <v>20</v>
          </cell>
          <cell r="F929">
            <v>20</v>
          </cell>
          <cell r="G929">
            <v>20</v>
          </cell>
          <cell r="H929">
            <v>0</v>
          </cell>
        </row>
        <row r="930">
          <cell r="A930" t="str">
            <v>FLOCW05</v>
          </cell>
          <cell r="B930" t="str">
            <v>"LEAD COUNTER WEIGHT FOR 5"" FLOAT"</v>
          </cell>
          <cell r="C930">
            <v>41</v>
          </cell>
          <cell r="D930">
            <v>41</v>
          </cell>
          <cell r="E930">
            <v>41</v>
          </cell>
          <cell r="F930">
            <v>41</v>
          </cell>
          <cell r="G930">
            <v>41</v>
          </cell>
          <cell r="H930">
            <v>0</v>
          </cell>
        </row>
        <row r="931">
          <cell r="A931" t="str">
            <v>FLOCW10</v>
          </cell>
          <cell r="B931" t="str">
            <v>"COUNTER WEIGHT FOR 10"" FIBREGLASS FLOA</v>
          </cell>
          <cell r="C931">
            <v>95</v>
          </cell>
          <cell r="D931">
            <v>116.54</v>
          </cell>
          <cell r="E931">
            <v>116.54</v>
          </cell>
          <cell r="F931">
            <v>116.54</v>
          </cell>
          <cell r="G931">
            <v>116.54</v>
          </cell>
          <cell r="H931">
            <v>88.768000000000001</v>
          </cell>
          <cell r="I931">
            <v>40078</v>
          </cell>
        </row>
        <row r="932">
          <cell r="A932" t="str">
            <v>FLOWE10</v>
          </cell>
          <cell r="B932" t="str">
            <v>"LEAD WEIGHT FOR 10"" FIBREGLASS FLOAT"</v>
          </cell>
          <cell r="C932">
            <v>40</v>
          </cell>
          <cell r="D932">
            <v>40</v>
          </cell>
          <cell r="E932">
            <v>40</v>
          </cell>
          <cell r="F932">
            <v>40</v>
          </cell>
          <cell r="G932">
            <v>40</v>
          </cell>
          <cell r="H932">
            <v>0</v>
          </cell>
        </row>
        <row r="933">
          <cell r="A933" t="str">
            <v>FLOWMATE</v>
          </cell>
          <cell r="B933" t="str">
            <v>MARSH MCBIRNEY FLOWMATE 2000</v>
          </cell>
          <cell r="C933">
            <v>12500</v>
          </cell>
          <cell r="D933">
            <v>12500</v>
          </cell>
          <cell r="E933">
            <v>12500</v>
          </cell>
          <cell r="F933">
            <v>12500</v>
          </cell>
          <cell r="G933">
            <v>12500</v>
          </cell>
          <cell r="H933">
            <v>10002.5</v>
          </cell>
        </row>
        <row r="934">
          <cell r="A934" t="str">
            <v>FOAM-COUCOKA</v>
          </cell>
          <cell r="B934" t="str">
            <v>FOAM BLOCK 80X40X6mm</v>
          </cell>
          <cell r="C934">
            <v>1.5</v>
          </cell>
          <cell r="D934">
            <v>1.5</v>
          </cell>
          <cell r="E934">
            <v>1.5</v>
          </cell>
          <cell r="F934">
            <v>1.5</v>
          </cell>
          <cell r="G934">
            <v>1.5</v>
          </cell>
          <cell r="H934">
            <v>0</v>
          </cell>
        </row>
        <row r="935">
          <cell r="A935" t="str">
            <v>FORADCP</v>
          </cell>
          <cell r="B935" t="str">
            <v>ADCP GAUGING FORM - WATERPROOF</v>
          </cell>
          <cell r="C935">
            <v>0</v>
          </cell>
          <cell r="D935">
            <v>0</v>
          </cell>
          <cell r="E935">
            <v>0</v>
          </cell>
          <cell r="F935">
            <v>0</v>
          </cell>
          <cell r="G935">
            <v>0</v>
          </cell>
          <cell r="H935">
            <v>0</v>
          </cell>
        </row>
        <row r="936">
          <cell r="A936" t="str">
            <v>FOXADAP</v>
          </cell>
          <cell r="B936" t="str">
            <v>FOXBORO TUBE ADAPTER 1/4"NPT - 3/8" TUBE</v>
          </cell>
          <cell r="C936">
            <v>9.1</v>
          </cell>
          <cell r="D936">
            <v>9.1</v>
          </cell>
          <cell r="E936">
            <v>9.1</v>
          </cell>
          <cell r="F936">
            <v>9.1</v>
          </cell>
          <cell r="G936">
            <v>9.1</v>
          </cell>
          <cell r="H936">
            <v>6.9</v>
          </cell>
        </row>
        <row r="937">
          <cell r="A937" t="str">
            <v>FOXARPE</v>
          </cell>
          <cell r="B937" t="str">
            <v>FOXBOROA ARM PEN</v>
          </cell>
          <cell r="C937">
            <v>48.06</v>
          </cell>
          <cell r="D937">
            <v>48.06</v>
          </cell>
          <cell r="E937">
            <v>48.06</v>
          </cell>
          <cell r="F937">
            <v>48.06</v>
          </cell>
          <cell r="G937">
            <v>48.06</v>
          </cell>
          <cell r="H937">
            <v>0</v>
          </cell>
        </row>
        <row r="938">
          <cell r="A938" t="str">
            <v>FOXBRTS</v>
          </cell>
          <cell r="B938" t="str">
            <v>FOXBORO TUBE SUPPORT BRACKET</v>
          </cell>
          <cell r="C938">
            <v>15.36</v>
          </cell>
          <cell r="D938">
            <v>15.36</v>
          </cell>
          <cell r="E938">
            <v>15.36</v>
          </cell>
          <cell r="F938">
            <v>15.36</v>
          </cell>
          <cell r="G938">
            <v>15.36</v>
          </cell>
          <cell r="H938">
            <v>10</v>
          </cell>
        </row>
        <row r="939">
          <cell r="A939" t="str">
            <v>FOXDIFO</v>
          </cell>
          <cell r="B939" t="str">
            <v>FOXBORO RUBBER DIAPHRAM (OVERSEAS)</v>
          </cell>
          <cell r="C939">
            <v>185.85</v>
          </cell>
          <cell r="D939">
            <v>230.1</v>
          </cell>
          <cell r="E939">
            <v>230.1</v>
          </cell>
          <cell r="F939">
            <v>230.1</v>
          </cell>
          <cell r="G939">
            <v>230.1</v>
          </cell>
          <cell r="H939">
            <v>177</v>
          </cell>
          <cell r="I939">
            <v>39883</v>
          </cell>
        </row>
        <row r="940">
          <cell r="A940" t="str">
            <v>FOXDINZ</v>
          </cell>
          <cell r="B940" t="str">
            <v>FOXBORO RUBBER DIAPHRAM (NZ MADE)</v>
          </cell>
          <cell r="C940">
            <v>15</v>
          </cell>
          <cell r="D940">
            <v>15</v>
          </cell>
          <cell r="E940">
            <v>15</v>
          </cell>
          <cell r="F940">
            <v>15</v>
          </cell>
          <cell r="G940">
            <v>15</v>
          </cell>
          <cell r="H940">
            <v>0</v>
          </cell>
        </row>
        <row r="941">
          <cell r="A941" t="str">
            <v>FOXE010</v>
          </cell>
          <cell r="B941" t="str">
            <v>FOXBORO PRESSURE ELEMENT 0-1 METRE</v>
          </cell>
          <cell r="C941">
            <v>1102</v>
          </cell>
          <cell r="D941">
            <v>1102</v>
          </cell>
          <cell r="E941">
            <v>1102</v>
          </cell>
          <cell r="F941">
            <v>1102</v>
          </cell>
          <cell r="G941">
            <v>1102</v>
          </cell>
          <cell r="H941">
            <v>0</v>
          </cell>
        </row>
        <row r="942">
          <cell r="A942" t="str">
            <v>FOXE015</v>
          </cell>
          <cell r="B942" t="str">
            <v>FOXBORO PRESSURE ELEMENT 0-1.5 METRE</v>
          </cell>
          <cell r="C942">
            <v>1108.5</v>
          </cell>
          <cell r="D942">
            <v>1108.5</v>
          </cell>
          <cell r="E942">
            <v>1108.5</v>
          </cell>
          <cell r="F942">
            <v>1108.5</v>
          </cell>
          <cell r="G942">
            <v>1108.5</v>
          </cell>
          <cell r="H942">
            <v>0</v>
          </cell>
        </row>
        <row r="943">
          <cell r="A943" t="str">
            <v>FOXE020</v>
          </cell>
          <cell r="B943" t="str">
            <v>FOXBORO PRESSURE ELEMENT 0-2 METRE</v>
          </cell>
          <cell r="C943">
            <v>1108</v>
          </cell>
          <cell r="D943">
            <v>1108</v>
          </cell>
          <cell r="E943">
            <v>1108</v>
          </cell>
          <cell r="F943">
            <v>1108</v>
          </cell>
          <cell r="G943">
            <v>1108</v>
          </cell>
          <cell r="H943">
            <v>0</v>
          </cell>
        </row>
        <row r="944">
          <cell r="A944" t="str">
            <v>FOXE030</v>
          </cell>
          <cell r="B944" t="str">
            <v>FOXBORO PRESSURE ELEMENT 0-3 METRE</v>
          </cell>
          <cell r="C944">
            <v>1108</v>
          </cell>
          <cell r="D944">
            <v>1108</v>
          </cell>
          <cell r="E944">
            <v>1108</v>
          </cell>
          <cell r="F944">
            <v>1108</v>
          </cell>
          <cell r="G944">
            <v>1108</v>
          </cell>
          <cell r="H944">
            <v>0</v>
          </cell>
        </row>
        <row r="945">
          <cell r="A945" t="str">
            <v>FOXE040</v>
          </cell>
          <cell r="B945" t="str">
            <v>FOXBORO PRESSURE ELEMENT 0-4 METRE</v>
          </cell>
          <cell r="C945">
            <v>1108</v>
          </cell>
          <cell r="D945">
            <v>1108</v>
          </cell>
          <cell r="E945">
            <v>1108</v>
          </cell>
          <cell r="F945">
            <v>1108</v>
          </cell>
          <cell r="G945">
            <v>1108</v>
          </cell>
          <cell r="H945">
            <v>0</v>
          </cell>
        </row>
        <row r="946">
          <cell r="A946" t="str">
            <v>FOXE050</v>
          </cell>
          <cell r="B946" t="str">
            <v>FOXBORO PRESSURE ELEMENT 0-5 METRE</v>
          </cell>
          <cell r="C946">
            <v>1108</v>
          </cell>
          <cell r="D946">
            <v>1108</v>
          </cell>
          <cell r="E946">
            <v>1108</v>
          </cell>
          <cell r="F946">
            <v>1108</v>
          </cell>
          <cell r="G946">
            <v>1108</v>
          </cell>
          <cell r="H946">
            <v>0</v>
          </cell>
        </row>
        <row r="947">
          <cell r="A947" t="str">
            <v>FOXE060</v>
          </cell>
          <cell r="B947" t="str">
            <v>FOXBORO PRESSURE ELEMENT 0-6 METRE</v>
          </cell>
          <cell r="C947">
            <v>1106</v>
          </cell>
          <cell r="D947">
            <v>1106</v>
          </cell>
          <cell r="E947">
            <v>1106</v>
          </cell>
          <cell r="F947">
            <v>1106</v>
          </cell>
          <cell r="G947">
            <v>1106</v>
          </cell>
          <cell r="H947">
            <v>0</v>
          </cell>
        </row>
        <row r="948">
          <cell r="A948" t="str">
            <v>FOXE080</v>
          </cell>
          <cell r="B948" t="str">
            <v>FOXBORO PRESSURE ELEMENT 0-8 METRE</v>
          </cell>
          <cell r="C948">
            <v>1106</v>
          </cell>
          <cell r="D948">
            <v>1106</v>
          </cell>
          <cell r="E948">
            <v>1106</v>
          </cell>
          <cell r="F948">
            <v>1106</v>
          </cell>
          <cell r="G948">
            <v>1106</v>
          </cell>
          <cell r="H948">
            <v>0</v>
          </cell>
        </row>
        <row r="949">
          <cell r="A949" t="str">
            <v>FOXE100</v>
          </cell>
          <cell r="B949" t="str">
            <v>FOXBORO PRESSURE ELEMENT 0-10 METRE</v>
          </cell>
          <cell r="C949">
            <v>1158</v>
          </cell>
          <cell r="D949">
            <v>1158</v>
          </cell>
          <cell r="E949">
            <v>1158</v>
          </cell>
          <cell r="F949">
            <v>1158</v>
          </cell>
          <cell r="G949">
            <v>1158</v>
          </cell>
          <cell r="H949">
            <v>0</v>
          </cell>
        </row>
        <row r="950">
          <cell r="A950" t="str">
            <v>FOXE120</v>
          </cell>
          <cell r="B950" t="str">
            <v>FOXBORO PRESSURE ELEMENT 0-12 METRE</v>
          </cell>
          <cell r="C950">
            <v>1156</v>
          </cell>
          <cell r="D950">
            <v>1156</v>
          </cell>
          <cell r="E950">
            <v>1156</v>
          </cell>
          <cell r="F950">
            <v>1156</v>
          </cell>
          <cell r="G950">
            <v>1156</v>
          </cell>
          <cell r="H950">
            <v>0</v>
          </cell>
        </row>
        <row r="951">
          <cell r="A951" t="str">
            <v>FOXFEDI</v>
          </cell>
          <cell r="B951" t="str">
            <v>FOXBORO  BRASS SWAGELOCK FERRULE</v>
          </cell>
          <cell r="C951">
            <v>1.95</v>
          </cell>
          <cell r="D951">
            <v>2.4</v>
          </cell>
          <cell r="E951">
            <v>2.4</v>
          </cell>
          <cell r="F951">
            <v>2.4</v>
          </cell>
          <cell r="G951">
            <v>2.4</v>
          </cell>
          <cell r="H951">
            <v>1.4</v>
          </cell>
          <cell r="I951">
            <v>39988</v>
          </cell>
        </row>
        <row r="952">
          <cell r="A952" t="str">
            <v>FOXHOPR</v>
          </cell>
          <cell r="B952" t="str">
            <v>FOXBORO  PROTECTIVE HOUSING</v>
          </cell>
          <cell r="C952">
            <v>290</v>
          </cell>
          <cell r="D952">
            <v>290</v>
          </cell>
          <cell r="E952">
            <v>290</v>
          </cell>
          <cell r="F952">
            <v>290</v>
          </cell>
          <cell r="G952">
            <v>290</v>
          </cell>
          <cell r="H952">
            <v>0</v>
          </cell>
        </row>
        <row r="953">
          <cell r="A953" t="str">
            <v>FOXHUCH</v>
          </cell>
          <cell r="B953" t="str">
            <v>FOXBORO  HUB CHART</v>
          </cell>
          <cell r="C953">
            <v>67.28</v>
          </cell>
          <cell r="D953">
            <v>67.28</v>
          </cell>
          <cell r="E953">
            <v>67.28</v>
          </cell>
          <cell r="F953">
            <v>67.28</v>
          </cell>
          <cell r="G953">
            <v>67.28</v>
          </cell>
          <cell r="H953">
            <v>0</v>
          </cell>
        </row>
        <row r="954">
          <cell r="A954" t="str">
            <v>FOXLIAD</v>
          </cell>
          <cell r="B954" t="str">
            <v>FOXBORO  ADJUSTABLE LINK</v>
          </cell>
          <cell r="C954">
            <v>66.760000000000005</v>
          </cell>
          <cell r="D954">
            <v>66.760000000000005</v>
          </cell>
          <cell r="E954">
            <v>66.760000000000005</v>
          </cell>
          <cell r="F954">
            <v>66.760000000000005</v>
          </cell>
          <cell r="G954">
            <v>66.760000000000005</v>
          </cell>
          <cell r="H954">
            <v>0</v>
          </cell>
        </row>
        <row r="955">
          <cell r="A955" t="str">
            <v>FOXMOPE</v>
          </cell>
          <cell r="B955" t="str">
            <v>FOXBORO  MOVEMENT PEN ASSEMBLY</v>
          </cell>
          <cell r="C955">
            <v>218.55</v>
          </cell>
          <cell r="D955">
            <v>218.55</v>
          </cell>
          <cell r="E955">
            <v>218.55</v>
          </cell>
          <cell r="F955">
            <v>218.55</v>
          </cell>
          <cell r="G955">
            <v>218.55</v>
          </cell>
          <cell r="H955">
            <v>0</v>
          </cell>
        </row>
        <row r="956">
          <cell r="A956" t="str">
            <v>FOXPEFE</v>
          </cell>
          <cell r="B956" t="str">
            <v>FOXBORO  FELT PEN</v>
          </cell>
          <cell r="C956">
            <v>81</v>
          </cell>
          <cell r="D956">
            <v>100</v>
          </cell>
          <cell r="E956">
            <v>100</v>
          </cell>
          <cell r="F956">
            <v>100</v>
          </cell>
          <cell r="G956">
            <v>100</v>
          </cell>
          <cell r="H956">
            <v>75.44</v>
          </cell>
          <cell r="I956">
            <v>39988</v>
          </cell>
        </row>
        <row r="957">
          <cell r="A957" t="str">
            <v>FOXPUAD</v>
          </cell>
          <cell r="B957" t="str">
            <v>REDUCER 3/8" TUBE - 1/4" TUBE STUB</v>
          </cell>
          <cell r="C957">
            <v>15</v>
          </cell>
          <cell r="D957">
            <v>15</v>
          </cell>
          <cell r="E957">
            <v>15</v>
          </cell>
          <cell r="F957">
            <v>15</v>
          </cell>
          <cell r="G957">
            <v>15</v>
          </cell>
          <cell r="H957">
            <v>11.324999999999999</v>
          </cell>
        </row>
        <row r="958">
          <cell r="A958" t="str">
            <v>FOXTUPO</v>
          </cell>
          <cell r="B958" t="str">
            <v>POLYTHENE TUBING 9.5mmODx2.75mm</v>
          </cell>
          <cell r="C958">
            <v>1.88</v>
          </cell>
          <cell r="D958">
            <v>2.35</v>
          </cell>
          <cell r="E958">
            <v>2.35</v>
          </cell>
          <cell r="F958">
            <v>2.35</v>
          </cell>
          <cell r="G958">
            <v>2.35</v>
          </cell>
          <cell r="H958">
            <v>1.82</v>
          </cell>
          <cell r="I958">
            <v>39988</v>
          </cell>
        </row>
        <row r="959">
          <cell r="A959" t="str">
            <v>FOXUNSW</v>
          </cell>
          <cell r="B959" t="str">
            <v>FOXBORO  BRASS SWAGELOCK UNION</v>
          </cell>
          <cell r="C959">
            <v>9.1</v>
          </cell>
          <cell r="D959">
            <v>11.5</v>
          </cell>
          <cell r="E959">
            <v>11.5</v>
          </cell>
          <cell r="F959">
            <v>11.5</v>
          </cell>
          <cell r="G959">
            <v>11.5</v>
          </cell>
          <cell r="H959">
            <v>8.75</v>
          </cell>
          <cell r="I959">
            <v>39988</v>
          </cell>
        </row>
        <row r="960">
          <cell r="A960" t="str">
            <v>FPARCON</v>
          </cell>
          <cell r="B960" t="str">
            <v>CONTACT ARM</v>
          </cell>
          <cell r="C960">
            <v>50.25</v>
          </cell>
          <cell r="D960">
            <v>50.25</v>
          </cell>
          <cell r="E960">
            <v>50.25</v>
          </cell>
          <cell r="F960">
            <v>50.25</v>
          </cell>
          <cell r="G960">
            <v>50.25</v>
          </cell>
          <cell r="H960">
            <v>0</v>
          </cell>
        </row>
        <row r="961">
          <cell r="A961" t="str">
            <v>FPBLPUA</v>
          </cell>
          <cell r="B961" t="str">
            <v>PUNCH BLOCK</v>
          </cell>
          <cell r="C961">
            <v>414.21</v>
          </cell>
          <cell r="D961">
            <v>414.21</v>
          </cell>
          <cell r="E961">
            <v>414.21</v>
          </cell>
          <cell r="F961">
            <v>414.21</v>
          </cell>
          <cell r="G961">
            <v>414.21</v>
          </cell>
          <cell r="H961">
            <v>0</v>
          </cell>
        </row>
        <row r="962">
          <cell r="A962" t="str">
            <v>FPBRSS8</v>
          </cell>
          <cell r="B962" t="str">
            <v>BEARING STAINLESS STEEL #S608ZZ</v>
          </cell>
          <cell r="C962">
            <v>35.200000000000003</v>
          </cell>
          <cell r="D962">
            <v>43.55</v>
          </cell>
          <cell r="E962">
            <v>43.55</v>
          </cell>
          <cell r="F962">
            <v>43.55</v>
          </cell>
          <cell r="G962">
            <v>43.55</v>
          </cell>
          <cell r="H962">
            <v>0</v>
          </cell>
          <cell r="I962">
            <v>39884</v>
          </cell>
        </row>
        <row r="963">
          <cell r="A963" t="str">
            <v>FPSWMIB</v>
          </cell>
          <cell r="B963" t="str">
            <v>MICRO SWITCH</v>
          </cell>
          <cell r="C963">
            <v>0</v>
          </cell>
          <cell r="D963">
            <v>0</v>
          </cell>
          <cell r="E963">
            <v>0</v>
          </cell>
          <cell r="F963">
            <v>0</v>
          </cell>
          <cell r="G963">
            <v>0</v>
          </cell>
          <cell r="H963">
            <v>0</v>
          </cell>
        </row>
        <row r="964">
          <cell r="A964" t="str">
            <v>FUELCAR</v>
          </cell>
          <cell r="B964" t="str">
            <v>METHANOL FUEL CARTRIDGE M28</v>
          </cell>
          <cell r="C964">
            <v>1105</v>
          </cell>
          <cell r="D964">
            <v>1105</v>
          </cell>
          <cell r="E964">
            <v>1105</v>
          </cell>
          <cell r="F964">
            <v>1105</v>
          </cell>
          <cell r="G964">
            <v>1105</v>
          </cell>
          <cell r="H964">
            <v>847.63699999999994</v>
          </cell>
          <cell r="I964">
            <v>39984</v>
          </cell>
        </row>
        <row r="965">
          <cell r="A965" t="str">
            <v>FUS20AS</v>
          </cell>
          <cell r="B965" t="str">
            <v>FUSE 20 AMP CERAMIC ANTI SURGE</v>
          </cell>
          <cell r="C965">
            <v>2.95</v>
          </cell>
          <cell r="D965">
            <v>2.95</v>
          </cell>
          <cell r="E965">
            <v>2.95</v>
          </cell>
          <cell r="F965">
            <v>2.95</v>
          </cell>
          <cell r="G965">
            <v>2.95</v>
          </cell>
          <cell r="H965">
            <v>2.2599999999999998</v>
          </cell>
        </row>
        <row r="966">
          <cell r="A966" t="str">
            <v>FUS32AS</v>
          </cell>
          <cell r="B966" t="str">
            <v>FUSE 32 AMP CERAMIC ANTI SURGE</v>
          </cell>
          <cell r="C966">
            <v>4.17</v>
          </cell>
          <cell r="D966">
            <v>5.2</v>
          </cell>
          <cell r="E966">
            <v>5.2</v>
          </cell>
          <cell r="F966">
            <v>5.2</v>
          </cell>
          <cell r="G966">
            <v>5.2</v>
          </cell>
          <cell r="H966">
            <v>3.8</v>
          </cell>
          <cell r="I966">
            <v>39883</v>
          </cell>
        </row>
        <row r="967">
          <cell r="A967" t="str">
            <v>FUSBICP</v>
          </cell>
          <cell r="B967" t="str">
            <v>FUSEBLOCK INSULATED COVER</v>
          </cell>
          <cell r="C967">
            <v>11.5</v>
          </cell>
          <cell r="D967">
            <v>14.25</v>
          </cell>
          <cell r="E967">
            <v>14.25</v>
          </cell>
          <cell r="F967">
            <v>14.25</v>
          </cell>
          <cell r="G967">
            <v>14.25</v>
          </cell>
          <cell r="H967">
            <v>13.07</v>
          </cell>
          <cell r="I967">
            <v>39883</v>
          </cell>
        </row>
        <row r="968">
          <cell r="A968" t="str">
            <v>FUSBL06</v>
          </cell>
          <cell r="B968" t="str">
            <v>FUSE BLOCK  6 WAY</v>
          </cell>
          <cell r="C968">
            <v>23</v>
          </cell>
          <cell r="D968">
            <v>23</v>
          </cell>
          <cell r="E968">
            <v>23</v>
          </cell>
          <cell r="F968">
            <v>23</v>
          </cell>
          <cell r="G968">
            <v>23</v>
          </cell>
          <cell r="H968">
            <v>15.16</v>
          </cell>
        </row>
        <row r="969">
          <cell r="A969" t="str">
            <v>FUSBL08</v>
          </cell>
          <cell r="B969" t="str">
            <v>8 WAY BLADE FUSE BOX</v>
          </cell>
          <cell r="C969">
            <v>21</v>
          </cell>
          <cell r="D969">
            <v>21</v>
          </cell>
          <cell r="E969">
            <v>21</v>
          </cell>
          <cell r="F969">
            <v>21</v>
          </cell>
          <cell r="G969">
            <v>21</v>
          </cell>
          <cell r="H969">
            <v>16.212</v>
          </cell>
        </row>
        <row r="970">
          <cell r="A970" t="str">
            <v>FUSBLOC</v>
          </cell>
          <cell r="B970" t="str">
            <v>FUSE BLOCK  4 X 4 KLIPPON TERMINAL FUSE</v>
          </cell>
          <cell r="C970">
            <v>150</v>
          </cell>
          <cell r="D970">
            <v>150</v>
          </cell>
          <cell r="E970">
            <v>150</v>
          </cell>
          <cell r="F970">
            <v>150</v>
          </cell>
          <cell r="G970">
            <v>150</v>
          </cell>
          <cell r="H970">
            <v>0</v>
          </cell>
        </row>
        <row r="971">
          <cell r="A971" t="str">
            <v>FUSBLUN</v>
          </cell>
          <cell r="B971" t="str">
            <v>FUSE BLOCK   8 WAY</v>
          </cell>
          <cell r="C971">
            <v>51</v>
          </cell>
          <cell r="D971">
            <v>51</v>
          </cell>
          <cell r="E971">
            <v>51</v>
          </cell>
          <cell r="F971">
            <v>51</v>
          </cell>
          <cell r="G971">
            <v>51</v>
          </cell>
          <cell r="H971">
            <v>6.2469999999999999</v>
          </cell>
        </row>
        <row r="972">
          <cell r="A972" t="str">
            <v>FUSE-10AMP632</v>
          </cell>
          <cell r="B972" t="str">
            <v>FUSE  FAST BLOW 10 AMP 6.3 X 32mm</v>
          </cell>
          <cell r="C972">
            <v>0.5</v>
          </cell>
          <cell r="D972">
            <v>0.5</v>
          </cell>
          <cell r="E972">
            <v>0.5</v>
          </cell>
          <cell r="F972">
            <v>0.5</v>
          </cell>
          <cell r="G972">
            <v>0.5</v>
          </cell>
          <cell r="H972">
            <v>0</v>
          </cell>
        </row>
        <row r="973">
          <cell r="A973" t="str">
            <v>FUSE-2AMP632</v>
          </cell>
          <cell r="B973" t="str">
            <v>FUSE  FAST BLOW 2 AMP 6.3 X 32mm</v>
          </cell>
          <cell r="C973">
            <v>0.5</v>
          </cell>
          <cell r="D973">
            <v>0.5</v>
          </cell>
          <cell r="E973">
            <v>0.5</v>
          </cell>
          <cell r="F973">
            <v>0.5</v>
          </cell>
          <cell r="G973">
            <v>0.5</v>
          </cell>
          <cell r="H973">
            <v>0.14299999999999999</v>
          </cell>
        </row>
        <row r="974">
          <cell r="A974" t="str">
            <v>FUSE-BL3A</v>
          </cell>
          <cell r="B974" t="str">
            <v>FUSE, AUTO BLADE 3AMP</v>
          </cell>
          <cell r="C974">
            <v>0.5</v>
          </cell>
          <cell r="D974">
            <v>0.5</v>
          </cell>
          <cell r="E974">
            <v>0.5</v>
          </cell>
          <cell r="F974">
            <v>0.5</v>
          </cell>
          <cell r="G974">
            <v>0.5</v>
          </cell>
          <cell r="H974">
            <v>505</v>
          </cell>
        </row>
        <row r="975">
          <cell r="A975" t="str">
            <v>FUSE-BL5A</v>
          </cell>
          <cell r="B975" t="str">
            <v>FUSE, AUTO BLADE 5A</v>
          </cell>
          <cell r="C975">
            <v>0.5</v>
          </cell>
          <cell r="D975">
            <v>0.5</v>
          </cell>
          <cell r="E975">
            <v>0.5</v>
          </cell>
          <cell r="F975">
            <v>0.5</v>
          </cell>
          <cell r="G975">
            <v>0.5</v>
          </cell>
          <cell r="H975">
            <v>0.51300000000000001</v>
          </cell>
        </row>
        <row r="976">
          <cell r="A976" t="str">
            <v>FUSE-HOLDERU</v>
          </cell>
          <cell r="B976" t="str">
            <v>FUSE HOLDER UTILUX</v>
          </cell>
          <cell r="C976">
            <v>0.35</v>
          </cell>
          <cell r="D976">
            <v>0.35</v>
          </cell>
          <cell r="E976">
            <v>0.35</v>
          </cell>
          <cell r="F976">
            <v>0.35</v>
          </cell>
          <cell r="G976">
            <v>0.35</v>
          </cell>
          <cell r="H976">
            <v>0.159</v>
          </cell>
        </row>
        <row r="977">
          <cell r="A977" t="str">
            <v>FUSH020</v>
          </cell>
          <cell r="B977" t="str">
            <v>FUSE HOLDER 20mm</v>
          </cell>
          <cell r="C977">
            <v>4</v>
          </cell>
          <cell r="D977">
            <v>4</v>
          </cell>
          <cell r="E977">
            <v>4</v>
          </cell>
          <cell r="F977">
            <v>4</v>
          </cell>
          <cell r="G977">
            <v>4</v>
          </cell>
          <cell r="H977">
            <v>0</v>
          </cell>
        </row>
        <row r="978">
          <cell r="A978" t="str">
            <v>FUSH20A</v>
          </cell>
          <cell r="B978" t="str">
            <v>FUSE HOLDER   IN-LINE 20A</v>
          </cell>
          <cell r="C978">
            <v>3.5</v>
          </cell>
          <cell r="D978">
            <v>4.29</v>
          </cell>
          <cell r="E978">
            <v>4.29</v>
          </cell>
          <cell r="F978">
            <v>4.29</v>
          </cell>
          <cell r="G978">
            <v>4.29</v>
          </cell>
          <cell r="H978">
            <v>3.7</v>
          </cell>
          <cell r="I978">
            <v>39988</v>
          </cell>
        </row>
        <row r="979">
          <cell r="A979" t="str">
            <v>FUSTER6</v>
          </cell>
          <cell r="B979" t="str">
            <v>FUSE TERMINAL 6.3A KLI ASK1</v>
          </cell>
          <cell r="C979">
            <v>15</v>
          </cell>
          <cell r="D979">
            <v>15</v>
          </cell>
          <cell r="E979">
            <v>15</v>
          </cell>
          <cell r="F979">
            <v>15</v>
          </cell>
          <cell r="G979">
            <v>15</v>
          </cell>
          <cell r="H979">
            <v>11</v>
          </cell>
        </row>
        <row r="980">
          <cell r="A980" t="str">
            <v>FWS04NC</v>
          </cell>
          <cell r="B980" t="str">
            <v>NON WATER PROOF CARD GAUGING CARDS (PKT</v>
          </cell>
          <cell r="C980">
            <v>10.5</v>
          </cell>
          <cell r="D980">
            <v>10.5</v>
          </cell>
          <cell r="E980">
            <v>10.5</v>
          </cell>
          <cell r="F980">
            <v>10.5</v>
          </cell>
          <cell r="G980">
            <v>10.5</v>
          </cell>
          <cell r="H980">
            <v>4.49</v>
          </cell>
        </row>
        <row r="981">
          <cell r="A981" t="str">
            <v>FWS04NP</v>
          </cell>
          <cell r="B981" t="str">
            <v>NON WATERPROOF PAPER GAUGING CARDS (PKT</v>
          </cell>
          <cell r="C981">
            <v>7.5</v>
          </cell>
          <cell r="D981">
            <v>7.5</v>
          </cell>
          <cell r="E981">
            <v>7.5</v>
          </cell>
          <cell r="F981">
            <v>7.5</v>
          </cell>
          <cell r="G981">
            <v>7.5</v>
          </cell>
          <cell r="H981">
            <v>0</v>
          </cell>
        </row>
        <row r="982">
          <cell r="A982" t="str">
            <v>FWS04WC</v>
          </cell>
          <cell r="B982" t="str">
            <v>WATERPROOF CARD GAUGING CARDS (PKT 25) W</v>
          </cell>
          <cell r="C982">
            <v>13.5</v>
          </cell>
          <cell r="D982">
            <v>13.5</v>
          </cell>
          <cell r="E982">
            <v>13.5</v>
          </cell>
          <cell r="F982">
            <v>13.5</v>
          </cell>
          <cell r="G982">
            <v>13.5</v>
          </cell>
          <cell r="H982">
            <v>10.282</v>
          </cell>
          <cell r="I982">
            <v>40318</v>
          </cell>
        </row>
        <row r="983">
          <cell r="A983" t="str">
            <v>FWS04WP</v>
          </cell>
          <cell r="B983" t="str">
            <v>WATERPROOF PAPER GAUGING CARDS (PKT 25)</v>
          </cell>
          <cell r="C983">
            <v>16.5</v>
          </cell>
          <cell r="D983">
            <v>16.5</v>
          </cell>
          <cell r="E983">
            <v>16.5</v>
          </cell>
          <cell r="F983">
            <v>16.5</v>
          </cell>
          <cell r="G983">
            <v>16.5</v>
          </cell>
          <cell r="H983">
            <v>11</v>
          </cell>
        </row>
        <row r="984">
          <cell r="A984" t="str">
            <v>FWS04WPS</v>
          </cell>
          <cell r="B984" t="str">
            <v>W/PROOF GAUGING CARDS PKT 25 (SOPAC)</v>
          </cell>
          <cell r="C984">
            <v>16.5</v>
          </cell>
          <cell r="D984">
            <v>16.5</v>
          </cell>
          <cell r="E984">
            <v>16.5</v>
          </cell>
          <cell r="F984">
            <v>16.5</v>
          </cell>
          <cell r="G984">
            <v>16.5</v>
          </cell>
          <cell r="H984">
            <v>13.5</v>
          </cell>
        </row>
        <row r="985">
          <cell r="A985" t="str">
            <v>FWS04WPVS</v>
          </cell>
          <cell r="B985" t="str">
            <v>W/PROOF PAPER GAUGING CARDS - VERT</v>
          </cell>
          <cell r="C985">
            <v>19.5</v>
          </cell>
          <cell r="D985">
            <v>19.5</v>
          </cell>
          <cell r="E985">
            <v>19.5</v>
          </cell>
          <cell r="F985">
            <v>19.5</v>
          </cell>
          <cell r="G985">
            <v>19.5</v>
          </cell>
          <cell r="H985">
            <v>16</v>
          </cell>
        </row>
        <row r="986">
          <cell r="A986" t="str">
            <v>FWS068A</v>
          </cell>
          <cell r="B986" t="str">
            <v>FORM WS68A TAPE LABEL</v>
          </cell>
          <cell r="C986">
            <v>1</v>
          </cell>
          <cell r="D986">
            <v>1</v>
          </cell>
          <cell r="E986">
            <v>1</v>
          </cell>
          <cell r="F986">
            <v>1</v>
          </cell>
          <cell r="G986">
            <v>1</v>
          </cell>
          <cell r="H986">
            <v>0</v>
          </cell>
        </row>
        <row r="987">
          <cell r="A987" t="str">
            <v>FWS068C</v>
          </cell>
          <cell r="B987" t="str">
            <v>FORM WS68C TAPE LABEL</v>
          </cell>
          <cell r="C987">
            <v>0.65</v>
          </cell>
          <cell r="D987">
            <v>0.65</v>
          </cell>
          <cell r="E987">
            <v>0.65</v>
          </cell>
          <cell r="F987">
            <v>0.65</v>
          </cell>
          <cell r="G987">
            <v>0.65</v>
          </cell>
          <cell r="H987">
            <v>0</v>
          </cell>
        </row>
        <row r="988">
          <cell r="A988" t="str">
            <v>FWS83RF</v>
          </cell>
          <cell r="B988" t="str">
            <v>LOG BOOK EVENT (RAINFALL) OLD STYLE</v>
          </cell>
          <cell r="C988">
            <v>3.63</v>
          </cell>
          <cell r="D988">
            <v>3.63</v>
          </cell>
          <cell r="E988">
            <v>3.63</v>
          </cell>
          <cell r="F988">
            <v>3.63</v>
          </cell>
          <cell r="G988">
            <v>3.63</v>
          </cell>
          <cell r="H988">
            <v>0</v>
          </cell>
        </row>
        <row r="989">
          <cell r="A989" t="str">
            <v>FWSDP01</v>
          </cell>
          <cell r="B989" t="str">
            <v>"DATA ENVELOPE  ""UNPROCESSED DATA"".(RE</v>
          </cell>
          <cell r="C989">
            <v>30</v>
          </cell>
          <cell r="D989">
            <v>30</v>
          </cell>
          <cell r="E989">
            <v>30</v>
          </cell>
          <cell r="F989">
            <v>30</v>
          </cell>
          <cell r="G989">
            <v>30</v>
          </cell>
          <cell r="H989">
            <v>0</v>
          </cell>
        </row>
        <row r="990">
          <cell r="A990" t="str">
            <v>FWSDP02</v>
          </cell>
          <cell r="B990" t="str">
            <v>"DATA ENVELOPE  ""PROCESSED DATA"".(GREE</v>
          </cell>
          <cell r="C990">
            <v>30</v>
          </cell>
          <cell r="D990">
            <v>30</v>
          </cell>
          <cell r="E990">
            <v>30</v>
          </cell>
          <cell r="F990">
            <v>30</v>
          </cell>
          <cell r="G990">
            <v>30</v>
          </cell>
          <cell r="H990">
            <v>0</v>
          </cell>
        </row>
        <row r="991">
          <cell r="A991" t="str">
            <v>FWSLOBK</v>
          </cell>
          <cell r="B991" t="str">
            <v>LOG BOOK</v>
          </cell>
          <cell r="C991">
            <v>7</v>
          </cell>
          <cell r="D991">
            <v>7.7</v>
          </cell>
          <cell r="E991">
            <v>7.7</v>
          </cell>
          <cell r="F991">
            <v>7.7</v>
          </cell>
          <cell r="G991">
            <v>7.7</v>
          </cell>
          <cell r="H991">
            <v>5.8</v>
          </cell>
          <cell r="I991">
            <v>39988</v>
          </cell>
        </row>
        <row r="992">
          <cell r="A992" t="str">
            <v>FWSUNLB</v>
          </cell>
          <cell r="B992" t="str">
            <v>UNIVERSITY LEVEL BOOK</v>
          </cell>
          <cell r="C992">
            <v>19</v>
          </cell>
          <cell r="D992">
            <v>22</v>
          </cell>
          <cell r="E992">
            <v>22</v>
          </cell>
          <cell r="F992">
            <v>22</v>
          </cell>
          <cell r="G992">
            <v>22</v>
          </cell>
          <cell r="H992">
            <v>17.11</v>
          </cell>
        </row>
        <row r="993">
          <cell r="A993" t="str">
            <v>GASMANI</v>
          </cell>
          <cell r="B993" t="str">
            <v>GAS MANIFOLD  NITROGEN C-W TYPE 50 STEM</v>
          </cell>
          <cell r="C993">
            <v>607</v>
          </cell>
          <cell r="D993">
            <v>607</v>
          </cell>
          <cell r="E993">
            <v>607</v>
          </cell>
          <cell r="F993">
            <v>607</v>
          </cell>
          <cell r="G993">
            <v>607</v>
          </cell>
          <cell r="H993">
            <v>409.53300000000002</v>
          </cell>
          <cell r="I993">
            <v>40355</v>
          </cell>
        </row>
        <row r="994">
          <cell r="A994" t="str">
            <v>GASREG</v>
          </cell>
          <cell r="B994" t="str">
            <v>GAS REGULATOR BOC 8000 TYPE 50 #105107</v>
          </cell>
          <cell r="C994">
            <v>260</v>
          </cell>
          <cell r="D994">
            <v>260</v>
          </cell>
          <cell r="E994">
            <v>260</v>
          </cell>
          <cell r="F994">
            <v>260</v>
          </cell>
          <cell r="G994">
            <v>260</v>
          </cell>
          <cell r="H994">
            <v>198</v>
          </cell>
          <cell r="I994">
            <v>40330</v>
          </cell>
        </row>
        <row r="995">
          <cell r="A995" t="str">
            <v>GASREGC</v>
          </cell>
          <cell r="B995" t="str">
            <v>GAS REGULATOR FOR CO2</v>
          </cell>
          <cell r="C995">
            <v>366</v>
          </cell>
          <cell r="D995">
            <v>366</v>
          </cell>
          <cell r="E995">
            <v>366</v>
          </cell>
          <cell r="F995">
            <v>366</v>
          </cell>
          <cell r="G995">
            <v>366</v>
          </cell>
          <cell r="H995">
            <v>242.93</v>
          </cell>
        </row>
        <row r="996">
          <cell r="A996" t="str">
            <v>GASREGO</v>
          </cell>
          <cell r="B996" t="str">
            <v>GAS REGULATOR OXYGEN</v>
          </cell>
          <cell r="C996">
            <v>160</v>
          </cell>
          <cell r="D996">
            <v>160</v>
          </cell>
          <cell r="E996">
            <v>160</v>
          </cell>
          <cell r="F996">
            <v>160</v>
          </cell>
          <cell r="G996">
            <v>160</v>
          </cell>
          <cell r="H996">
            <v>105.99</v>
          </cell>
        </row>
        <row r="997">
          <cell r="A997" t="str">
            <v>GASSPAN</v>
          </cell>
          <cell r="B997" t="str">
            <v>GAS REGULATOR SPANNER</v>
          </cell>
          <cell r="C997">
            <v>17</v>
          </cell>
          <cell r="D997">
            <v>17</v>
          </cell>
          <cell r="E997">
            <v>17</v>
          </cell>
          <cell r="F997">
            <v>17</v>
          </cell>
          <cell r="G997">
            <v>17</v>
          </cell>
          <cell r="H997">
            <v>0</v>
          </cell>
        </row>
        <row r="998">
          <cell r="A998" t="str">
            <v>GASTUBE</v>
          </cell>
          <cell r="B998" t="str">
            <v>GAS TUBING  POLYTHENE  9.2mmOD X 3.25mmI</v>
          </cell>
          <cell r="C998">
            <v>3</v>
          </cell>
          <cell r="D998">
            <v>3</v>
          </cell>
          <cell r="E998">
            <v>3</v>
          </cell>
          <cell r="F998">
            <v>3</v>
          </cell>
          <cell r="G998">
            <v>3</v>
          </cell>
          <cell r="H998">
            <v>0</v>
          </cell>
        </row>
        <row r="999">
          <cell r="A999" t="str">
            <v>GAUCRAN</v>
          </cell>
          <cell r="B999" t="str">
            <v>GAUGING CRANE</v>
          </cell>
          <cell r="C999">
            <v>2320.65</v>
          </cell>
          <cell r="D999">
            <v>2650</v>
          </cell>
          <cell r="E999">
            <v>2650</v>
          </cell>
          <cell r="F999">
            <v>2650</v>
          </cell>
          <cell r="G999">
            <v>2650</v>
          </cell>
          <cell r="H999">
            <v>2210.143</v>
          </cell>
          <cell r="I999">
            <v>39988</v>
          </cell>
        </row>
        <row r="1000">
          <cell r="A1000" t="str">
            <v>GENAERO</v>
          </cell>
          <cell r="B1000" t="str">
            <v>AERO4GEN 12V GENERATOR FOR</v>
          </cell>
          <cell r="C1000">
            <v>1650</v>
          </cell>
          <cell r="D1000">
            <v>1995</v>
          </cell>
          <cell r="E1000">
            <v>1995</v>
          </cell>
          <cell r="F1000">
            <v>1995</v>
          </cell>
          <cell r="G1000">
            <v>1995</v>
          </cell>
          <cell r="H1000">
            <v>1550.65</v>
          </cell>
        </row>
        <row r="1001">
          <cell r="A1001" t="str">
            <v>GLACL20</v>
          </cell>
          <cell r="B1001" t="str">
            <v>GLAND  CLIPSAL 20mm</v>
          </cell>
          <cell r="C1001">
            <v>4.1500000000000004</v>
          </cell>
          <cell r="D1001">
            <v>5.15</v>
          </cell>
          <cell r="E1001">
            <v>5.15</v>
          </cell>
          <cell r="F1001">
            <v>5.15</v>
          </cell>
          <cell r="G1001">
            <v>5.15</v>
          </cell>
          <cell r="H1001">
            <v>4.4249999999999998</v>
          </cell>
          <cell r="I1001">
            <v>39883</v>
          </cell>
        </row>
        <row r="1002">
          <cell r="A1002" t="str">
            <v>GLACL32</v>
          </cell>
          <cell r="B1002" t="str">
            <v>GLAND  CLIPSAL 32mm</v>
          </cell>
          <cell r="C1002">
            <v>27</v>
          </cell>
          <cell r="D1002">
            <v>27</v>
          </cell>
          <cell r="E1002">
            <v>27</v>
          </cell>
          <cell r="F1002">
            <v>27</v>
          </cell>
          <cell r="G1002">
            <v>27</v>
          </cell>
          <cell r="H1002">
            <v>23.8</v>
          </cell>
          <cell r="I1002">
            <v>40344</v>
          </cell>
        </row>
        <row r="1003">
          <cell r="A1003" t="str">
            <v>GLAGR16</v>
          </cell>
          <cell r="B1003" t="str">
            <v>GLAND  GRIPPA 16mm</v>
          </cell>
          <cell r="C1003">
            <v>4</v>
          </cell>
          <cell r="D1003">
            <v>4</v>
          </cell>
          <cell r="E1003">
            <v>4</v>
          </cell>
          <cell r="F1003">
            <v>4</v>
          </cell>
          <cell r="G1003">
            <v>4</v>
          </cell>
          <cell r="H1003">
            <v>2.012</v>
          </cell>
        </row>
        <row r="1004">
          <cell r="A1004" t="str">
            <v>GLAGR20</v>
          </cell>
          <cell r="B1004" t="str">
            <v>GLAND  GRIPPA 20mm</v>
          </cell>
          <cell r="C1004">
            <v>4.2</v>
          </cell>
          <cell r="D1004">
            <v>4.2</v>
          </cell>
          <cell r="E1004">
            <v>4.2</v>
          </cell>
          <cell r="F1004">
            <v>4.2</v>
          </cell>
          <cell r="G1004">
            <v>4.2</v>
          </cell>
          <cell r="H1004">
            <v>2.65</v>
          </cell>
        </row>
        <row r="1005">
          <cell r="A1005" t="str">
            <v>GLAGR32</v>
          </cell>
          <cell r="B1005" t="str">
            <v>GLAND  GRIPPA 32mm</v>
          </cell>
          <cell r="C1005">
            <v>11.28</v>
          </cell>
          <cell r="D1005">
            <v>11.28</v>
          </cell>
          <cell r="E1005">
            <v>11.28</v>
          </cell>
          <cell r="F1005">
            <v>11.28</v>
          </cell>
          <cell r="G1005">
            <v>11.28</v>
          </cell>
          <cell r="H1005">
            <v>1.81</v>
          </cell>
        </row>
        <row r="1006">
          <cell r="A1006" t="str">
            <v>GLAGR50</v>
          </cell>
          <cell r="B1006" t="str">
            <v>GLAND  GRIPPA 50mm</v>
          </cell>
          <cell r="C1006">
            <v>34</v>
          </cell>
          <cell r="D1006">
            <v>34</v>
          </cell>
          <cell r="E1006">
            <v>34</v>
          </cell>
          <cell r="F1006">
            <v>34</v>
          </cell>
          <cell r="G1006">
            <v>34</v>
          </cell>
          <cell r="H1006">
            <v>16.489999999999998</v>
          </cell>
        </row>
        <row r="1007">
          <cell r="A1007" t="str">
            <v>GLANP40</v>
          </cell>
          <cell r="B1007" t="str">
            <v>GLAND  CLIPSAL 40mm</v>
          </cell>
          <cell r="C1007">
            <v>34</v>
          </cell>
          <cell r="D1007">
            <v>34</v>
          </cell>
          <cell r="E1007">
            <v>34</v>
          </cell>
          <cell r="F1007">
            <v>34</v>
          </cell>
          <cell r="G1007">
            <v>34</v>
          </cell>
          <cell r="H1007">
            <v>9.3699999999999992</v>
          </cell>
        </row>
        <row r="1008">
          <cell r="A1008" t="str">
            <v>GLIN3205</v>
          </cell>
          <cell r="B1008" t="str">
            <v>CABLE GLAND INSERT  32mm  5mm HOLE</v>
          </cell>
          <cell r="C1008">
            <v>4</v>
          </cell>
          <cell r="D1008">
            <v>4</v>
          </cell>
          <cell r="E1008">
            <v>4</v>
          </cell>
          <cell r="F1008">
            <v>4</v>
          </cell>
          <cell r="G1008">
            <v>4</v>
          </cell>
          <cell r="H1008">
            <v>0</v>
          </cell>
        </row>
        <row r="1009">
          <cell r="A1009" t="str">
            <v>GLIN3257</v>
          </cell>
          <cell r="B1009" t="str">
            <v>CABLE GLAND INSERT  32mm  5 &amp; 7mm HOLES</v>
          </cell>
          <cell r="C1009">
            <v>3.15</v>
          </cell>
          <cell r="D1009">
            <v>3.9</v>
          </cell>
          <cell r="E1009">
            <v>3.9</v>
          </cell>
          <cell r="F1009">
            <v>3.9</v>
          </cell>
          <cell r="G1009">
            <v>3.9</v>
          </cell>
          <cell r="H1009">
            <v>3.0419999999999998</v>
          </cell>
          <cell r="I1009">
            <v>39883</v>
          </cell>
        </row>
        <row r="1010">
          <cell r="A1010" t="str">
            <v>GLIN4088</v>
          </cell>
          <cell r="B1010" t="str">
            <v>CABLE GLAND INSERT  40mm  2 x 8mm HOLES</v>
          </cell>
          <cell r="C1010">
            <v>4</v>
          </cell>
          <cell r="D1010">
            <v>4</v>
          </cell>
          <cell r="E1010">
            <v>4</v>
          </cell>
          <cell r="F1010">
            <v>4</v>
          </cell>
          <cell r="G1010">
            <v>4</v>
          </cell>
          <cell r="H1010">
            <v>2.65</v>
          </cell>
        </row>
        <row r="1011">
          <cell r="A1011" t="str">
            <v>GLIN5008</v>
          </cell>
          <cell r="B1011" t="str">
            <v>CABLE GLAND INSERT  50mm  8mm HOLE</v>
          </cell>
          <cell r="C1011">
            <v>45</v>
          </cell>
          <cell r="D1011">
            <v>45</v>
          </cell>
          <cell r="E1011">
            <v>45</v>
          </cell>
          <cell r="F1011">
            <v>45</v>
          </cell>
          <cell r="G1011">
            <v>45</v>
          </cell>
          <cell r="H1011">
            <v>9.83</v>
          </cell>
        </row>
        <row r="1012">
          <cell r="A1012" t="str">
            <v>GLIN5012</v>
          </cell>
          <cell r="B1012" t="str">
            <v>CABLE GLAND INSERT  50mm  12mm HOLE</v>
          </cell>
          <cell r="C1012">
            <v>45</v>
          </cell>
          <cell r="D1012">
            <v>45</v>
          </cell>
          <cell r="E1012">
            <v>45</v>
          </cell>
          <cell r="F1012">
            <v>45</v>
          </cell>
          <cell r="G1012">
            <v>45</v>
          </cell>
          <cell r="H1012">
            <v>0</v>
          </cell>
        </row>
        <row r="1013">
          <cell r="A1013" t="str">
            <v>GLIN5088</v>
          </cell>
          <cell r="B1013" t="str">
            <v>CABLE GLAND INSERT  50mm  2 x 8mm HOLES</v>
          </cell>
          <cell r="C1013">
            <v>4.5</v>
          </cell>
          <cell r="D1013">
            <v>4.5</v>
          </cell>
          <cell r="E1013">
            <v>4.5</v>
          </cell>
          <cell r="F1013">
            <v>4.5</v>
          </cell>
          <cell r="G1013">
            <v>4.5</v>
          </cell>
          <cell r="H1013">
            <v>0</v>
          </cell>
        </row>
        <row r="1014">
          <cell r="A1014" t="str">
            <v>GPAD40</v>
          </cell>
          <cell r="B1014" t="str">
            <v>GALV PIPE ADAPTER, 40mm BSP FEMALE</v>
          </cell>
          <cell r="C1014">
            <v>145</v>
          </cell>
          <cell r="D1014">
            <v>145</v>
          </cell>
          <cell r="E1014">
            <v>145</v>
          </cell>
          <cell r="F1014">
            <v>145</v>
          </cell>
          <cell r="G1014">
            <v>145</v>
          </cell>
          <cell r="H1014">
            <v>12</v>
          </cell>
        </row>
        <row r="1015">
          <cell r="A1015" t="str">
            <v>GPBE9040</v>
          </cell>
          <cell r="B1015" t="str">
            <v>GALV PIPE BEND, 40mm, 90 DEGREE</v>
          </cell>
          <cell r="C1015">
            <v>22</v>
          </cell>
          <cell r="D1015">
            <v>22</v>
          </cell>
          <cell r="E1015">
            <v>22</v>
          </cell>
          <cell r="F1015">
            <v>22</v>
          </cell>
          <cell r="G1015">
            <v>22</v>
          </cell>
          <cell r="H1015">
            <v>17</v>
          </cell>
        </row>
        <row r="1016">
          <cell r="A1016" t="str">
            <v>GPBN50</v>
          </cell>
          <cell r="B1016" t="str">
            <v>GALV PIPE BARREL NIPPLE 50x50mm</v>
          </cell>
          <cell r="C1016">
            <v>14</v>
          </cell>
          <cell r="D1016">
            <v>14</v>
          </cell>
          <cell r="E1016">
            <v>14</v>
          </cell>
          <cell r="F1016">
            <v>14</v>
          </cell>
          <cell r="G1016">
            <v>14</v>
          </cell>
          <cell r="H1016">
            <v>6.33</v>
          </cell>
        </row>
        <row r="1017">
          <cell r="A1017" t="str">
            <v>GPEMF25</v>
          </cell>
          <cell r="B1017" t="str">
            <v>GALV ELBOW MALE TO FEMALE 25mm</v>
          </cell>
          <cell r="C1017">
            <v>5.65</v>
          </cell>
          <cell r="D1017">
            <v>7</v>
          </cell>
          <cell r="E1017">
            <v>7</v>
          </cell>
          <cell r="F1017">
            <v>7</v>
          </cell>
          <cell r="G1017">
            <v>7</v>
          </cell>
          <cell r="H1017">
            <v>15</v>
          </cell>
          <cell r="I1017">
            <v>39988</v>
          </cell>
        </row>
        <row r="1018">
          <cell r="A1018" t="str">
            <v>GPRE2520</v>
          </cell>
          <cell r="B1018" t="str">
            <v>GALV PIPE REDUCING SOCKET 25-20mm</v>
          </cell>
          <cell r="C1018">
            <v>4.6100000000000003</v>
          </cell>
          <cell r="D1018">
            <v>5.7</v>
          </cell>
          <cell r="E1018">
            <v>5.7</v>
          </cell>
          <cell r="F1018">
            <v>5.7</v>
          </cell>
          <cell r="G1018">
            <v>5.7</v>
          </cell>
          <cell r="H1018">
            <v>15</v>
          </cell>
          <cell r="I1018">
            <v>39988</v>
          </cell>
        </row>
        <row r="1019">
          <cell r="A1019" t="str">
            <v>GPRE5040</v>
          </cell>
          <cell r="B1019" t="str">
            <v>GALV PIPE REDUCING SOCKET 50-40mm</v>
          </cell>
          <cell r="C1019">
            <v>12</v>
          </cell>
          <cell r="D1019">
            <v>12</v>
          </cell>
          <cell r="E1019">
            <v>12</v>
          </cell>
          <cell r="F1019">
            <v>12</v>
          </cell>
          <cell r="G1019">
            <v>12</v>
          </cell>
          <cell r="H1019">
            <v>9</v>
          </cell>
        </row>
        <row r="1020">
          <cell r="A1020" t="str">
            <v>GPS040</v>
          </cell>
          <cell r="B1020" t="str">
            <v>GALV PIPE SOCKET, 40mm BSP</v>
          </cell>
          <cell r="C1020">
            <v>8</v>
          </cell>
          <cell r="D1020">
            <v>8</v>
          </cell>
          <cell r="E1020">
            <v>8</v>
          </cell>
          <cell r="F1020">
            <v>8</v>
          </cell>
          <cell r="G1020">
            <v>8</v>
          </cell>
          <cell r="H1020">
            <v>6</v>
          </cell>
        </row>
        <row r="1021">
          <cell r="A1021" t="str">
            <v>GPSNOV</v>
          </cell>
          <cell r="B1021" t="str">
            <v>GPS, NOVATEL SMART-V1 ANTENNA</v>
          </cell>
          <cell r="C1021">
            <v>5160</v>
          </cell>
          <cell r="D1021">
            <v>5650</v>
          </cell>
          <cell r="E1021">
            <v>5650</v>
          </cell>
          <cell r="F1021">
            <v>5650</v>
          </cell>
          <cell r="G1021">
            <v>5650</v>
          </cell>
          <cell r="H1021">
            <v>4912.8370000000004</v>
          </cell>
        </row>
        <row r="1022">
          <cell r="A1022" t="str">
            <v>GPTH401000</v>
          </cell>
          <cell r="B1022" t="str">
            <v>GALV PIPE 40mm, BSP THREADED BOTH</v>
          </cell>
          <cell r="C1022">
            <v>45</v>
          </cell>
          <cell r="D1022">
            <v>45</v>
          </cell>
          <cell r="E1022">
            <v>45</v>
          </cell>
          <cell r="F1022">
            <v>45</v>
          </cell>
          <cell r="G1022">
            <v>45</v>
          </cell>
          <cell r="H1022">
            <v>35</v>
          </cell>
        </row>
        <row r="1023">
          <cell r="A1023" t="str">
            <v>GPTH401200</v>
          </cell>
          <cell r="B1023" t="str">
            <v>GALV PIPE 40mm, BSP THREADED BOTH</v>
          </cell>
          <cell r="C1023">
            <v>50</v>
          </cell>
          <cell r="D1023">
            <v>50</v>
          </cell>
          <cell r="E1023">
            <v>50</v>
          </cell>
          <cell r="F1023">
            <v>50</v>
          </cell>
          <cell r="G1023">
            <v>50</v>
          </cell>
          <cell r="H1023">
            <v>40</v>
          </cell>
        </row>
        <row r="1024">
          <cell r="A1024" t="str">
            <v>GPTH40750</v>
          </cell>
          <cell r="B1024" t="str">
            <v>GALV PIPE 40mm, THREADED BSP BOTH</v>
          </cell>
          <cell r="C1024">
            <v>40</v>
          </cell>
          <cell r="D1024">
            <v>40</v>
          </cell>
          <cell r="E1024">
            <v>40</v>
          </cell>
          <cell r="F1024">
            <v>40</v>
          </cell>
          <cell r="G1024">
            <v>40</v>
          </cell>
          <cell r="H1024">
            <v>30</v>
          </cell>
        </row>
        <row r="1025">
          <cell r="A1025" t="str">
            <v>GREATIP</v>
          </cell>
          <cell r="B1025" t="str">
            <v>GREENSPAN AMMONIUM TIP (NH4) FOR SONDE S</v>
          </cell>
          <cell r="C1025">
            <v>325</v>
          </cell>
          <cell r="D1025">
            <v>325</v>
          </cell>
          <cell r="E1025">
            <v>325</v>
          </cell>
          <cell r="F1025">
            <v>325</v>
          </cell>
          <cell r="G1025">
            <v>325</v>
          </cell>
          <cell r="H1025">
            <v>0</v>
          </cell>
        </row>
        <row r="1026">
          <cell r="A1026" t="str">
            <v>GREBSPB</v>
          </cell>
          <cell r="B1026" t="str">
            <v>"1_4"" BSP BRASS PRESSURE FITTING WITH O</v>
          </cell>
          <cell r="C1026">
            <v>120</v>
          </cell>
          <cell r="D1026">
            <v>120</v>
          </cell>
          <cell r="E1026">
            <v>120</v>
          </cell>
          <cell r="F1026">
            <v>120</v>
          </cell>
          <cell r="G1026">
            <v>120</v>
          </cell>
          <cell r="H1026">
            <v>0</v>
          </cell>
        </row>
        <row r="1027">
          <cell r="A1027" t="str">
            <v>GRECABA</v>
          </cell>
          <cell r="B1027" t="str">
            <v>CABLE  BATTERY PACK TO PC COMMS</v>
          </cell>
          <cell r="C1027">
            <v>78</v>
          </cell>
          <cell r="D1027">
            <v>78</v>
          </cell>
          <cell r="E1027">
            <v>78</v>
          </cell>
          <cell r="F1027">
            <v>78</v>
          </cell>
          <cell r="G1027">
            <v>78</v>
          </cell>
          <cell r="H1027">
            <v>0</v>
          </cell>
        </row>
        <row r="1028">
          <cell r="A1028" t="str">
            <v>GRECABC</v>
          </cell>
          <cell r="B1028" t="str">
            <v>CABLE  SMART SENSOR COMMS 18 pin</v>
          </cell>
          <cell r="C1028">
            <v>68.040000000000006</v>
          </cell>
          <cell r="D1028">
            <v>84.24</v>
          </cell>
          <cell r="E1028">
            <v>84.24</v>
          </cell>
          <cell r="F1028">
            <v>84.24</v>
          </cell>
          <cell r="G1028">
            <v>84.24</v>
          </cell>
          <cell r="H1028">
            <v>53.316000000000003</v>
          </cell>
          <cell r="I1028">
            <v>39883</v>
          </cell>
        </row>
        <row r="1029">
          <cell r="A1029" t="str">
            <v>GRECABC7</v>
          </cell>
          <cell r="B1029" t="str">
            <v>SMART SENSOR COMMS CABLE 7 PIN</v>
          </cell>
          <cell r="C1029">
            <v>77</v>
          </cell>
          <cell r="D1029">
            <v>95</v>
          </cell>
          <cell r="E1029">
            <v>95</v>
          </cell>
          <cell r="F1029">
            <v>95</v>
          </cell>
          <cell r="G1029">
            <v>95</v>
          </cell>
          <cell r="H1029">
            <v>72.662999999999997</v>
          </cell>
          <cell r="I1029">
            <v>39883</v>
          </cell>
        </row>
        <row r="1030">
          <cell r="A1030" t="str">
            <v>GRECABD</v>
          </cell>
          <cell r="B1030" t="str">
            <v>CABLE  GREENSPAN SENSORS DO EC PH &amp; TS</v>
          </cell>
          <cell r="C1030">
            <v>9</v>
          </cell>
          <cell r="D1030">
            <v>9</v>
          </cell>
          <cell r="E1030">
            <v>9</v>
          </cell>
          <cell r="F1030">
            <v>9</v>
          </cell>
          <cell r="G1030">
            <v>9</v>
          </cell>
          <cell r="H1030">
            <v>0</v>
          </cell>
        </row>
        <row r="1031">
          <cell r="A1031" t="str">
            <v>GRECABE</v>
          </cell>
          <cell r="B1031" t="str">
            <v>CABLE  EXTERNAL MODEM 1M 4 PIN MALE</v>
          </cell>
          <cell r="C1031">
            <v>78</v>
          </cell>
          <cell r="D1031">
            <v>78</v>
          </cell>
          <cell r="E1031">
            <v>78</v>
          </cell>
          <cell r="F1031">
            <v>78</v>
          </cell>
          <cell r="G1031">
            <v>78</v>
          </cell>
          <cell r="H1031">
            <v>0</v>
          </cell>
        </row>
        <row r="1032">
          <cell r="A1032" t="str">
            <v>GRECABM</v>
          </cell>
          <cell r="B1032" t="str">
            <v>CABLE  MODEM COMMS 9 PIN FEMALE DB9 MALE</v>
          </cell>
          <cell r="C1032">
            <v>78</v>
          </cell>
          <cell r="D1032">
            <v>78</v>
          </cell>
          <cell r="E1032">
            <v>78</v>
          </cell>
          <cell r="F1032">
            <v>78</v>
          </cell>
          <cell r="G1032">
            <v>78</v>
          </cell>
          <cell r="H1032">
            <v>0</v>
          </cell>
        </row>
        <row r="1033">
          <cell r="A1033" t="str">
            <v>GRECABP</v>
          </cell>
          <cell r="B1033" t="str">
            <v>CABLE  SENSOR INTERFACE POWER</v>
          </cell>
          <cell r="C1033">
            <v>78</v>
          </cell>
          <cell r="D1033">
            <v>78</v>
          </cell>
          <cell r="E1033">
            <v>78</v>
          </cell>
          <cell r="F1033">
            <v>78</v>
          </cell>
          <cell r="G1033">
            <v>78</v>
          </cell>
          <cell r="H1033">
            <v>0</v>
          </cell>
        </row>
        <row r="1034">
          <cell r="A1034" t="str">
            <v>GRECABR</v>
          </cell>
          <cell r="B1034" t="str">
            <v>CABLE  COMMS RS232 9 PIN MALE DB9 FEMALE</v>
          </cell>
          <cell r="C1034">
            <v>83</v>
          </cell>
          <cell r="D1034">
            <v>103</v>
          </cell>
          <cell r="E1034">
            <v>103</v>
          </cell>
          <cell r="F1034">
            <v>103</v>
          </cell>
          <cell r="G1034">
            <v>103</v>
          </cell>
          <cell r="H1034">
            <v>0</v>
          </cell>
          <cell r="I1034">
            <v>39883</v>
          </cell>
        </row>
        <row r="1035">
          <cell r="A1035" t="str">
            <v>GRECABS</v>
          </cell>
          <cell r="B1035" t="str">
            <v>CABLE  GREENSPAN PS200 &amp; 300 SENSORS</v>
          </cell>
          <cell r="C1035">
            <v>21</v>
          </cell>
          <cell r="D1035">
            <v>28</v>
          </cell>
          <cell r="E1035">
            <v>28</v>
          </cell>
          <cell r="F1035">
            <v>28</v>
          </cell>
          <cell r="G1035">
            <v>28</v>
          </cell>
          <cell r="H1035">
            <v>0</v>
          </cell>
          <cell r="I1035">
            <v>39763</v>
          </cell>
        </row>
        <row r="1036">
          <cell r="A1036" t="str">
            <v>GRECAVS</v>
          </cell>
          <cell r="B1036" t="str">
            <v>CLOSED AIR VENTING SYSTEM</v>
          </cell>
          <cell r="C1036">
            <v>82</v>
          </cell>
          <cell r="D1036">
            <v>82</v>
          </cell>
          <cell r="E1036">
            <v>82</v>
          </cell>
          <cell r="F1036">
            <v>82</v>
          </cell>
          <cell r="G1036">
            <v>82</v>
          </cell>
          <cell r="H1036">
            <v>75.715000000000003</v>
          </cell>
        </row>
        <row r="1037">
          <cell r="A1037" t="str">
            <v>GRECS304</v>
          </cell>
          <cell r="B1037" t="str">
            <v>GREENSPAN CS304 SONDE</v>
          </cell>
          <cell r="C1037">
            <v>7015</v>
          </cell>
          <cell r="D1037">
            <v>7015</v>
          </cell>
          <cell r="E1037">
            <v>7015</v>
          </cell>
          <cell r="F1037">
            <v>7015</v>
          </cell>
          <cell r="G1037">
            <v>7015</v>
          </cell>
          <cell r="H1037">
            <v>5395.3519999999999</v>
          </cell>
          <cell r="I1037">
            <v>40210</v>
          </cell>
        </row>
        <row r="1038">
          <cell r="A1038" t="str">
            <v>GREDO1200</v>
          </cell>
          <cell r="B1038" t="str">
            <v>GREENSPAN DO1200 DISSOLVED OXYGEN SENSOR</v>
          </cell>
          <cell r="C1038">
            <v>2850</v>
          </cell>
          <cell r="D1038">
            <v>2850</v>
          </cell>
          <cell r="E1038">
            <v>2850</v>
          </cell>
          <cell r="F1038">
            <v>2850</v>
          </cell>
          <cell r="G1038">
            <v>2850</v>
          </cell>
          <cell r="H1038">
            <v>0</v>
          </cell>
        </row>
        <row r="1039">
          <cell r="A1039" t="str">
            <v>GREDO300</v>
          </cell>
          <cell r="B1039" t="str">
            <v>GREENSPAN DO300 DISSOLVED OXYGEN SENSOR</v>
          </cell>
          <cell r="C1039">
            <v>1850</v>
          </cell>
          <cell r="D1039">
            <v>2395</v>
          </cell>
          <cell r="E1039">
            <v>2395</v>
          </cell>
          <cell r="F1039">
            <v>2395</v>
          </cell>
          <cell r="G1039">
            <v>2395</v>
          </cell>
          <cell r="H1039">
            <v>1744.1859999999999</v>
          </cell>
        </row>
        <row r="1040">
          <cell r="A1040" t="str">
            <v>GREDO3000</v>
          </cell>
          <cell r="B1040" t="str">
            <v>GREENSPAN DO3000 DO SENSOR</v>
          </cell>
          <cell r="C1040">
            <v>4200</v>
          </cell>
          <cell r="D1040">
            <v>4995</v>
          </cell>
          <cell r="E1040">
            <v>4995</v>
          </cell>
          <cell r="F1040">
            <v>4995</v>
          </cell>
          <cell r="G1040">
            <v>4995</v>
          </cell>
          <cell r="H1040">
            <v>4188.1059999999998</v>
          </cell>
        </row>
        <row r="1041">
          <cell r="A1041" t="str">
            <v>GREDOCE</v>
          </cell>
          <cell r="B1041" t="str">
            <v>DO CELL FOR DO SENSORS #070-0084</v>
          </cell>
          <cell r="C1041">
            <v>370</v>
          </cell>
          <cell r="D1041">
            <v>370</v>
          </cell>
          <cell r="E1041">
            <v>370</v>
          </cell>
          <cell r="F1041">
            <v>370</v>
          </cell>
          <cell r="G1041">
            <v>370</v>
          </cell>
          <cell r="H1041">
            <v>207.24799999999999</v>
          </cell>
        </row>
        <row r="1042">
          <cell r="A1042" t="str">
            <v>GREDODM</v>
          </cell>
          <cell r="B1042" t="str">
            <v>DO SENSOR DIFFUSION ROD +</v>
          </cell>
          <cell r="C1042">
            <v>145</v>
          </cell>
          <cell r="D1042">
            <v>180</v>
          </cell>
          <cell r="E1042">
            <v>180</v>
          </cell>
          <cell r="F1042">
            <v>180</v>
          </cell>
          <cell r="G1042">
            <v>180</v>
          </cell>
          <cell r="H1042">
            <v>110.29300000000001</v>
          </cell>
          <cell r="I1042">
            <v>39883</v>
          </cell>
        </row>
        <row r="1043">
          <cell r="A1043" t="str">
            <v>GREDOR1</v>
          </cell>
          <cell r="B1043" t="str">
            <v>GREENSPAN DO ROD (SONDE OLD DESIGN)</v>
          </cell>
          <cell r="C1043">
            <v>219.45</v>
          </cell>
          <cell r="D1043">
            <v>271.7</v>
          </cell>
          <cell r="E1043">
            <v>271.7</v>
          </cell>
          <cell r="F1043">
            <v>271.7</v>
          </cell>
          <cell r="G1043">
            <v>271.7</v>
          </cell>
          <cell r="H1043">
            <v>148.03399999999999</v>
          </cell>
        </row>
        <row r="1044">
          <cell r="A1044" t="str">
            <v>GREDOR2</v>
          </cell>
          <cell r="B1044" t="str">
            <v>GREENSPAN DO ROD (DO100 &amp; 300 LONG SHROU</v>
          </cell>
          <cell r="C1044">
            <v>260</v>
          </cell>
          <cell r="D1044">
            <v>260</v>
          </cell>
          <cell r="E1044">
            <v>260</v>
          </cell>
          <cell r="F1044">
            <v>260</v>
          </cell>
          <cell r="G1044">
            <v>260</v>
          </cell>
          <cell r="H1044">
            <v>201.06899999999999</v>
          </cell>
        </row>
        <row r="1045">
          <cell r="A1045" t="str">
            <v>GREDOR3</v>
          </cell>
          <cell r="B1045" t="str">
            <v>GREENSPAN DO ROD (MINISONDE)</v>
          </cell>
          <cell r="C1045">
            <v>176</v>
          </cell>
          <cell r="D1045">
            <v>218</v>
          </cell>
          <cell r="E1045">
            <v>218</v>
          </cell>
          <cell r="F1045">
            <v>218</v>
          </cell>
          <cell r="G1045">
            <v>218</v>
          </cell>
          <cell r="H1045">
            <v>173.81899999999999</v>
          </cell>
          <cell r="I1045">
            <v>39883</v>
          </cell>
        </row>
        <row r="1046">
          <cell r="A1046" t="str">
            <v>GREDOR4</v>
          </cell>
          <cell r="B1046" t="str">
            <v>GREENSPAN DO ROD (SD300 &amp; CS302 SHORT SH</v>
          </cell>
          <cell r="C1046">
            <v>240</v>
          </cell>
          <cell r="D1046">
            <v>240</v>
          </cell>
          <cell r="E1046">
            <v>240</v>
          </cell>
          <cell r="F1046">
            <v>240</v>
          </cell>
          <cell r="G1046">
            <v>240</v>
          </cell>
          <cell r="H1046">
            <v>0</v>
          </cell>
        </row>
        <row r="1047">
          <cell r="A1047" t="str">
            <v>GREEC1200</v>
          </cell>
          <cell r="B1047" t="str">
            <v>GREENSPAN EC1200 CONDUCTIVITY SENSOR</v>
          </cell>
          <cell r="C1047">
            <v>3295</v>
          </cell>
          <cell r="D1047">
            <v>3950</v>
          </cell>
          <cell r="E1047">
            <v>3950</v>
          </cell>
          <cell r="F1047">
            <v>3950</v>
          </cell>
          <cell r="G1047">
            <v>3950</v>
          </cell>
          <cell r="H1047">
            <v>3101.8029999999999</v>
          </cell>
          <cell r="I1047">
            <v>39763</v>
          </cell>
        </row>
        <row r="1048">
          <cell r="A1048" t="str">
            <v>GREEC250</v>
          </cell>
          <cell r="B1048" t="str">
            <v>GREENSPAN EC250 CONDUCTIVITY SENSOR</v>
          </cell>
          <cell r="C1048">
            <v>2395</v>
          </cell>
          <cell r="D1048">
            <v>2955</v>
          </cell>
          <cell r="E1048">
            <v>2955</v>
          </cell>
          <cell r="F1048">
            <v>2955</v>
          </cell>
          <cell r="G1048">
            <v>2955</v>
          </cell>
          <cell r="H1048">
            <v>2272.0929999999998</v>
          </cell>
          <cell r="I1048">
            <v>39763</v>
          </cell>
        </row>
        <row r="1049">
          <cell r="A1049" t="str">
            <v>GREGL32</v>
          </cell>
          <cell r="B1049" t="str">
            <v>GREENSPAN END CAP AND GLAND ASSEMBLY 32M</v>
          </cell>
          <cell r="C1049">
            <v>99</v>
          </cell>
          <cell r="D1049">
            <v>99</v>
          </cell>
          <cell r="E1049">
            <v>99</v>
          </cell>
          <cell r="F1049">
            <v>99</v>
          </cell>
          <cell r="G1049">
            <v>99</v>
          </cell>
          <cell r="H1049">
            <v>0</v>
          </cell>
        </row>
        <row r="1050">
          <cell r="A1050" t="str">
            <v>GREGL45</v>
          </cell>
          <cell r="B1050" t="str">
            <v>GREENSPAN END CAP AND GLAND ASSEMBLY 45M</v>
          </cell>
          <cell r="C1050">
            <v>135</v>
          </cell>
          <cell r="D1050">
            <v>135</v>
          </cell>
          <cell r="E1050">
            <v>135</v>
          </cell>
          <cell r="F1050">
            <v>135</v>
          </cell>
          <cell r="G1050">
            <v>135</v>
          </cell>
          <cell r="H1050">
            <v>0</v>
          </cell>
        </row>
        <row r="1051">
          <cell r="A1051" t="str">
            <v>GREHE02</v>
          </cell>
          <cell r="B1051" t="str">
            <v>GREENSPAN TRANSDUCER HEAD 2.5m RANGE</v>
          </cell>
          <cell r="C1051">
            <v>487</v>
          </cell>
          <cell r="D1051">
            <v>487</v>
          </cell>
          <cell r="E1051">
            <v>487</v>
          </cell>
          <cell r="F1051">
            <v>487</v>
          </cell>
          <cell r="G1051">
            <v>487</v>
          </cell>
          <cell r="H1051">
            <v>0</v>
          </cell>
        </row>
        <row r="1052">
          <cell r="A1052" t="str">
            <v>GREHE05</v>
          </cell>
          <cell r="B1052" t="str">
            <v>GREENSPAN TRANSDUCER HEAD 5m RANGE</v>
          </cell>
          <cell r="C1052">
            <v>487</v>
          </cell>
          <cell r="D1052">
            <v>487</v>
          </cell>
          <cell r="E1052">
            <v>487</v>
          </cell>
          <cell r="F1052">
            <v>487</v>
          </cell>
          <cell r="G1052">
            <v>487</v>
          </cell>
          <cell r="H1052">
            <v>0</v>
          </cell>
        </row>
        <row r="1053">
          <cell r="A1053" t="str">
            <v>GREHE10</v>
          </cell>
          <cell r="B1053" t="str">
            <v>GREENSPAN TRANSDUCER HEAD 10m RANGE</v>
          </cell>
          <cell r="C1053">
            <v>341.25</v>
          </cell>
          <cell r="D1053">
            <v>422.5</v>
          </cell>
          <cell r="E1053">
            <v>422.5</v>
          </cell>
          <cell r="F1053">
            <v>422.5</v>
          </cell>
          <cell r="G1053">
            <v>422.5</v>
          </cell>
          <cell r="H1053">
            <v>0</v>
          </cell>
          <cell r="I1053">
            <v>39883</v>
          </cell>
        </row>
        <row r="1054">
          <cell r="A1054" t="str">
            <v>GREINBOX</v>
          </cell>
          <cell r="B1054" t="str">
            <v>GREENSPAN INTERFACE BOX SA200</v>
          </cell>
          <cell r="C1054">
            <v>325</v>
          </cell>
          <cell r="D1054">
            <v>325</v>
          </cell>
          <cell r="E1054">
            <v>325</v>
          </cell>
          <cell r="F1054">
            <v>325</v>
          </cell>
          <cell r="G1054">
            <v>325</v>
          </cell>
          <cell r="H1054">
            <v>0</v>
          </cell>
        </row>
        <row r="1055">
          <cell r="A1055" t="str">
            <v>GREPCBD</v>
          </cell>
          <cell r="B1055" t="str">
            <v>PCB  GREENSPAN DO SENSOR</v>
          </cell>
          <cell r="C1055">
            <v>195</v>
          </cell>
          <cell r="D1055">
            <v>195</v>
          </cell>
          <cell r="E1055">
            <v>195</v>
          </cell>
          <cell r="F1055">
            <v>195</v>
          </cell>
          <cell r="G1055">
            <v>195</v>
          </cell>
          <cell r="H1055">
            <v>0</v>
          </cell>
        </row>
        <row r="1056">
          <cell r="A1056" t="str">
            <v>GREPCBE</v>
          </cell>
          <cell r="B1056" t="str">
            <v>PCB  GREENSPAN EC SENSOR</v>
          </cell>
          <cell r="C1056">
            <v>250</v>
          </cell>
          <cell r="D1056">
            <v>250</v>
          </cell>
          <cell r="E1056">
            <v>250</v>
          </cell>
          <cell r="F1056">
            <v>250</v>
          </cell>
          <cell r="G1056">
            <v>250</v>
          </cell>
          <cell r="H1056">
            <v>0</v>
          </cell>
        </row>
        <row r="1057">
          <cell r="A1057" t="str">
            <v>GREPCBED</v>
          </cell>
          <cell r="B1057" t="str">
            <v>PCB  GREENSPAN EC SENSOR (DIGITAL)</v>
          </cell>
          <cell r="C1057">
            <v>320</v>
          </cell>
          <cell r="D1057">
            <v>320</v>
          </cell>
          <cell r="E1057">
            <v>320</v>
          </cell>
          <cell r="F1057">
            <v>320</v>
          </cell>
          <cell r="G1057">
            <v>320</v>
          </cell>
          <cell r="H1057">
            <v>0</v>
          </cell>
        </row>
        <row r="1058">
          <cell r="A1058" t="str">
            <v>GREPCBP</v>
          </cell>
          <cell r="B1058" t="str">
            <v>PCB  GREENSPAN pH SENSOR</v>
          </cell>
          <cell r="C1058">
            <v>250</v>
          </cell>
          <cell r="D1058">
            <v>250</v>
          </cell>
          <cell r="E1058">
            <v>250</v>
          </cell>
          <cell r="F1058">
            <v>250</v>
          </cell>
          <cell r="G1058">
            <v>250</v>
          </cell>
          <cell r="H1058">
            <v>0</v>
          </cell>
        </row>
        <row r="1059">
          <cell r="A1059" t="str">
            <v>GREPCBPP</v>
          </cell>
          <cell r="B1059" t="str">
            <v>PCB  GREENSPAN pH SENSOR WITH POWER BOAR</v>
          </cell>
          <cell r="C1059">
            <v>195</v>
          </cell>
          <cell r="D1059">
            <v>195</v>
          </cell>
          <cell r="E1059">
            <v>195</v>
          </cell>
          <cell r="F1059">
            <v>195</v>
          </cell>
          <cell r="G1059">
            <v>195</v>
          </cell>
          <cell r="H1059">
            <v>0</v>
          </cell>
        </row>
        <row r="1060">
          <cell r="A1060" t="str">
            <v>GREPCBPS</v>
          </cell>
          <cell r="B1060" t="str">
            <v>PCB  GREENSPAN PRESSURE SENSOR</v>
          </cell>
          <cell r="C1060">
            <v>250</v>
          </cell>
          <cell r="D1060">
            <v>250</v>
          </cell>
          <cell r="E1060">
            <v>250</v>
          </cell>
          <cell r="F1060">
            <v>250</v>
          </cell>
          <cell r="G1060">
            <v>250</v>
          </cell>
          <cell r="H1060">
            <v>0</v>
          </cell>
        </row>
        <row r="1061">
          <cell r="A1061" t="str">
            <v>GREPCBS</v>
          </cell>
          <cell r="B1061" t="str">
            <v>PCB  GREENSPAN SMART SENSOR</v>
          </cell>
          <cell r="C1061">
            <v>625</v>
          </cell>
          <cell r="D1061">
            <v>625</v>
          </cell>
          <cell r="E1061">
            <v>625</v>
          </cell>
          <cell r="F1061">
            <v>625</v>
          </cell>
          <cell r="G1061">
            <v>625</v>
          </cell>
          <cell r="H1061">
            <v>0</v>
          </cell>
        </row>
        <row r="1062">
          <cell r="A1062" t="str">
            <v>GREPCBTB</v>
          </cell>
          <cell r="B1062" t="str">
            <v>PCB  GREENSPAN TURBIDITY SENSOR</v>
          </cell>
          <cell r="C1062">
            <v>334</v>
          </cell>
          <cell r="D1062">
            <v>334</v>
          </cell>
          <cell r="E1062">
            <v>334</v>
          </cell>
          <cell r="F1062">
            <v>334</v>
          </cell>
          <cell r="G1062">
            <v>334</v>
          </cell>
          <cell r="H1062">
            <v>0</v>
          </cell>
        </row>
        <row r="1063">
          <cell r="A1063" t="str">
            <v>GREPH100</v>
          </cell>
          <cell r="B1063" t="str">
            <v>GREENSPAN PH100 PH SENSOR</v>
          </cell>
          <cell r="C1063">
            <v>1183.33</v>
          </cell>
          <cell r="D1063">
            <v>1538</v>
          </cell>
          <cell r="E1063">
            <v>1538</v>
          </cell>
          <cell r="F1063">
            <v>1538</v>
          </cell>
          <cell r="G1063">
            <v>1538</v>
          </cell>
          <cell r="H1063">
            <v>0</v>
          </cell>
          <cell r="I1063">
            <v>39763</v>
          </cell>
        </row>
        <row r="1064">
          <cell r="A1064" t="str">
            <v>GREPH1200</v>
          </cell>
          <cell r="B1064" t="str">
            <v>GREENSPAN PH1200 PH SENSOR</v>
          </cell>
          <cell r="C1064">
            <v>1987</v>
          </cell>
          <cell r="D1064">
            <v>2460</v>
          </cell>
          <cell r="E1064">
            <v>2460</v>
          </cell>
          <cell r="F1064">
            <v>2460</v>
          </cell>
          <cell r="G1064">
            <v>2460</v>
          </cell>
          <cell r="H1064">
            <v>1764.692</v>
          </cell>
          <cell r="I1064">
            <v>39883</v>
          </cell>
        </row>
        <row r="1065">
          <cell r="A1065" t="str">
            <v>GREPH300</v>
          </cell>
          <cell r="B1065" t="str">
            <v>GREENSPAN PH300 PH SENSOR</v>
          </cell>
          <cell r="C1065">
            <v>0</v>
          </cell>
          <cell r="D1065">
            <v>0</v>
          </cell>
          <cell r="E1065">
            <v>0</v>
          </cell>
          <cell r="F1065">
            <v>0</v>
          </cell>
          <cell r="G1065">
            <v>0</v>
          </cell>
          <cell r="H1065">
            <v>0</v>
          </cell>
        </row>
        <row r="1066">
          <cell r="A1066" t="str">
            <v>GREPHBS</v>
          </cell>
          <cell r="B1066" t="str">
            <v>GREENSPAN  SONDE pH BULB</v>
          </cell>
          <cell r="C1066">
            <v>217</v>
          </cell>
          <cell r="D1066">
            <v>217</v>
          </cell>
          <cell r="E1066">
            <v>217</v>
          </cell>
          <cell r="F1066">
            <v>217</v>
          </cell>
          <cell r="G1066">
            <v>217</v>
          </cell>
          <cell r="H1066">
            <v>0</v>
          </cell>
        </row>
        <row r="1067">
          <cell r="A1067" t="str">
            <v>GREPHBULB</v>
          </cell>
          <cell r="B1067" t="str">
            <v>GREENSPAN  pH100 SENSOR BULB</v>
          </cell>
          <cell r="C1067">
            <v>204.75</v>
          </cell>
          <cell r="D1067">
            <v>253.5</v>
          </cell>
          <cell r="E1067">
            <v>253.5</v>
          </cell>
          <cell r="F1067">
            <v>253.5</v>
          </cell>
          <cell r="G1067">
            <v>253.5</v>
          </cell>
          <cell r="H1067">
            <v>0</v>
          </cell>
          <cell r="I1067">
            <v>39883</v>
          </cell>
        </row>
        <row r="1068">
          <cell r="A1068" t="str">
            <v>GREPS100</v>
          </cell>
          <cell r="B1068" t="str">
            <v>GREENSPAN PS100 PRESSURE SENSOR</v>
          </cell>
          <cell r="C1068">
            <v>3100</v>
          </cell>
          <cell r="D1068">
            <v>3550</v>
          </cell>
          <cell r="E1068">
            <v>3550</v>
          </cell>
          <cell r="F1068">
            <v>3550</v>
          </cell>
          <cell r="G1068">
            <v>3550</v>
          </cell>
          <cell r="H1068">
            <v>2948.7979999999998</v>
          </cell>
        </row>
        <row r="1069">
          <cell r="A1069" t="str">
            <v>GREPS1000</v>
          </cell>
          <cell r="B1069" t="str">
            <v>GREENSPAN PS1000 PRESSURE SENSOR</v>
          </cell>
          <cell r="C1069">
            <v>1950</v>
          </cell>
          <cell r="D1069">
            <v>2450</v>
          </cell>
          <cell r="E1069">
            <v>2450</v>
          </cell>
          <cell r="F1069">
            <v>2450</v>
          </cell>
          <cell r="G1069">
            <v>2450</v>
          </cell>
          <cell r="H1069">
            <v>3041.2730000000001</v>
          </cell>
          <cell r="I1069">
            <v>39763</v>
          </cell>
        </row>
        <row r="1070">
          <cell r="A1070" t="str">
            <v>GREPS1200</v>
          </cell>
          <cell r="B1070" t="str">
            <v>GREENSPAN PS1200 PRESSURE SENSOR</v>
          </cell>
          <cell r="C1070">
            <v>2249.4</v>
          </cell>
          <cell r="D1070">
            <v>2249.4</v>
          </cell>
          <cell r="E1070">
            <v>2924</v>
          </cell>
          <cell r="F1070">
            <v>2924</v>
          </cell>
          <cell r="G1070">
            <v>2924</v>
          </cell>
          <cell r="H1070">
            <v>2202.9450000000002</v>
          </cell>
          <cell r="I1070">
            <v>39763</v>
          </cell>
        </row>
        <row r="1071">
          <cell r="A1071" t="str">
            <v>GREPS210</v>
          </cell>
          <cell r="B1071" t="str">
            <v>GREENSPAN PS210 PRESSURE SENSOR</v>
          </cell>
          <cell r="C1071">
            <v>2200</v>
          </cell>
          <cell r="D1071">
            <v>2750</v>
          </cell>
          <cell r="E1071">
            <v>2750</v>
          </cell>
          <cell r="F1071">
            <v>2750</v>
          </cell>
          <cell r="G1071">
            <v>2750</v>
          </cell>
          <cell r="H1071">
            <v>2085.3319999999999</v>
          </cell>
        </row>
        <row r="1072">
          <cell r="A1072" t="str">
            <v>GREPS2100</v>
          </cell>
          <cell r="B1072" t="str">
            <v>GREENSPAN PS2100 PRESSURE SENSOR</v>
          </cell>
          <cell r="C1072">
            <v>2995</v>
          </cell>
          <cell r="D1072">
            <v>2995</v>
          </cell>
          <cell r="E1072">
            <v>2995</v>
          </cell>
          <cell r="F1072">
            <v>2995</v>
          </cell>
          <cell r="G1072">
            <v>2995</v>
          </cell>
          <cell r="H1072">
            <v>2363.0810000000001</v>
          </cell>
        </row>
        <row r="1073">
          <cell r="A1073" t="str">
            <v>GREPS3000</v>
          </cell>
          <cell r="B1073" t="str">
            <v>GREENSPAN PS3000 PRESSURE SENSOR</v>
          </cell>
          <cell r="C1073">
            <v>2650</v>
          </cell>
          <cell r="D1073">
            <v>3250</v>
          </cell>
          <cell r="E1073">
            <v>3250</v>
          </cell>
          <cell r="F1073">
            <v>3250</v>
          </cell>
          <cell r="G1073">
            <v>3250</v>
          </cell>
          <cell r="H1073">
            <v>2491.86</v>
          </cell>
        </row>
        <row r="1074">
          <cell r="A1074" t="str">
            <v>GREPS310</v>
          </cell>
          <cell r="B1074" t="str">
            <v>GREENSPAN PS310 PRESSURE SENSOR</v>
          </cell>
          <cell r="C1074">
            <v>0</v>
          </cell>
          <cell r="D1074">
            <v>0</v>
          </cell>
          <cell r="E1074">
            <v>0</v>
          </cell>
          <cell r="F1074">
            <v>0</v>
          </cell>
          <cell r="G1074">
            <v>0</v>
          </cell>
          <cell r="H1074">
            <v>0</v>
          </cell>
        </row>
        <row r="1075">
          <cell r="A1075" t="str">
            <v>GREPS3100</v>
          </cell>
          <cell r="B1075" t="str">
            <v>GREENSPAN PS3100 PRESSURE SENSOR</v>
          </cell>
          <cell r="C1075">
            <v>3595</v>
          </cell>
          <cell r="D1075">
            <v>4395</v>
          </cell>
          <cell r="E1075">
            <v>4395</v>
          </cell>
          <cell r="F1075">
            <v>4395</v>
          </cell>
          <cell r="G1075">
            <v>4395</v>
          </cell>
          <cell r="H1075">
            <v>3416.6320000000001</v>
          </cell>
        </row>
        <row r="1076">
          <cell r="A1076" t="str">
            <v>GREPS7000</v>
          </cell>
          <cell r="B1076" t="str">
            <v>GREENSPAN PS7000 PRESSURE SENSOR</v>
          </cell>
          <cell r="C1076">
            <v>1600</v>
          </cell>
          <cell r="D1076">
            <v>1995</v>
          </cell>
          <cell r="E1076">
            <v>1995</v>
          </cell>
          <cell r="F1076">
            <v>1995</v>
          </cell>
          <cell r="G1076">
            <v>1995</v>
          </cell>
          <cell r="H1076">
            <v>1502.222</v>
          </cell>
        </row>
        <row r="1077">
          <cell r="A1077" t="str">
            <v>GREPSPI</v>
          </cell>
          <cell r="B1077" t="str">
            <v>GREENSPAN PIC</v>
          </cell>
          <cell r="C1077">
            <v>610</v>
          </cell>
          <cell r="D1077">
            <v>610</v>
          </cell>
          <cell r="E1077">
            <v>610</v>
          </cell>
          <cell r="F1077">
            <v>610</v>
          </cell>
          <cell r="G1077">
            <v>610</v>
          </cell>
          <cell r="H1077">
            <v>0</v>
          </cell>
        </row>
        <row r="1078">
          <cell r="A1078" t="str">
            <v>GRETS100</v>
          </cell>
          <cell r="B1078" t="str">
            <v>GREENSPAN TS100 TURBIDITY SENSOR</v>
          </cell>
          <cell r="C1078">
            <v>1924</v>
          </cell>
          <cell r="D1078">
            <v>1924</v>
          </cell>
          <cell r="E1078">
            <v>2501</v>
          </cell>
          <cell r="F1078">
            <v>2501</v>
          </cell>
          <cell r="G1078">
            <v>2501</v>
          </cell>
          <cell r="H1078">
            <v>1801.8440000000001</v>
          </cell>
          <cell r="I1078">
            <v>39763</v>
          </cell>
        </row>
        <row r="1079">
          <cell r="A1079" t="str">
            <v>GRETS1000</v>
          </cell>
          <cell r="B1079" t="str">
            <v>GREENSPAN TS1000 TURBIDITY SENSOR</v>
          </cell>
          <cell r="C1079">
            <v>3195</v>
          </cell>
          <cell r="D1079">
            <v>3895</v>
          </cell>
          <cell r="E1079">
            <v>3895</v>
          </cell>
          <cell r="F1079">
            <v>3895</v>
          </cell>
          <cell r="G1079">
            <v>3895</v>
          </cell>
          <cell r="H1079">
            <v>2969.636</v>
          </cell>
        </row>
        <row r="1080">
          <cell r="A1080" t="str">
            <v>GRETS1200</v>
          </cell>
          <cell r="B1080" t="str">
            <v>GREENSPAN TS1200 TURBIDITY SENSOR</v>
          </cell>
          <cell r="C1080">
            <v>3095</v>
          </cell>
          <cell r="D1080">
            <v>3775</v>
          </cell>
          <cell r="E1080">
            <v>3775</v>
          </cell>
          <cell r="F1080">
            <v>3775</v>
          </cell>
          <cell r="G1080">
            <v>3775</v>
          </cell>
          <cell r="H1080">
            <v>2900.634</v>
          </cell>
          <cell r="I1080">
            <v>39763</v>
          </cell>
        </row>
        <row r="1081">
          <cell r="A1081" t="str">
            <v>GRETS300</v>
          </cell>
          <cell r="B1081" t="str">
            <v>GREENSPAN TS300 TURBIDITY SENSOR</v>
          </cell>
          <cell r="C1081">
            <v>4450</v>
          </cell>
          <cell r="D1081">
            <v>5450</v>
          </cell>
          <cell r="E1081">
            <v>5450</v>
          </cell>
          <cell r="F1081">
            <v>5450</v>
          </cell>
          <cell r="G1081">
            <v>5450</v>
          </cell>
          <cell r="H1081">
            <v>4080.14</v>
          </cell>
          <cell r="I1081">
            <v>39763</v>
          </cell>
        </row>
        <row r="1082">
          <cell r="A1082" t="str">
            <v>GRETS3000</v>
          </cell>
          <cell r="B1082" t="str">
            <v>GREENSPAN TS3000 TURBIDITY SENSOR</v>
          </cell>
          <cell r="C1082">
            <v>3643</v>
          </cell>
          <cell r="D1082">
            <v>4740</v>
          </cell>
          <cell r="E1082">
            <v>4740</v>
          </cell>
          <cell r="F1082">
            <v>4740</v>
          </cell>
          <cell r="G1082">
            <v>4740</v>
          </cell>
          <cell r="H1082">
            <v>3780.1680000000001</v>
          </cell>
          <cell r="I1082">
            <v>40084</v>
          </cell>
        </row>
        <row r="1083">
          <cell r="A1083" t="str">
            <v>GRETSHE</v>
          </cell>
          <cell r="B1083" t="str">
            <v>GREENSPAN TURBIDITY SENSOR HEAD</v>
          </cell>
          <cell r="C1083">
            <v>180</v>
          </cell>
          <cell r="D1083">
            <v>180</v>
          </cell>
          <cell r="E1083">
            <v>180</v>
          </cell>
          <cell r="F1083">
            <v>180</v>
          </cell>
          <cell r="G1083">
            <v>180</v>
          </cell>
          <cell r="H1083">
            <v>139.535</v>
          </cell>
        </row>
        <row r="1084">
          <cell r="A1084" t="str">
            <v>GRETURB</v>
          </cell>
          <cell r="B1084" t="str">
            <v>GREENSPAN TURBIDITY PUMP BRACKET</v>
          </cell>
          <cell r="C1084">
            <v>400</v>
          </cell>
          <cell r="D1084">
            <v>400</v>
          </cell>
          <cell r="E1084">
            <v>400</v>
          </cell>
          <cell r="F1084">
            <v>400</v>
          </cell>
          <cell r="G1084">
            <v>400</v>
          </cell>
          <cell r="H1084">
            <v>262.791</v>
          </cell>
        </row>
        <row r="1085">
          <cell r="A1085" t="str">
            <v>GRETURP</v>
          </cell>
          <cell r="B1085" t="str">
            <v>GREENSPAN TURBIDITY LENS CLEANING PUMP</v>
          </cell>
          <cell r="C1085">
            <v>895</v>
          </cell>
          <cell r="D1085">
            <v>895</v>
          </cell>
          <cell r="E1085">
            <v>895</v>
          </cell>
          <cell r="F1085">
            <v>895</v>
          </cell>
          <cell r="G1085">
            <v>895</v>
          </cell>
          <cell r="H1085">
            <v>789.69100000000003</v>
          </cell>
        </row>
        <row r="1086">
          <cell r="A1086" t="str">
            <v>GURBEBW</v>
          </cell>
          <cell r="B1086" t="str">
            <v>GURLEY  BUCKET WHEEL BEARING</v>
          </cell>
          <cell r="C1086">
            <v>95.36</v>
          </cell>
          <cell r="D1086">
            <v>118.06</v>
          </cell>
          <cell r="E1086">
            <v>118.06</v>
          </cell>
          <cell r="F1086">
            <v>118.06</v>
          </cell>
          <cell r="G1086">
            <v>118.06</v>
          </cell>
          <cell r="H1086">
            <v>68.150999999999996</v>
          </cell>
        </row>
        <row r="1087">
          <cell r="A1087" t="str">
            <v>GURBOX</v>
          </cell>
          <cell r="B1087" t="str">
            <v>GURLEY BOX</v>
          </cell>
          <cell r="C1087">
            <v>100</v>
          </cell>
          <cell r="D1087">
            <v>100</v>
          </cell>
          <cell r="E1087">
            <v>100</v>
          </cell>
          <cell r="F1087">
            <v>100</v>
          </cell>
          <cell r="G1087">
            <v>100</v>
          </cell>
          <cell r="H1087">
            <v>0</v>
          </cell>
        </row>
        <row r="1088">
          <cell r="A1088" t="str">
            <v>GURBPBI</v>
          </cell>
          <cell r="B1088" t="str">
            <v>GURLEY BINDING POST BUSH</v>
          </cell>
          <cell r="C1088">
            <v>52.38</v>
          </cell>
          <cell r="D1088">
            <v>52.38</v>
          </cell>
          <cell r="E1088">
            <v>52.38</v>
          </cell>
          <cell r="F1088">
            <v>52.38</v>
          </cell>
          <cell r="G1088">
            <v>52.38</v>
          </cell>
          <cell r="H1088">
            <v>24.242000000000001</v>
          </cell>
        </row>
        <row r="1089">
          <cell r="A1089" t="str">
            <v>GURBRCL</v>
          </cell>
          <cell r="B1089" t="str">
            <v>GURLEY  LOWER CUP BEARING</v>
          </cell>
          <cell r="C1089">
            <v>45.51</v>
          </cell>
          <cell r="D1089">
            <v>45.51</v>
          </cell>
          <cell r="E1089">
            <v>45.51</v>
          </cell>
          <cell r="F1089">
            <v>45.51</v>
          </cell>
          <cell r="G1089">
            <v>45.51</v>
          </cell>
          <cell r="H1089">
            <v>0</v>
          </cell>
        </row>
        <row r="1090">
          <cell r="A1090" t="str">
            <v>GURBUWH</v>
          </cell>
          <cell r="B1090" t="str">
            <v>GURELY  BUCKET WHEEL.</v>
          </cell>
          <cell r="C1090">
            <v>586.29999999999995</v>
          </cell>
          <cell r="D1090">
            <v>586.29999999999995</v>
          </cell>
          <cell r="E1090">
            <v>586.29999999999995</v>
          </cell>
          <cell r="F1090">
            <v>586.29999999999995</v>
          </cell>
          <cell r="G1090">
            <v>586.29999999999995</v>
          </cell>
          <cell r="H1090">
            <v>95</v>
          </cell>
        </row>
        <row r="1091">
          <cell r="A1091" t="str">
            <v>GURCACO</v>
          </cell>
          <cell r="B1091" t="str">
            <v>GURELY  CONTACT CHAMBER CAP</v>
          </cell>
          <cell r="C1091">
            <v>62.1</v>
          </cell>
          <cell r="D1091">
            <v>62.1</v>
          </cell>
          <cell r="E1091">
            <v>62.1</v>
          </cell>
          <cell r="F1091">
            <v>62.1</v>
          </cell>
          <cell r="G1091">
            <v>62.1</v>
          </cell>
          <cell r="H1091">
            <v>0</v>
          </cell>
        </row>
        <row r="1092">
          <cell r="A1092" t="str">
            <v>GURCHCN</v>
          </cell>
          <cell r="B1092" t="str">
            <v>GURLEY  CONTACT CHAMBER ASSY (NEW NZ REE</v>
          </cell>
          <cell r="C1092">
            <v>231.23</v>
          </cell>
          <cell r="D1092">
            <v>231.23</v>
          </cell>
          <cell r="E1092">
            <v>231.23</v>
          </cell>
          <cell r="F1092">
            <v>231.23</v>
          </cell>
          <cell r="G1092">
            <v>231.23</v>
          </cell>
          <cell r="H1092">
            <v>0</v>
          </cell>
        </row>
        <row r="1093">
          <cell r="A1093" t="str">
            <v>GURCHNZ</v>
          </cell>
          <cell r="B1093" t="str">
            <v>GURLEY  CONTACT CHAMBER (NZ MADE)</v>
          </cell>
          <cell r="C1093">
            <v>55</v>
          </cell>
          <cell r="D1093">
            <v>55</v>
          </cell>
          <cell r="E1093">
            <v>55</v>
          </cell>
          <cell r="F1093">
            <v>55</v>
          </cell>
          <cell r="G1093">
            <v>55</v>
          </cell>
          <cell r="H1093">
            <v>0</v>
          </cell>
        </row>
        <row r="1094">
          <cell r="A1094" t="str">
            <v>GURCUMR</v>
          </cell>
          <cell r="B1094" t="str">
            <v>GURLEY CURRENT METER RS VERSION</v>
          </cell>
          <cell r="C1094">
            <v>2700</v>
          </cell>
          <cell r="D1094">
            <v>2700</v>
          </cell>
          <cell r="E1094">
            <v>2700</v>
          </cell>
          <cell r="F1094">
            <v>2700</v>
          </cell>
          <cell r="G1094">
            <v>2700</v>
          </cell>
          <cell r="H1094">
            <v>0</v>
          </cell>
        </row>
        <row r="1095">
          <cell r="A1095" t="str">
            <v>GURCUMS</v>
          </cell>
          <cell r="B1095" t="str">
            <v>PRICE AA CURRENT METER MODEL 1210</v>
          </cell>
          <cell r="C1095">
            <v>2700</v>
          </cell>
          <cell r="D1095">
            <v>2700</v>
          </cell>
          <cell r="E1095">
            <v>2700</v>
          </cell>
          <cell r="F1095">
            <v>2700</v>
          </cell>
          <cell r="G1095">
            <v>2700</v>
          </cell>
          <cell r="H1095">
            <v>1130.69</v>
          </cell>
        </row>
        <row r="1096">
          <cell r="A1096" t="str">
            <v>GURHABA</v>
          </cell>
          <cell r="B1096" t="str">
            <v>GURLEY  HANGER BAR C-W PIN &amp; SPARE CLIPS</v>
          </cell>
          <cell r="C1096">
            <v>175</v>
          </cell>
          <cell r="D1096">
            <v>175</v>
          </cell>
          <cell r="E1096">
            <v>175</v>
          </cell>
          <cell r="F1096">
            <v>175</v>
          </cell>
          <cell r="G1096">
            <v>175</v>
          </cell>
          <cell r="H1096">
            <v>0</v>
          </cell>
        </row>
        <row r="1097">
          <cell r="A1097" t="str">
            <v>GURHUBR</v>
          </cell>
          <cell r="B1097" t="str">
            <v>GURLEY  HUB ASSEMBLY</v>
          </cell>
          <cell r="C1097">
            <v>267.54000000000002</v>
          </cell>
          <cell r="D1097">
            <v>267.54000000000002</v>
          </cell>
          <cell r="E1097">
            <v>267.54000000000002</v>
          </cell>
          <cell r="F1097">
            <v>267.54000000000002</v>
          </cell>
          <cell r="G1097">
            <v>267.54000000000002</v>
          </cell>
          <cell r="H1097">
            <v>174.58099999999999</v>
          </cell>
        </row>
        <row r="1098">
          <cell r="A1098" t="str">
            <v>GURNURA</v>
          </cell>
          <cell r="B1098" t="str">
            <v>GURLEY  RAISING NUT</v>
          </cell>
          <cell r="C1098">
            <v>25</v>
          </cell>
          <cell r="D1098">
            <v>31</v>
          </cell>
          <cell r="E1098">
            <v>31</v>
          </cell>
          <cell r="F1098">
            <v>31</v>
          </cell>
          <cell r="G1098">
            <v>31</v>
          </cell>
          <cell r="H1098">
            <v>28.288</v>
          </cell>
          <cell r="I1098">
            <v>39883</v>
          </cell>
        </row>
        <row r="1099">
          <cell r="A1099" t="str">
            <v>GURPIRE</v>
          </cell>
          <cell r="B1099" t="str">
            <v>GURLEY PIVOTS  RECONDITIONED</v>
          </cell>
          <cell r="C1099">
            <v>15</v>
          </cell>
          <cell r="D1099">
            <v>15</v>
          </cell>
          <cell r="E1099">
            <v>15</v>
          </cell>
          <cell r="F1099">
            <v>15</v>
          </cell>
          <cell r="G1099">
            <v>15</v>
          </cell>
          <cell r="H1099">
            <v>7.9950000000000001</v>
          </cell>
        </row>
        <row r="1100">
          <cell r="A1100" t="str">
            <v>GURPIVO</v>
          </cell>
          <cell r="B1100" t="str">
            <v>GURLEY  PIVOT ASSY</v>
          </cell>
          <cell r="C1100">
            <v>94</v>
          </cell>
          <cell r="D1100">
            <v>116</v>
          </cell>
          <cell r="E1100">
            <v>116</v>
          </cell>
          <cell r="F1100">
            <v>116</v>
          </cell>
          <cell r="G1100">
            <v>116</v>
          </cell>
          <cell r="H1100">
            <v>40.890999999999998</v>
          </cell>
          <cell r="I1100">
            <v>39883</v>
          </cell>
        </row>
        <row r="1101">
          <cell r="A1101" t="str">
            <v>GURSCFR</v>
          </cell>
          <cell r="B1101" t="str">
            <v>GURLEY  FRAME SCREW</v>
          </cell>
          <cell r="C1101">
            <v>0</v>
          </cell>
          <cell r="D1101">
            <v>0</v>
          </cell>
          <cell r="E1101">
            <v>0</v>
          </cell>
          <cell r="F1101">
            <v>0</v>
          </cell>
          <cell r="G1101">
            <v>0</v>
          </cell>
          <cell r="H1101">
            <v>0</v>
          </cell>
        </row>
        <row r="1102">
          <cell r="A1102" t="str">
            <v>GURSCTA</v>
          </cell>
          <cell r="B1102" t="str">
            <v>GURLEY  TAIL PIECE RETAINING SET SCREW</v>
          </cell>
          <cell r="C1102">
            <v>28.02</v>
          </cell>
          <cell r="D1102">
            <v>28.02</v>
          </cell>
          <cell r="E1102">
            <v>28.02</v>
          </cell>
          <cell r="F1102">
            <v>28.02</v>
          </cell>
          <cell r="G1102">
            <v>28.02</v>
          </cell>
          <cell r="H1102">
            <v>17.87</v>
          </cell>
        </row>
        <row r="1103">
          <cell r="A1103" t="str">
            <v>GURSCWH</v>
          </cell>
          <cell r="B1103" t="str">
            <v>GURLEY SCREW WEIGHT HANGAR</v>
          </cell>
          <cell r="C1103">
            <v>15.5</v>
          </cell>
          <cell r="D1103">
            <v>15.5</v>
          </cell>
          <cell r="E1103">
            <v>15.5</v>
          </cell>
          <cell r="F1103">
            <v>15.5</v>
          </cell>
          <cell r="G1103">
            <v>15.5</v>
          </cell>
          <cell r="H1103">
            <v>0</v>
          </cell>
        </row>
        <row r="1104">
          <cell r="A1104" t="str">
            <v>GURSHMA</v>
          </cell>
          <cell r="B1104" t="str">
            <v>GURLEY  SHAFT MAGNET</v>
          </cell>
          <cell r="C1104">
            <v>30.37</v>
          </cell>
          <cell r="D1104">
            <v>30.37</v>
          </cell>
          <cell r="E1104">
            <v>30.37</v>
          </cell>
          <cell r="F1104">
            <v>30.37</v>
          </cell>
          <cell r="G1104">
            <v>30.37</v>
          </cell>
          <cell r="H1104">
            <v>114.529</v>
          </cell>
        </row>
        <row r="1105">
          <cell r="A1105" t="str">
            <v>GURSHNE</v>
          </cell>
          <cell r="B1105" t="str">
            <v>GURLEY  SHAFT ASSEMBLY</v>
          </cell>
          <cell r="C1105">
            <v>97.13</v>
          </cell>
          <cell r="D1105">
            <v>97.13</v>
          </cell>
          <cell r="E1105">
            <v>97.13</v>
          </cell>
          <cell r="F1105">
            <v>97.13</v>
          </cell>
          <cell r="G1105">
            <v>97.13</v>
          </cell>
          <cell r="H1105">
            <v>0</v>
          </cell>
        </row>
        <row r="1106">
          <cell r="A1106" t="str">
            <v>GURSWRE</v>
          </cell>
          <cell r="B1106" t="str">
            <v>GURLEY  REED SWITCH ASSEMBLY</v>
          </cell>
          <cell r="C1106">
            <v>66.56</v>
          </cell>
          <cell r="D1106">
            <v>66.56</v>
          </cell>
          <cell r="E1106">
            <v>66.56</v>
          </cell>
          <cell r="F1106">
            <v>66.56</v>
          </cell>
          <cell r="G1106">
            <v>66.56</v>
          </cell>
          <cell r="H1106">
            <v>31.803999999999998</v>
          </cell>
        </row>
        <row r="1107">
          <cell r="A1107" t="str">
            <v>GURTAPI</v>
          </cell>
          <cell r="B1107" t="str">
            <v>GURLEY  TAIL PIECE</v>
          </cell>
          <cell r="C1107">
            <v>453.78</v>
          </cell>
          <cell r="D1107">
            <v>453.78</v>
          </cell>
          <cell r="E1107">
            <v>453.78</v>
          </cell>
          <cell r="F1107">
            <v>453.78</v>
          </cell>
          <cell r="G1107">
            <v>453.78</v>
          </cell>
          <cell r="H1107">
            <v>0</v>
          </cell>
        </row>
        <row r="1108">
          <cell r="A1108" t="str">
            <v>GURYOKE</v>
          </cell>
          <cell r="B1108" t="str">
            <v>GURLEY  YOKE</v>
          </cell>
          <cell r="C1108">
            <v>555.1</v>
          </cell>
          <cell r="D1108">
            <v>555.1</v>
          </cell>
          <cell r="E1108">
            <v>555.1</v>
          </cell>
          <cell r="F1108">
            <v>555.1</v>
          </cell>
          <cell r="G1108">
            <v>555.1</v>
          </cell>
          <cell r="H1108">
            <v>0</v>
          </cell>
        </row>
        <row r="1109">
          <cell r="A1109" t="str">
            <v>HANTEPO</v>
          </cell>
          <cell r="B1109" t="str">
            <v>HANNA TEMPERATURE PROBE</v>
          </cell>
          <cell r="C1109">
            <v>128.05000000000001</v>
          </cell>
          <cell r="D1109">
            <v>128.05000000000001</v>
          </cell>
          <cell r="E1109">
            <v>128.05000000000001</v>
          </cell>
          <cell r="F1109">
            <v>128.05000000000001</v>
          </cell>
          <cell r="G1109">
            <v>128.05000000000001</v>
          </cell>
          <cell r="H1109">
            <v>0</v>
          </cell>
        </row>
        <row r="1110">
          <cell r="A1110" t="str">
            <v>HEAT-1/16</v>
          </cell>
          <cell r="B1110" t="str">
            <v>"HEATSHRINK 1-16"""</v>
          </cell>
          <cell r="C1110">
            <v>3.65</v>
          </cell>
          <cell r="D1110">
            <v>3.65</v>
          </cell>
          <cell r="E1110">
            <v>3.65</v>
          </cell>
          <cell r="F1110">
            <v>3.65</v>
          </cell>
          <cell r="G1110">
            <v>3.65</v>
          </cell>
          <cell r="H1110">
            <v>1.6839999999999999</v>
          </cell>
        </row>
        <row r="1111">
          <cell r="A1111" t="str">
            <v>HEAT-1/4</v>
          </cell>
          <cell r="B1111" t="str">
            <v>HEATSHRINK 1/4" (6.4mm)</v>
          </cell>
          <cell r="C1111">
            <v>6.6</v>
          </cell>
          <cell r="D1111">
            <v>6.6</v>
          </cell>
          <cell r="E1111">
            <v>6.6</v>
          </cell>
          <cell r="F1111">
            <v>6.6</v>
          </cell>
          <cell r="G1111">
            <v>6.6</v>
          </cell>
          <cell r="H1111">
            <v>0.11899999999999999</v>
          </cell>
        </row>
        <row r="1112">
          <cell r="A1112" t="str">
            <v>HEAT-1/8</v>
          </cell>
          <cell r="B1112" t="str">
            <v>"HEATSHRINK 1/8"  (3.2mm)</v>
          </cell>
          <cell r="C1112">
            <v>3</v>
          </cell>
          <cell r="D1112">
            <v>3</v>
          </cell>
          <cell r="E1112">
            <v>3</v>
          </cell>
          <cell r="F1112">
            <v>3</v>
          </cell>
          <cell r="G1112">
            <v>3</v>
          </cell>
          <cell r="H1112">
            <v>2.2879999999999998</v>
          </cell>
          <cell r="I1112">
            <v>40234</v>
          </cell>
        </row>
        <row r="1113">
          <cell r="A1113" t="str">
            <v>HEAT-3/16</v>
          </cell>
          <cell r="B1113" t="str">
            <v>HEATSHRINK 3/16" (4.8mm)</v>
          </cell>
          <cell r="C1113">
            <v>5.4</v>
          </cell>
          <cell r="D1113">
            <v>5.4</v>
          </cell>
          <cell r="E1113">
            <v>5.4</v>
          </cell>
          <cell r="F1113">
            <v>5.4</v>
          </cell>
          <cell r="G1113">
            <v>5.4</v>
          </cell>
          <cell r="H1113">
            <v>2.4</v>
          </cell>
        </row>
        <row r="1114">
          <cell r="A1114" t="str">
            <v>HEAT-3/8</v>
          </cell>
          <cell r="B1114" t="str">
            <v>"HEATSHRINK 3-8"""</v>
          </cell>
          <cell r="C1114">
            <v>0.45</v>
          </cell>
          <cell r="D1114">
            <v>0.45</v>
          </cell>
          <cell r="E1114">
            <v>0.45</v>
          </cell>
          <cell r="F1114">
            <v>0.45</v>
          </cell>
          <cell r="G1114">
            <v>0.45</v>
          </cell>
          <cell r="H1114">
            <v>3.34</v>
          </cell>
        </row>
        <row r="1115">
          <cell r="A1115" t="str">
            <v>HEAT-3/8C</v>
          </cell>
          <cell r="B1115" t="str">
            <v>"HEATSHRINK 3-8"" CLEAR"</v>
          </cell>
          <cell r="C1115">
            <v>6</v>
          </cell>
          <cell r="D1115">
            <v>6</v>
          </cell>
          <cell r="E1115">
            <v>6</v>
          </cell>
          <cell r="F1115">
            <v>6</v>
          </cell>
          <cell r="G1115">
            <v>6</v>
          </cell>
          <cell r="H1115">
            <v>0</v>
          </cell>
        </row>
        <row r="1116">
          <cell r="A1116" t="str">
            <v>HEATS01</v>
          </cell>
          <cell r="B1116" t="str">
            <v>HEATSINK  25x30x12mm</v>
          </cell>
          <cell r="C1116">
            <v>3</v>
          </cell>
          <cell r="D1116">
            <v>3</v>
          </cell>
          <cell r="E1116">
            <v>3</v>
          </cell>
          <cell r="F1116">
            <v>3</v>
          </cell>
          <cell r="G1116">
            <v>3</v>
          </cell>
          <cell r="H1116">
            <v>0</v>
          </cell>
        </row>
        <row r="1117">
          <cell r="A1117" t="str">
            <v>HEATS02</v>
          </cell>
          <cell r="B1117" t="str">
            <v>HEATSINK  75x30x11mm</v>
          </cell>
          <cell r="C1117">
            <v>9.2200000000000006</v>
          </cell>
          <cell r="D1117">
            <v>11.5</v>
          </cell>
          <cell r="E1117">
            <v>11.5</v>
          </cell>
          <cell r="F1117">
            <v>11.5</v>
          </cell>
          <cell r="G1117">
            <v>11.5</v>
          </cell>
          <cell r="H1117">
            <v>9.11</v>
          </cell>
          <cell r="I1117">
            <v>39884</v>
          </cell>
        </row>
        <row r="1118">
          <cell r="A1118" t="str">
            <v>HEATS03</v>
          </cell>
          <cell r="B1118" t="str">
            <v>HEATSINK  123x100x27mm</v>
          </cell>
          <cell r="C1118">
            <v>30</v>
          </cell>
          <cell r="D1118">
            <v>30</v>
          </cell>
          <cell r="E1118">
            <v>30</v>
          </cell>
          <cell r="F1118">
            <v>30</v>
          </cell>
          <cell r="G1118">
            <v>30</v>
          </cell>
          <cell r="H1118">
            <v>0</v>
          </cell>
        </row>
        <row r="1119">
          <cell r="A1119" t="str">
            <v>HEATS04</v>
          </cell>
          <cell r="B1119" t="str">
            <v>HEATSINK 38x16x16</v>
          </cell>
          <cell r="C1119">
            <v>13</v>
          </cell>
          <cell r="D1119">
            <v>13</v>
          </cell>
          <cell r="E1119">
            <v>13</v>
          </cell>
          <cell r="F1119">
            <v>13</v>
          </cell>
          <cell r="G1119">
            <v>13</v>
          </cell>
          <cell r="H1119">
            <v>9.64</v>
          </cell>
        </row>
        <row r="1120">
          <cell r="A1120" t="str">
            <v>HENCBR1</v>
          </cell>
          <cell r="B1120" t="str">
            <v>HANDAR ENCODER BEARING</v>
          </cell>
          <cell r="C1120">
            <v>35.75</v>
          </cell>
          <cell r="D1120">
            <v>35.75</v>
          </cell>
          <cell r="E1120">
            <v>35.75</v>
          </cell>
          <cell r="F1120">
            <v>35.75</v>
          </cell>
          <cell r="G1120">
            <v>35.75</v>
          </cell>
          <cell r="H1120">
            <v>0</v>
          </cell>
        </row>
        <row r="1121">
          <cell r="A1121" t="str">
            <v>HESHR01</v>
          </cell>
          <cell r="B1121" t="str">
            <v>"HEATSHRINK  ADHESIVE FILLED  3_16"""</v>
          </cell>
          <cell r="C1121">
            <v>18.5</v>
          </cell>
          <cell r="D1121">
            <v>18.5</v>
          </cell>
          <cell r="E1121">
            <v>18.5</v>
          </cell>
          <cell r="F1121">
            <v>18.5</v>
          </cell>
          <cell r="G1121">
            <v>18.5</v>
          </cell>
          <cell r="H1121">
            <v>10.92</v>
          </cell>
        </row>
        <row r="1122">
          <cell r="A1122" t="str">
            <v>HESHR02</v>
          </cell>
          <cell r="B1122" t="str">
            <v>"HEATSHRINK  ADHESIVE FILLED  1_4"""</v>
          </cell>
          <cell r="C1122">
            <v>19.5</v>
          </cell>
          <cell r="D1122">
            <v>19.5</v>
          </cell>
          <cell r="E1122">
            <v>19.5</v>
          </cell>
          <cell r="F1122">
            <v>19.5</v>
          </cell>
          <cell r="G1122">
            <v>19.5</v>
          </cell>
          <cell r="H1122">
            <v>14.56</v>
          </cell>
        </row>
        <row r="1123">
          <cell r="A1123" t="str">
            <v>HESHR03</v>
          </cell>
          <cell r="B1123" t="str">
            <v>"HEATSHRINK  ADHESIVE FILLED  3_8"""</v>
          </cell>
          <cell r="C1123">
            <v>21.9</v>
          </cell>
          <cell r="D1123">
            <v>21.9</v>
          </cell>
          <cell r="E1123">
            <v>21.9</v>
          </cell>
          <cell r="F1123">
            <v>21.9</v>
          </cell>
          <cell r="G1123">
            <v>21.9</v>
          </cell>
          <cell r="H1123">
            <v>15.88</v>
          </cell>
        </row>
        <row r="1124">
          <cell r="A1124" t="str">
            <v>HESHR04</v>
          </cell>
          <cell r="B1124" t="str">
            <v>"HEATSHRINK  ADHESIVE FILLED  1_2"""</v>
          </cell>
          <cell r="C1124">
            <v>28.5</v>
          </cell>
          <cell r="D1124">
            <v>28.5</v>
          </cell>
          <cell r="E1124">
            <v>28.5</v>
          </cell>
          <cell r="F1124">
            <v>28.5</v>
          </cell>
          <cell r="G1124">
            <v>28.5</v>
          </cell>
          <cell r="H1124">
            <v>17.600000000000001</v>
          </cell>
        </row>
        <row r="1125">
          <cell r="A1125" t="str">
            <v>HESHR05</v>
          </cell>
          <cell r="B1125" t="str">
            <v>"HEATSHRINK  ADHESIVE FILLED 3_4"""</v>
          </cell>
          <cell r="C1125">
            <v>42.9</v>
          </cell>
          <cell r="D1125">
            <v>42.9</v>
          </cell>
          <cell r="E1125">
            <v>42.9</v>
          </cell>
          <cell r="F1125">
            <v>42.9</v>
          </cell>
          <cell r="G1125">
            <v>42.9</v>
          </cell>
          <cell r="H1125">
            <v>24.84</v>
          </cell>
        </row>
        <row r="1126">
          <cell r="A1126" t="str">
            <v>HOBOH7</v>
          </cell>
          <cell r="B1126" t="str">
            <v>HOBO H7 EVENT LOGGER</v>
          </cell>
          <cell r="C1126">
            <v>220</v>
          </cell>
          <cell r="D1126">
            <v>220</v>
          </cell>
          <cell r="E1126">
            <v>220</v>
          </cell>
          <cell r="F1126">
            <v>220</v>
          </cell>
          <cell r="G1126">
            <v>220</v>
          </cell>
          <cell r="H1126">
            <v>165</v>
          </cell>
        </row>
        <row r="1127">
          <cell r="A1127" t="str">
            <v>HOOKS4</v>
          </cell>
          <cell r="B1127" t="str">
            <v>SPRING HOOK WITH EYE 4mm 316 S/S</v>
          </cell>
          <cell r="C1127">
            <v>8</v>
          </cell>
          <cell r="D1127">
            <v>8</v>
          </cell>
          <cell r="E1127">
            <v>8</v>
          </cell>
          <cell r="F1127">
            <v>8</v>
          </cell>
          <cell r="G1127">
            <v>8</v>
          </cell>
          <cell r="H1127">
            <v>4.43</v>
          </cell>
        </row>
        <row r="1128">
          <cell r="A1128" t="str">
            <v>HORIBAU</v>
          </cell>
          <cell r="B1128" t="str">
            <v>HORIBA U-10 WATER QUALITY METER</v>
          </cell>
          <cell r="C1128">
            <v>9195</v>
          </cell>
          <cell r="D1128">
            <v>10200</v>
          </cell>
          <cell r="E1128">
            <v>10200</v>
          </cell>
          <cell r="F1128">
            <v>10200</v>
          </cell>
          <cell r="G1128">
            <v>10200</v>
          </cell>
          <cell r="H1128">
            <v>8755</v>
          </cell>
        </row>
        <row r="1129">
          <cell r="A1129" t="str">
            <v>HOSEC32</v>
          </cell>
          <cell r="B1129" t="str">
            <v>HOSE CLIP S/S 32/50mm</v>
          </cell>
          <cell r="C1129">
            <v>3</v>
          </cell>
          <cell r="D1129">
            <v>3</v>
          </cell>
          <cell r="E1129">
            <v>3</v>
          </cell>
          <cell r="F1129">
            <v>3</v>
          </cell>
          <cell r="G1129">
            <v>3</v>
          </cell>
          <cell r="H1129">
            <v>1.5</v>
          </cell>
        </row>
        <row r="1130">
          <cell r="A1130" t="str">
            <v>HOSEOXY</v>
          </cell>
          <cell r="B1130" t="str">
            <v>OXYGEN HOSE</v>
          </cell>
          <cell r="C1130">
            <v>65</v>
          </cell>
          <cell r="D1130">
            <v>65</v>
          </cell>
          <cell r="E1130">
            <v>65</v>
          </cell>
          <cell r="F1130">
            <v>65</v>
          </cell>
          <cell r="G1130">
            <v>65</v>
          </cell>
          <cell r="H1130">
            <v>32</v>
          </cell>
        </row>
        <row r="1131">
          <cell r="A1131" t="str">
            <v>HOSEOXY1</v>
          </cell>
          <cell r="B1131" t="str">
            <v>NITROGEN/CO2 HOSE - 1.5m</v>
          </cell>
          <cell r="C1131">
            <v>170</v>
          </cell>
          <cell r="D1131">
            <v>170</v>
          </cell>
          <cell r="E1131">
            <v>170</v>
          </cell>
          <cell r="F1131">
            <v>170</v>
          </cell>
          <cell r="G1131">
            <v>170</v>
          </cell>
          <cell r="H1131">
            <v>118</v>
          </cell>
        </row>
        <row r="1132">
          <cell r="A1132" t="str">
            <v>HOSEOXY4</v>
          </cell>
          <cell r="B1132" t="str">
            <v>NITROGEN/CO2 HOSE - 4m</v>
          </cell>
          <cell r="C1132">
            <v>185</v>
          </cell>
          <cell r="D1132">
            <v>185</v>
          </cell>
          <cell r="E1132">
            <v>185</v>
          </cell>
          <cell r="F1132">
            <v>185</v>
          </cell>
          <cell r="G1132">
            <v>185</v>
          </cell>
          <cell r="H1132">
            <v>140.91999999999999</v>
          </cell>
        </row>
        <row r="1133">
          <cell r="A1133" t="str">
            <v>HOUADSW</v>
          </cell>
          <cell r="B1133" t="str">
            <v>HOUSING ADAPTOR  STILLING WELL</v>
          </cell>
          <cell r="C1133">
            <v>230</v>
          </cell>
          <cell r="D1133">
            <v>230</v>
          </cell>
          <cell r="E1133">
            <v>230</v>
          </cell>
          <cell r="F1133">
            <v>230</v>
          </cell>
          <cell r="G1133">
            <v>230</v>
          </cell>
          <cell r="H1133">
            <v>173.2</v>
          </cell>
          <cell r="I1133">
            <v>40312</v>
          </cell>
        </row>
        <row r="1134">
          <cell r="A1134" t="str">
            <v>HOUBLPL</v>
          </cell>
          <cell r="B1134" t="str">
            <v>HOUSING BLANKING PLATE</v>
          </cell>
          <cell r="C1134">
            <v>6.5</v>
          </cell>
          <cell r="D1134">
            <v>6.5</v>
          </cell>
          <cell r="E1134">
            <v>6.5</v>
          </cell>
          <cell r="F1134">
            <v>6.5</v>
          </cell>
          <cell r="G1134">
            <v>6.5</v>
          </cell>
          <cell r="H1134">
            <v>1.71</v>
          </cell>
        </row>
        <row r="1135">
          <cell r="A1135" t="str">
            <v>HOUBOHO</v>
          </cell>
          <cell r="B1135" t="str">
            <v>HOOK BOLTS</v>
          </cell>
          <cell r="C1135">
            <v>15</v>
          </cell>
          <cell r="D1135">
            <v>15</v>
          </cell>
          <cell r="E1135">
            <v>15</v>
          </cell>
          <cell r="F1135">
            <v>15</v>
          </cell>
          <cell r="G1135">
            <v>15</v>
          </cell>
          <cell r="H1135">
            <v>11.5</v>
          </cell>
        </row>
        <row r="1136">
          <cell r="A1136" t="str">
            <v>HOUBOXF</v>
          </cell>
          <cell r="B1136" t="str">
            <v>FUSE BOX</v>
          </cell>
          <cell r="C1136">
            <v>105</v>
          </cell>
          <cell r="D1136">
            <v>105</v>
          </cell>
          <cell r="E1136">
            <v>105</v>
          </cell>
          <cell r="F1136">
            <v>105</v>
          </cell>
          <cell r="G1136">
            <v>105</v>
          </cell>
          <cell r="H1136">
            <v>99.35</v>
          </cell>
          <cell r="I1136">
            <v>40379</v>
          </cell>
        </row>
        <row r="1137">
          <cell r="A1137" t="str">
            <v>HOUBOXFC</v>
          </cell>
          <cell r="B1137" t="str">
            <v>FUSE BOX COMPLETE</v>
          </cell>
          <cell r="C1137">
            <v>140</v>
          </cell>
          <cell r="D1137">
            <v>175</v>
          </cell>
          <cell r="E1137">
            <v>175</v>
          </cell>
          <cell r="F1137">
            <v>175</v>
          </cell>
          <cell r="G1137">
            <v>175</v>
          </cell>
          <cell r="H1137">
            <v>79.811000000000007</v>
          </cell>
        </row>
        <row r="1138">
          <cell r="A1138" t="str">
            <v>HOUCABR</v>
          </cell>
          <cell r="B1138" t="str">
            <v>CATCH BRACKET</v>
          </cell>
          <cell r="C1138">
            <v>25</v>
          </cell>
          <cell r="D1138">
            <v>25</v>
          </cell>
          <cell r="E1138">
            <v>25</v>
          </cell>
          <cell r="F1138">
            <v>25</v>
          </cell>
          <cell r="G1138">
            <v>25</v>
          </cell>
          <cell r="H1138">
            <v>19.041</v>
          </cell>
        </row>
        <row r="1139">
          <cell r="A1139" t="str">
            <v>HOUDATA</v>
          </cell>
          <cell r="B1139" t="str">
            <v>S/STEEL HOUSING 800x600x300mm</v>
          </cell>
          <cell r="C1139">
            <v>1038.56</v>
          </cell>
          <cell r="D1139">
            <v>1150</v>
          </cell>
          <cell r="E1139">
            <v>1150</v>
          </cell>
          <cell r="F1139">
            <v>1150</v>
          </cell>
          <cell r="G1139">
            <v>1150</v>
          </cell>
          <cell r="H1139">
            <v>956</v>
          </cell>
          <cell r="I1139">
            <v>39883</v>
          </cell>
        </row>
        <row r="1140">
          <cell r="A1140" t="str">
            <v>HOUDATA1</v>
          </cell>
          <cell r="B1140" t="str">
            <v>S/STEEL HOUSING 1000x600x300mm</v>
          </cell>
          <cell r="C1140">
            <v>1350</v>
          </cell>
          <cell r="D1140">
            <v>1350</v>
          </cell>
          <cell r="E1140">
            <v>1350</v>
          </cell>
          <cell r="F1140">
            <v>1350</v>
          </cell>
          <cell r="G1140">
            <v>1350</v>
          </cell>
          <cell r="H1140">
            <v>1050</v>
          </cell>
        </row>
        <row r="1141">
          <cell r="A1141" t="str">
            <v>HOUDATA2</v>
          </cell>
          <cell r="B1141" t="str">
            <v>S/STEEL HOUSING 400x300x200mm</v>
          </cell>
          <cell r="C1141">
            <v>520</v>
          </cell>
          <cell r="D1141">
            <v>645</v>
          </cell>
          <cell r="E1141">
            <v>645</v>
          </cell>
          <cell r="F1141">
            <v>645</v>
          </cell>
          <cell r="G1141">
            <v>645</v>
          </cell>
          <cell r="H1141">
            <v>495</v>
          </cell>
          <cell r="I1141">
            <v>40024</v>
          </cell>
        </row>
        <row r="1142">
          <cell r="A1142" t="str">
            <v>HOUDATA3</v>
          </cell>
          <cell r="B1142" t="str">
            <v>S/STEEL HOUSING 600x500x200mm</v>
          </cell>
          <cell r="C1142">
            <v>795</v>
          </cell>
          <cell r="D1142">
            <v>795</v>
          </cell>
          <cell r="E1142">
            <v>795</v>
          </cell>
          <cell r="F1142">
            <v>795</v>
          </cell>
          <cell r="G1142">
            <v>795</v>
          </cell>
          <cell r="H1142">
            <v>640</v>
          </cell>
        </row>
        <row r="1143">
          <cell r="A1143" t="str">
            <v>HOUDATA4</v>
          </cell>
          <cell r="B1143" t="str">
            <v>S/STEEL HOUSING 450x450x200mm</v>
          </cell>
          <cell r="C1143">
            <v>576</v>
          </cell>
          <cell r="D1143">
            <v>650</v>
          </cell>
          <cell r="E1143">
            <v>650</v>
          </cell>
          <cell r="F1143">
            <v>650</v>
          </cell>
          <cell r="G1143">
            <v>650</v>
          </cell>
          <cell r="H1143">
            <v>526</v>
          </cell>
        </row>
        <row r="1144">
          <cell r="A1144" t="str">
            <v>HOUDBK</v>
          </cell>
          <cell r="B1144" t="str">
            <v>DEEPWATER HOUSING BRACKET</v>
          </cell>
          <cell r="C1144">
            <v>100</v>
          </cell>
          <cell r="D1144">
            <v>100</v>
          </cell>
          <cell r="E1144">
            <v>100</v>
          </cell>
          <cell r="F1144">
            <v>100</v>
          </cell>
          <cell r="G1144">
            <v>100</v>
          </cell>
          <cell r="H1144">
            <v>77.099999999999994</v>
          </cell>
        </row>
        <row r="1145">
          <cell r="A1145" t="str">
            <v>HOUDCH</v>
          </cell>
          <cell r="B1145" t="str">
            <v>DEEPWATER HOUSING CHAMBER</v>
          </cell>
          <cell r="C1145">
            <v>895</v>
          </cell>
          <cell r="D1145">
            <v>895</v>
          </cell>
          <cell r="E1145">
            <v>895</v>
          </cell>
          <cell r="F1145">
            <v>895</v>
          </cell>
          <cell r="G1145">
            <v>895</v>
          </cell>
          <cell r="H1145">
            <v>710.91</v>
          </cell>
        </row>
        <row r="1146">
          <cell r="A1146" t="str">
            <v>HOUDEC</v>
          </cell>
          <cell r="B1146" t="str">
            <v>DEEPWATER HOUSING END CAP</v>
          </cell>
          <cell r="C1146">
            <v>177.31</v>
          </cell>
          <cell r="D1146">
            <v>220</v>
          </cell>
          <cell r="E1146">
            <v>220</v>
          </cell>
          <cell r="F1146">
            <v>220</v>
          </cell>
          <cell r="G1146">
            <v>220</v>
          </cell>
          <cell r="H1146">
            <v>168.86699999999999</v>
          </cell>
          <cell r="I1146">
            <v>39884</v>
          </cell>
        </row>
        <row r="1147">
          <cell r="A1147" t="str">
            <v>HOUDGT</v>
          </cell>
          <cell r="B1147" t="str">
            <v>WATER METERING GEAR PLATE</v>
          </cell>
          <cell r="C1147">
            <v>95</v>
          </cell>
          <cell r="D1147">
            <v>95</v>
          </cell>
          <cell r="E1147">
            <v>95</v>
          </cell>
          <cell r="F1147">
            <v>95</v>
          </cell>
          <cell r="G1147">
            <v>95</v>
          </cell>
          <cell r="H1147">
            <v>72.599999999999994</v>
          </cell>
          <cell r="I1147">
            <v>40246</v>
          </cell>
        </row>
        <row r="1148">
          <cell r="A1148" t="str">
            <v>HOUDLMP</v>
          </cell>
          <cell r="B1148" t="str">
            <v>DATA LOGGER MOUNTING PLATE</v>
          </cell>
          <cell r="C1148">
            <v>65</v>
          </cell>
          <cell r="D1148">
            <v>65</v>
          </cell>
          <cell r="E1148">
            <v>65</v>
          </cell>
          <cell r="F1148">
            <v>65</v>
          </cell>
          <cell r="G1148">
            <v>65</v>
          </cell>
          <cell r="H1148">
            <v>47.366</v>
          </cell>
          <cell r="I1148">
            <v>40312</v>
          </cell>
        </row>
        <row r="1149">
          <cell r="A1149" t="str">
            <v>HOUHPGP</v>
          </cell>
          <cell r="B1149" t="str">
            <v>GENERAL PURPOSE HINGED PANEL</v>
          </cell>
          <cell r="C1149">
            <v>240</v>
          </cell>
          <cell r="D1149">
            <v>240</v>
          </cell>
          <cell r="E1149">
            <v>240</v>
          </cell>
          <cell r="F1149">
            <v>240</v>
          </cell>
          <cell r="G1149">
            <v>240</v>
          </cell>
          <cell r="H1149">
            <v>180</v>
          </cell>
        </row>
        <row r="1150">
          <cell r="A1150" t="str">
            <v>HOUHPHK</v>
          </cell>
          <cell r="B1150" t="str">
            <v>HINGE KIT</v>
          </cell>
          <cell r="C1150">
            <v>55</v>
          </cell>
          <cell r="D1150">
            <v>55</v>
          </cell>
          <cell r="E1150">
            <v>55</v>
          </cell>
          <cell r="F1150">
            <v>55</v>
          </cell>
          <cell r="G1150">
            <v>55</v>
          </cell>
          <cell r="H1150">
            <v>39.000999999999998</v>
          </cell>
        </row>
        <row r="1151">
          <cell r="A1151" t="str">
            <v>HOUHPME</v>
          </cell>
          <cell r="B1151" t="str">
            <v>MET EQUIPMENT HINGED PANEL</v>
          </cell>
          <cell r="C1151">
            <v>413</v>
          </cell>
          <cell r="D1151">
            <v>510</v>
          </cell>
          <cell r="E1151">
            <v>510</v>
          </cell>
          <cell r="F1151">
            <v>510</v>
          </cell>
          <cell r="G1151">
            <v>510</v>
          </cell>
          <cell r="H1151">
            <v>368.24400000000003</v>
          </cell>
          <cell r="I1151">
            <v>39884</v>
          </cell>
        </row>
        <row r="1152">
          <cell r="A1152" t="str">
            <v>HOUMEBL</v>
          </cell>
          <cell r="B1152" t="str">
            <v>MET HOUSING  MOUNTING BRACKETS - LONG</v>
          </cell>
          <cell r="C1152">
            <v>82</v>
          </cell>
          <cell r="D1152">
            <v>95</v>
          </cell>
          <cell r="E1152">
            <v>95</v>
          </cell>
          <cell r="F1152">
            <v>95</v>
          </cell>
          <cell r="G1152">
            <v>95</v>
          </cell>
          <cell r="H1152">
            <v>69.87</v>
          </cell>
        </row>
        <row r="1153">
          <cell r="A1153" t="str">
            <v>HOUMEBR</v>
          </cell>
          <cell r="B1153" t="str">
            <v>MET HOUSING  MOUNTING BRACKETS</v>
          </cell>
          <cell r="C1153">
            <v>50</v>
          </cell>
          <cell r="D1153">
            <v>50</v>
          </cell>
          <cell r="E1153">
            <v>50</v>
          </cell>
          <cell r="F1153">
            <v>50</v>
          </cell>
          <cell r="G1153">
            <v>50</v>
          </cell>
          <cell r="H1153">
            <v>83.212000000000003</v>
          </cell>
        </row>
        <row r="1154">
          <cell r="A1154" t="str">
            <v>HOUMEBR3</v>
          </cell>
          <cell r="B1154" t="str">
            <v>MET HOUSING MOUNTING BAR - EXTRA LONG</v>
          </cell>
          <cell r="C1154">
            <v>66</v>
          </cell>
          <cell r="D1154">
            <v>66</v>
          </cell>
          <cell r="E1154">
            <v>66</v>
          </cell>
          <cell r="F1154">
            <v>66</v>
          </cell>
          <cell r="G1154">
            <v>66</v>
          </cell>
          <cell r="H1154">
            <v>53.533999999999999</v>
          </cell>
          <cell r="I1154">
            <v>40221</v>
          </cell>
        </row>
        <row r="1155">
          <cell r="A1155" t="str">
            <v>HOUMET2</v>
          </cell>
          <cell r="B1155" t="str">
            <v>HOUSING  ALUMINIUM 570x588x400mm</v>
          </cell>
          <cell r="C1155">
            <v>925</v>
          </cell>
          <cell r="D1155">
            <v>995</v>
          </cell>
          <cell r="E1155">
            <v>995</v>
          </cell>
          <cell r="F1155">
            <v>995</v>
          </cell>
          <cell r="G1155">
            <v>995</v>
          </cell>
          <cell r="H1155">
            <v>798.73599999999999</v>
          </cell>
          <cell r="I1155">
            <v>40032</v>
          </cell>
        </row>
        <row r="1156">
          <cell r="A1156" t="str">
            <v>HOUMPCR</v>
          </cell>
          <cell r="B1156" t="str">
            <v>MOUNTING PANEL CABLE RETAINER</v>
          </cell>
          <cell r="C1156">
            <v>40</v>
          </cell>
          <cell r="D1156">
            <v>40</v>
          </cell>
          <cell r="E1156">
            <v>40</v>
          </cell>
          <cell r="F1156">
            <v>40</v>
          </cell>
          <cell r="G1156">
            <v>40</v>
          </cell>
          <cell r="H1156">
            <v>31.117000000000001</v>
          </cell>
        </row>
        <row r="1157">
          <cell r="A1157" t="str">
            <v>HOUPASU</v>
          </cell>
          <cell r="B1157" t="str">
            <v>HOUSING SUPPLEMENTARY PANEL</v>
          </cell>
          <cell r="C1157">
            <v>120</v>
          </cell>
          <cell r="D1157">
            <v>120</v>
          </cell>
          <cell r="E1157">
            <v>120</v>
          </cell>
          <cell r="F1157">
            <v>120</v>
          </cell>
          <cell r="G1157">
            <v>120</v>
          </cell>
          <cell r="H1157">
            <v>110.72799999999999</v>
          </cell>
        </row>
        <row r="1158">
          <cell r="A1158" t="str">
            <v>HOUPCOV</v>
          </cell>
          <cell r="B1158" t="str">
            <v>COVER  ACRYLIC FOR MOUNTING PANEL</v>
          </cell>
          <cell r="C1158">
            <v>150</v>
          </cell>
          <cell r="D1158">
            <v>150</v>
          </cell>
          <cell r="E1158">
            <v>150</v>
          </cell>
          <cell r="F1158">
            <v>150</v>
          </cell>
          <cell r="G1158">
            <v>150</v>
          </cell>
          <cell r="H1158">
            <v>0</v>
          </cell>
        </row>
        <row r="1159">
          <cell r="A1159" t="str">
            <v>HOUPEDC</v>
          </cell>
          <cell r="B1159" t="str">
            <v>MOUNTING PANEL WITH DC DISTRIBUTION</v>
          </cell>
          <cell r="C1159">
            <v>195</v>
          </cell>
          <cell r="D1159">
            <v>195</v>
          </cell>
          <cell r="E1159">
            <v>195</v>
          </cell>
          <cell r="F1159">
            <v>195</v>
          </cell>
          <cell r="G1159">
            <v>195</v>
          </cell>
          <cell r="H1159">
            <v>44.405000000000001</v>
          </cell>
        </row>
        <row r="1160">
          <cell r="A1160" t="str">
            <v>HOUPEMO</v>
          </cell>
          <cell r="B1160" t="str">
            <v>MOUNTING PANEL</v>
          </cell>
          <cell r="C1160">
            <v>135</v>
          </cell>
          <cell r="D1160">
            <v>135</v>
          </cell>
          <cell r="E1160">
            <v>135</v>
          </cell>
          <cell r="F1160">
            <v>135</v>
          </cell>
          <cell r="G1160">
            <v>135</v>
          </cell>
          <cell r="H1160">
            <v>105.489</v>
          </cell>
          <cell r="I1160">
            <v>40317</v>
          </cell>
        </row>
        <row r="1161">
          <cell r="A1161" t="str">
            <v>HOUPESM</v>
          </cell>
          <cell r="B1161" t="str">
            <v>MOUNTING PANEL FOR GEAR MOUNTING PLATE</v>
          </cell>
          <cell r="C1161">
            <v>28</v>
          </cell>
          <cell r="D1161">
            <v>28</v>
          </cell>
          <cell r="E1161">
            <v>28</v>
          </cell>
          <cell r="F1161">
            <v>28</v>
          </cell>
          <cell r="G1161">
            <v>28</v>
          </cell>
          <cell r="H1161">
            <v>0</v>
          </cell>
        </row>
        <row r="1162">
          <cell r="A1162" t="str">
            <v>HOUPESW</v>
          </cell>
          <cell r="B1162" t="str">
            <v>MOUNTING PLATE FOR HOUSING TO STILLINGWE</v>
          </cell>
          <cell r="C1162">
            <v>125</v>
          </cell>
          <cell r="D1162">
            <v>125</v>
          </cell>
          <cell r="E1162">
            <v>125</v>
          </cell>
          <cell r="F1162">
            <v>125</v>
          </cell>
          <cell r="G1162">
            <v>125</v>
          </cell>
          <cell r="H1162">
            <v>0</v>
          </cell>
        </row>
        <row r="1163">
          <cell r="A1163" t="str">
            <v>HOUPSBR</v>
          </cell>
          <cell r="B1163" t="str">
            <v>POWER SUPPLY BRACKET</v>
          </cell>
          <cell r="C1163">
            <v>55</v>
          </cell>
          <cell r="D1163">
            <v>55</v>
          </cell>
          <cell r="E1163">
            <v>55</v>
          </cell>
          <cell r="F1163">
            <v>55</v>
          </cell>
          <cell r="G1163">
            <v>55</v>
          </cell>
          <cell r="H1163">
            <v>40.520000000000003</v>
          </cell>
        </row>
        <row r="1164">
          <cell r="A1164" t="str">
            <v>HOURABR</v>
          </cell>
          <cell r="B1164" t="str">
            <v>RADIO BRACKET</v>
          </cell>
          <cell r="C1164">
            <v>40</v>
          </cell>
          <cell r="D1164">
            <v>40</v>
          </cell>
          <cell r="E1164">
            <v>40</v>
          </cell>
          <cell r="F1164">
            <v>40</v>
          </cell>
          <cell r="G1164">
            <v>40</v>
          </cell>
          <cell r="H1164">
            <v>29.29</v>
          </cell>
        </row>
        <row r="1165">
          <cell r="A1165" t="str">
            <v>HOURACK</v>
          </cell>
          <cell r="B1165" t="str">
            <v>ACCESSORIES MOUNTING KIT</v>
          </cell>
          <cell r="C1165">
            <v>45</v>
          </cell>
          <cell r="D1165">
            <v>45</v>
          </cell>
          <cell r="E1165">
            <v>45</v>
          </cell>
          <cell r="F1165">
            <v>45</v>
          </cell>
          <cell r="G1165">
            <v>45</v>
          </cell>
          <cell r="H1165">
            <v>38.579000000000001</v>
          </cell>
        </row>
        <row r="1166">
          <cell r="A1166" t="str">
            <v>HOURADA</v>
          </cell>
          <cell r="B1166" t="str">
            <v>HOUSING ALUMINIUM 450x450x390mm</v>
          </cell>
          <cell r="C1166">
            <v>625</v>
          </cell>
          <cell r="D1166">
            <v>625</v>
          </cell>
          <cell r="E1166">
            <v>625</v>
          </cell>
          <cell r="F1166">
            <v>625</v>
          </cell>
          <cell r="G1166">
            <v>625</v>
          </cell>
          <cell r="H1166">
            <v>478.37</v>
          </cell>
          <cell r="I1166">
            <v>40277</v>
          </cell>
        </row>
        <row r="1167">
          <cell r="A1167" t="str">
            <v>HOURADB</v>
          </cell>
          <cell r="B1167" t="str">
            <v>MOUNTING BRACKETS RADIO HOUSING</v>
          </cell>
          <cell r="C1167">
            <v>195</v>
          </cell>
          <cell r="D1167">
            <v>195</v>
          </cell>
          <cell r="E1167">
            <v>195</v>
          </cell>
          <cell r="F1167">
            <v>195</v>
          </cell>
          <cell r="G1167">
            <v>195</v>
          </cell>
          <cell r="H1167">
            <v>0</v>
          </cell>
        </row>
        <row r="1168">
          <cell r="A1168" t="str">
            <v>HOURADG</v>
          </cell>
          <cell r="B1168" t="str">
            <v>GEAR TRAY RADIO HOUSING</v>
          </cell>
          <cell r="C1168">
            <v>94.5</v>
          </cell>
          <cell r="D1168">
            <v>117</v>
          </cell>
          <cell r="E1168">
            <v>117</v>
          </cell>
          <cell r="F1168">
            <v>117</v>
          </cell>
          <cell r="G1168">
            <v>117</v>
          </cell>
          <cell r="H1168">
            <v>90</v>
          </cell>
          <cell r="I1168">
            <v>39883</v>
          </cell>
        </row>
        <row r="1169">
          <cell r="A1169" t="str">
            <v>HOUSRGP</v>
          </cell>
          <cell r="B1169" t="str">
            <v>SMALL REPEATER GEAR PLATE</v>
          </cell>
          <cell r="C1169">
            <v>68</v>
          </cell>
          <cell r="D1169">
            <v>68</v>
          </cell>
          <cell r="E1169">
            <v>68</v>
          </cell>
          <cell r="F1169">
            <v>68</v>
          </cell>
          <cell r="G1169">
            <v>68</v>
          </cell>
          <cell r="H1169">
            <v>53.25</v>
          </cell>
        </row>
        <row r="1170">
          <cell r="A1170" t="str">
            <v>HOUSTAV</v>
          </cell>
          <cell r="B1170" t="str">
            <v>HOUSING AIR VENT</v>
          </cell>
          <cell r="C1170">
            <v>9.6999999999999993</v>
          </cell>
          <cell r="D1170">
            <v>9.6999999999999993</v>
          </cell>
          <cell r="E1170">
            <v>9.6999999999999993</v>
          </cell>
          <cell r="F1170">
            <v>9.6999999999999993</v>
          </cell>
          <cell r="G1170">
            <v>9.6999999999999993</v>
          </cell>
          <cell r="H1170">
            <v>8.84</v>
          </cell>
        </row>
        <row r="1171">
          <cell r="A1171" t="str">
            <v>HOUSTGU</v>
          </cell>
          <cell r="B1171" t="str">
            <v>HOUSING ALUMINIUM STANDARD (350 X 350 X</v>
          </cell>
          <cell r="C1171">
            <v>390</v>
          </cell>
          <cell r="D1171">
            <v>390</v>
          </cell>
          <cell r="E1171">
            <v>390</v>
          </cell>
          <cell r="F1171">
            <v>390</v>
          </cell>
          <cell r="G1171">
            <v>390</v>
          </cell>
          <cell r="H1171">
            <v>0</v>
          </cell>
        </row>
        <row r="1172">
          <cell r="A1172" t="str">
            <v>HOUTRBR</v>
          </cell>
          <cell r="B1172" t="str">
            <v>TAIT RADIO BRACKET</v>
          </cell>
          <cell r="C1172">
            <v>55</v>
          </cell>
          <cell r="D1172">
            <v>55</v>
          </cell>
          <cell r="E1172">
            <v>55</v>
          </cell>
          <cell r="F1172">
            <v>55</v>
          </cell>
          <cell r="G1172">
            <v>55</v>
          </cell>
          <cell r="H1172">
            <v>42.25</v>
          </cell>
          <cell r="I1172">
            <v>40386</v>
          </cell>
        </row>
        <row r="1173">
          <cell r="A1173" t="str">
            <v>HOUWALK</v>
          </cell>
          <cell r="B1173" t="str">
            <v>WALK IN HOUSING</v>
          </cell>
          <cell r="C1173">
            <v>0</v>
          </cell>
          <cell r="D1173">
            <v>0</v>
          </cell>
          <cell r="E1173">
            <v>0</v>
          </cell>
          <cell r="F1173">
            <v>0</v>
          </cell>
          <cell r="G1173">
            <v>0</v>
          </cell>
          <cell r="H1173">
            <v>4680</v>
          </cell>
        </row>
        <row r="1174">
          <cell r="A1174" t="str">
            <v>HSINK-H3490</v>
          </cell>
          <cell r="B1174" t="str">
            <v>HEATSINK H3490</v>
          </cell>
          <cell r="C1174">
            <v>11</v>
          </cell>
          <cell r="D1174">
            <v>11</v>
          </cell>
          <cell r="E1174">
            <v>11</v>
          </cell>
          <cell r="F1174">
            <v>11</v>
          </cell>
          <cell r="G1174">
            <v>11</v>
          </cell>
          <cell r="H1174">
            <v>8.44</v>
          </cell>
          <cell r="I1174">
            <v>40252</v>
          </cell>
        </row>
        <row r="1175">
          <cell r="A1175" t="str">
            <v>HWICOUN</v>
          </cell>
          <cell r="B1175" t="str">
            <v>HYDRAULIC WINCH COUNTER</v>
          </cell>
          <cell r="C1175">
            <v>293</v>
          </cell>
          <cell r="D1175">
            <v>293</v>
          </cell>
          <cell r="E1175">
            <v>293</v>
          </cell>
          <cell r="F1175">
            <v>293</v>
          </cell>
          <cell r="G1175">
            <v>293</v>
          </cell>
          <cell r="H1175">
            <v>246</v>
          </cell>
        </row>
        <row r="1176">
          <cell r="A1176" t="str">
            <v>HYCSENS</v>
          </cell>
          <cell r="B1176" t="str">
            <v>HYDROCARBON SENSOR WHITE KNIGHT</v>
          </cell>
          <cell r="C1176">
            <v>995</v>
          </cell>
          <cell r="D1176">
            <v>995</v>
          </cell>
          <cell r="E1176">
            <v>995</v>
          </cell>
          <cell r="F1176">
            <v>995</v>
          </cell>
          <cell r="G1176">
            <v>995</v>
          </cell>
          <cell r="H1176">
            <v>723.40599999999995</v>
          </cell>
        </row>
        <row r="1177">
          <cell r="A1177" t="str">
            <v>HYD55PR</v>
          </cell>
          <cell r="B1177" t="str">
            <v>HS55 PRESSURE RELIEF VALVE</v>
          </cell>
          <cell r="C1177">
            <v>35</v>
          </cell>
          <cell r="D1177">
            <v>35</v>
          </cell>
          <cell r="E1177">
            <v>35</v>
          </cell>
          <cell r="F1177">
            <v>35</v>
          </cell>
          <cell r="G1177">
            <v>35</v>
          </cell>
          <cell r="H1177">
            <v>27</v>
          </cell>
        </row>
        <row r="1178">
          <cell r="A1178" t="str">
            <v>HYD55PV</v>
          </cell>
          <cell r="B1178" t="str">
            <v>HS55 PURGE VALVE ASSEMBLY</v>
          </cell>
          <cell r="C1178">
            <v>750</v>
          </cell>
          <cell r="D1178">
            <v>750</v>
          </cell>
          <cell r="E1178">
            <v>750</v>
          </cell>
          <cell r="F1178">
            <v>750</v>
          </cell>
          <cell r="G1178">
            <v>750</v>
          </cell>
          <cell r="H1178">
            <v>646</v>
          </cell>
        </row>
        <row r="1179">
          <cell r="A1179" t="str">
            <v>HYDADAP</v>
          </cell>
          <cell r="B1179" t="str">
            <v>ADAPTER 1/4" NPT - 1/4" TUBE</v>
          </cell>
          <cell r="C1179">
            <v>7.5</v>
          </cell>
          <cell r="D1179">
            <v>7.5</v>
          </cell>
          <cell r="E1179">
            <v>7.5</v>
          </cell>
          <cell r="F1179">
            <v>7.5</v>
          </cell>
          <cell r="G1179">
            <v>7.5</v>
          </cell>
          <cell r="H1179">
            <v>5.35</v>
          </cell>
        </row>
        <row r="1180">
          <cell r="A1180" t="str">
            <v>HYDADRE</v>
          </cell>
          <cell r="B1180" t="str">
            <v>"ADAPTOR  REGULATOR TO BUBBLE UNIT 1_4""</v>
          </cell>
          <cell r="C1180">
            <v>35</v>
          </cell>
          <cell r="D1180">
            <v>35</v>
          </cell>
          <cell r="E1180">
            <v>35</v>
          </cell>
          <cell r="F1180">
            <v>35</v>
          </cell>
          <cell r="G1180">
            <v>35</v>
          </cell>
          <cell r="H1180">
            <v>26.64</v>
          </cell>
          <cell r="I1180">
            <v>40379</v>
          </cell>
        </row>
        <row r="1181">
          <cell r="A1181" t="str">
            <v>HYDADTU</v>
          </cell>
          <cell r="B1181" t="str">
            <v>"CONNECTOR  1_4"" NPT TO 1_4"" OD TUBE"</v>
          </cell>
          <cell r="C1181">
            <v>6.5</v>
          </cell>
          <cell r="D1181">
            <v>6.5</v>
          </cell>
          <cell r="E1181">
            <v>6.5</v>
          </cell>
          <cell r="F1181">
            <v>6.5</v>
          </cell>
          <cell r="G1181">
            <v>6.5</v>
          </cell>
          <cell r="H1181">
            <v>0</v>
          </cell>
        </row>
        <row r="1182">
          <cell r="A1182" t="str">
            <v>HYDCMC3</v>
          </cell>
          <cell r="B1182" t="str">
            <v>HYDROMATE (CMC3)  GAUGING COMPUTER</v>
          </cell>
          <cell r="C1182">
            <v>6250</v>
          </cell>
          <cell r="D1182">
            <v>6250</v>
          </cell>
          <cell r="E1182">
            <v>6250</v>
          </cell>
          <cell r="F1182">
            <v>6250</v>
          </cell>
          <cell r="G1182">
            <v>6250</v>
          </cell>
          <cell r="H1182">
            <v>2272.7849999999999</v>
          </cell>
        </row>
        <row r="1183">
          <cell r="A1183" t="str">
            <v>HYDCOMP</v>
          </cell>
          <cell r="B1183" t="str">
            <v>HYDRONET COMPRESSOR</v>
          </cell>
          <cell r="C1183">
            <v>1395</v>
          </cell>
          <cell r="D1183">
            <v>1395</v>
          </cell>
          <cell r="E1183">
            <v>1395</v>
          </cell>
          <cell r="F1183">
            <v>1395</v>
          </cell>
          <cell r="G1183">
            <v>1395</v>
          </cell>
          <cell r="H1183">
            <v>1050</v>
          </cell>
        </row>
        <row r="1184">
          <cell r="A1184" t="str">
            <v>HYDGAAD</v>
          </cell>
          <cell r="B1184" t="str">
            <v>GASLINE ADAPATOR</v>
          </cell>
          <cell r="C1184">
            <v>16</v>
          </cell>
          <cell r="D1184">
            <v>16</v>
          </cell>
          <cell r="E1184">
            <v>16</v>
          </cell>
          <cell r="F1184">
            <v>16</v>
          </cell>
          <cell r="G1184">
            <v>16</v>
          </cell>
          <cell r="H1184">
            <v>7.55</v>
          </cell>
        </row>
        <row r="1185">
          <cell r="A1185" t="str">
            <v>HYDGPBU</v>
          </cell>
          <cell r="B1185" t="str">
            <v>GAS PURGE BUBBLE UNITS HS23 SINGLE LINE</v>
          </cell>
          <cell r="C1185">
            <v>2020</v>
          </cell>
          <cell r="D1185">
            <v>2020</v>
          </cell>
          <cell r="E1185">
            <v>2020</v>
          </cell>
          <cell r="F1185">
            <v>2020</v>
          </cell>
          <cell r="G1185">
            <v>2020</v>
          </cell>
          <cell r="H1185">
            <v>1565.1849999999999</v>
          </cell>
        </row>
        <row r="1186">
          <cell r="A1186" t="str">
            <v>HYDML1</v>
          </cell>
          <cell r="B1186" t="str">
            <v>HYDRO SERVICES ML1 MINI LOGGER</v>
          </cell>
          <cell r="C1186">
            <v>402</v>
          </cell>
          <cell r="D1186">
            <v>440</v>
          </cell>
          <cell r="E1186">
            <v>440</v>
          </cell>
          <cell r="F1186">
            <v>440</v>
          </cell>
          <cell r="G1186">
            <v>440</v>
          </cell>
          <cell r="H1186">
            <v>382.28199999999998</v>
          </cell>
          <cell r="I1186">
            <v>39988</v>
          </cell>
        </row>
        <row r="1187">
          <cell r="A1187" t="str">
            <v>HYDPRAD</v>
          </cell>
          <cell r="B1187" t="str">
            <v>ADAPTER 1/8"  NPT FEMALE TO 1/8" TUBE</v>
          </cell>
          <cell r="C1187">
            <v>16</v>
          </cell>
          <cell r="D1187">
            <v>16</v>
          </cell>
          <cell r="E1187">
            <v>16</v>
          </cell>
          <cell r="F1187">
            <v>16</v>
          </cell>
          <cell r="G1187">
            <v>16</v>
          </cell>
          <cell r="H1187">
            <v>7.05</v>
          </cell>
        </row>
        <row r="1188">
          <cell r="A1188" t="str">
            <v>HYDREED</v>
          </cell>
          <cell r="B1188" t="str">
            <v>TB3 RAINGAUGE REED SWITCH</v>
          </cell>
          <cell r="C1188">
            <v>5.0999999999999996</v>
          </cell>
          <cell r="D1188">
            <v>5.0999999999999996</v>
          </cell>
          <cell r="E1188">
            <v>5.0999999999999996</v>
          </cell>
          <cell r="F1188">
            <v>5.0999999999999996</v>
          </cell>
          <cell r="G1188">
            <v>5.0999999999999996</v>
          </cell>
          <cell r="H1188">
            <v>0</v>
          </cell>
        </row>
        <row r="1189">
          <cell r="A1189" t="str">
            <v>HYDSWRE</v>
          </cell>
          <cell r="B1189" t="str">
            <v>TB3 RAINGAUGE REED SWITCH ASSY</v>
          </cell>
          <cell r="C1189">
            <v>250</v>
          </cell>
          <cell r="D1189">
            <v>250</v>
          </cell>
          <cell r="E1189">
            <v>250</v>
          </cell>
          <cell r="F1189">
            <v>250</v>
          </cell>
          <cell r="G1189">
            <v>250</v>
          </cell>
          <cell r="H1189">
            <v>228</v>
          </cell>
        </row>
        <row r="1190">
          <cell r="A1190" t="str">
            <v>HYDTB6</v>
          </cell>
          <cell r="B1190" t="str">
            <v>TB6 TIPPING BUCKET RAINGAUGE</v>
          </cell>
          <cell r="C1190">
            <v>725</v>
          </cell>
          <cell r="D1190">
            <v>875</v>
          </cell>
          <cell r="E1190">
            <v>875</v>
          </cell>
          <cell r="F1190">
            <v>875</v>
          </cell>
          <cell r="G1190">
            <v>875</v>
          </cell>
          <cell r="H1190">
            <v>665.17200000000003</v>
          </cell>
          <cell r="I1190">
            <v>39890</v>
          </cell>
        </row>
        <row r="1191">
          <cell r="A1191" t="str">
            <v>HYDTBBA</v>
          </cell>
          <cell r="B1191" t="str">
            <v>TB3 RAINGAUGE BUCKET AXLE</v>
          </cell>
          <cell r="C1191">
            <v>25</v>
          </cell>
          <cell r="D1191">
            <v>29</v>
          </cell>
          <cell r="E1191">
            <v>29</v>
          </cell>
          <cell r="F1191">
            <v>29</v>
          </cell>
          <cell r="G1191">
            <v>29</v>
          </cell>
          <cell r="H1191">
            <v>28.786000000000001</v>
          </cell>
        </row>
        <row r="1192">
          <cell r="A1192" t="str">
            <v>HYDTBPN</v>
          </cell>
          <cell r="B1192" t="str">
            <v>TB3 RAINGAUGE PIVOT &amp; NUT</v>
          </cell>
          <cell r="C1192">
            <v>115</v>
          </cell>
          <cell r="D1192">
            <v>115</v>
          </cell>
          <cell r="E1192">
            <v>115</v>
          </cell>
          <cell r="F1192">
            <v>115</v>
          </cell>
          <cell r="G1192">
            <v>115</v>
          </cell>
          <cell r="H1192">
            <v>101.377</v>
          </cell>
        </row>
        <row r="1193">
          <cell r="A1193" t="str">
            <v>HYDTBRG</v>
          </cell>
          <cell r="B1193" t="str">
            <v>TB3 RAINGAUGE</v>
          </cell>
          <cell r="C1193">
            <v>1645</v>
          </cell>
          <cell r="D1193">
            <v>1645</v>
          </cell>
          <cell r="E1193">
            <v>1645</v>
          </cell>
          <cell r="F1193">
            <v>1645</v>
          </cell>
          <cell r="G1193">
            <v>1645</v>
          </cell>
          <cell r="H1193">
            <v>1209.0909999999999</v>
          </cell>
          <cell r="I1193">
            <v>40235</v>
          </cell>
        </row>
        <row r="1194">
          <cell r="A1194" t="str">
            <v>HYGACCH</v>
          </cell>
          <cell r="B1194" t="str">
            <v>HYDRAGAUGE CONTACT CHAMBER</v>
          </cell>
          <cell r="C1194">
            <v>188</v>
          </cell>
          <cell r="D1194">
            <v>188</v>
          </cell>
          <cell r="E1194">
            <v>188</v>
          </cell>
          <cell r="F1194">
            <v>188</v>
          </cell>
          <cell r="G1194">
            <v>188</v>
          </cell>
          <cell r="H1194">
            <v>0</v>
          </cell>
        </row>
        <row r="1195">
          <cell r="A1195" t="str">
            <v>HYGASHU</v>
          </cell>
          <cell r="B1195" t="str">
            <v>HYDRAGAUGE SHUTTLE</v>
          </cell>
          <cell r="C1195">
            <v>102</v>
          </cell>
          <cell r="D1195">
            <v>102</v>
          </cell>
          <cell r="E1195">
            <v>102</v>
          </cell>
          <cell r="F1195">
            <v>102</v>
          </cell>
          <cell r="G1195">
            <v>102</v>
          </cell>
          <cell r="H1195">
            <v>0</v>
          </cell>
        </row>
        <row r="1196">
          <cell r="A1196" t="str">
            <v>IC-2003</v>
          </cell>
          <cell r="B1196" t="str">
            <v>IC 2003 INVERTER DRIVER DIL CASE</v>
          </cell>
          <cell r="C1196">
            <v>1.65</v>
          </cell>
          <cell r="D1196">
            <v>1.65</v>
          </cell>
          <cell r="E1196">
            <v>1.65</v>
          </cell>
          <cell r="F1196">
            <v>1.65</v>
          </cell>
          <cell r="G1196">
            <v>1.65</v>
          </cell>
          <cell r="H1196">
            <v>1.24</v>
          </cell>
          <cell r="I1196">
            <v>40252</v>
          </cell>
        </row>
        <row r="1197">
          <cell r="A1197" t="str">
            <v>IC-34063</v>
          </cell>
          <cell r="B1197" t="str">
            <v>IC MC34063API MOTOROLA SWITCHER IC</v>
          </cell>
          <cell r="C1197">
            <v>1.6</v>
          </cell>
          <cell r="D1197">
            <v>1.6</v>
          </cell>
          <cell r="E1197">
            <v>1.6</v>
          </cell>
          <cell r="F1197">
            <v>1.6</v>
          </cell>
          <cell r="G1197">
            <v>1.6</v>
          </cell>
          <cell r="H1197">
            <v>1.21</v>
          </cell>
          <cell r="I1197">
            <v>40252</v>
          </cell>
        </row>
        <row r="1198">
          <cell r="A1198" t="str">
            <v>IC-3914N</v>
          </cell>
          <cell r="B1198" t="str">
            <v>IC 3914N BAR GRAPH DISPLAY DRIVER</v>
          </cell>
          <cell r="C1198">
            <v>2.67</v>
          </cell>
          <cell r="D1198">
            <v>2.67</v>
          </cell>
          <cell r="E1198">
            <v>2.67</v>
          </cell>
          <cell r="F1198">
            <v>2.67</v>
          </cell>
          <cell r="G1198">
            <v>2.67</v>
          </cell>
          <cell r="H1198">
            <v>5.6</v>
          </cell>
        </row>
        <row r="1199">
          <cell r="A1199" t="str">
            <v>IC-40106</v>
          </cell>
          <cell r="B1199" t="str">
            <v>IC 40106 HEX SCHMITT TRIGGER</v>
          </cell>
          <cell r="C1199">
            <v>2</v>
          </cell>
          <cell r="D1199">
            <v>2</v>
          </cell>
          <cell r="E1199">
            <v>2</v>
          </cell>
          <cell r="F1199">
            <v>2</v>
          </cell>
          <cell r="G1199">
            <v>2</v>
          </cell>
          <cell r="H1199">
            <v>5.0000000000000001E-3</v>
          </cell>
        </row>
        <row r="1200">
          <cell r="A1200" t="str">
            <v>IC-4011</v>
          </cell>
          <cell r="B1200" t="str">
            <v>IC 4011B QUAD 2 INPUT</v>
          </cell>
          <cell r="C1200">
            <v>1.25</v>
          </cell>
          <cell r="D1200">
            <v>1.25</v>
          </cell>
          <cell r="E1200">
            <v>1.25</v>
          </cell>
          <cell r="F1200">
            <v>1.25</v>
          </cell>
          <cell r="G1200">
            <v>1.25</v>
          </cell>
          <cell r="H1200">
            <v>0</v>
          </cell>
        </row>
        <row r="1201">
          <cell r="A1201" t="str">
            <v>IC-4028</v>
          </cell>
          <cell r="B1201" t="str">
            <v>IC4028 BCD TO DEC DECODER</v>
          </cell>
          <cell r="C1201">
            <v>2</v>
          </cell>
          <cell r="D1201">
            <v>2</v>
          </cell>
          <cell r="E1201">
            <v>2</v>
          </cell>
          <cell r="F1201">
            <v>2</v>
          </cell>
          <cell r="G1201">
            <v>2</v>
          </cell>
          <cell r="H1201">
            <v>6.4</v>
          </cell>
        </row>
        <row r="1202">
          <cell r="A1202" t="str">
            <v>IC-4073</v>
          </cell>
          <cell r="B1202" t="str">
            <v>IC 4073 TRIPLE 3 INPUT AND GATE</v>
          </cell>
          <cell r="C1202">
            <v>1.25</v>
          </cell>
          <cell r="D1202">
            <v>1.25</v>
          </cell>
          <cell r="E1202">
            <v>1.25</v>
          </cell>
          <cell r="F1202">
            <v>1.25</v>
          </cell>
          <cell r="G1202">
            <v>1.25</v>
          </cell>
          <cell r="H1202">
            <v>1.1599999999999999</v>
          </cell>
        </row>
        <row r="1203">
          <cell r="A1203" t="str">
            <v>IC-4075</v>
          </cell>
          <cell r="B1203" t="str">
            <v>IC 4075B.CMOS  3X3 OR GATE</v>
          </cell>
          <cell r="C1203">
            <v>1</v>
          </cell>
          <cell r="D1203">
            <v>1</v>
          </cell>
          <cell r="E1203">
            <v>1</v>
          </cell>
          <cell r="F1203">
            <v>1</v>
          </cell>
          <cell r="G1203">
            <v>1</v>
          </cell>
          <cell r="H1203">
            <v>1.56</v>
          </cell>
        </row>
        <row r="1204">
          <cell r="A1204" t="str">
            <v>IC-4076</v>
          </cell>
          <cell r="B1204" t="str">
            <v>IC 4076B TRI STATE QUAD LATCH</v>
          </cell>
          <cell r="C1204">
            <v>2</v>
          </cell>
          <cell r="D1204">
            <v>2</v>
          </cell>
          <cell r="E1204">
            <v>2</v>
          </cell>
          <cell r="F1204">
            <v>2</v>
          </cell>
          <cell r="G1204">
            <v>2</v>
          </cell>
          <cell r="H1204">
            <v>1.32</v>
          </cell>
        </row>
        <row r="1205">
          <cell r="A1205" t="str">
            <v>IC-4510</v>
          </cell>
          <cell r="B1205" t="str">
            <v>IC 4510 BCD UP DOWN COUNTER</v>
          </cell>
          <cell r="C1205">
            <v>2.5</v>
          </cell>
          <cell r="D1205">
            <v>2.5</v>
          </cell>
          <cell r="E1205">
            <v>2.5</v>
          </cell>
          <cell r="F1205">
            <v>2.5</v>
          </cell>
          <cell r="G1205">
            <v>2.5</v>
          </cell>
          <cell r="H1205">
            <v>2.92</v>
          </cell>
        </row>
        <row r="1206">
          <cell r="A1206" t="str">
            <v>IC-4N35</v>
          </cell>
          <cell r="B1206" t="str">
            <v>IC 4N35 OPTO COUPLER</v>
          </cell>
          <cell r="C1206">
            <v>1.45</v>
          </cell>
          <cell r="D1206">
            <v>1.45</v>
          </cell>
          <cell r="E1206">
            <v>1.45</v>
          </cell>
          <cell r="F1206">
            <v>1.45</v>
          </cell>
          <cell r="G1206">
            <v>1.45</v>
          </cell>
          <cell r="H1206">
            <v>1.79</v>
          </cell>
        </row>
        <row r="1207">
          <cell r="A1207" t="str">
            <v>IC-555C</v>
          </cell>
          <cell r="B1207" t="str">
            <v>IC 7555 CMOS VERSION</v>
          </cell>
          <cell r="C1207">
            <v>2.5</v>
          </cell>
          <cell r="D1207">
            <v>2.5</v>
          </cell>
          <cell r="E1207">
            <v>2.5</v>
          </cell>
          <cell r="F1207">
            <v>2.5</v>
          </cell>
          <cell r="G1207">
            <v>2.5</v>
          </cell>
          <cell r="H1207">
            <v>1.08</v>
          </cell>
        </row>
        <row r="1208">
          <cell r="A1208" t="str">
            <v>IC-556B</v>
          </cell>
          <cell r="B1208" t="str">
            <v>IC 556 'BIPOLAR' DUAL TIMER CASES</v>
          </cell>
          <cell r="C1208">
            <v>0</v>
          </cell>
          <cell r="D1208">
            <v>0</v>
          </cell>
          <cell r="E1208">
            <v>0</v>
          </cell>
          <cell r="F1208">
            <v>0</v>
          </cell>
          <cell r="G1208">
            <v>0</v>
          </cell>
          <cell r="H1208">
            <v>0.75600000000000001</v>
          </cell>
        </row>
        <row r="1209">
          <cell r="A1209" t="str">
            <v>IC-74HC123</v>
          </cell>
          <cell r="B1209" t="str">
            <v>IC 74HC123 HCMOS DUAL RETRIGGERA</v>
          </cell>
          <cell r="C1209">
            <v>0</v>
          </cell>
          <cell r="D1209">
            <v>0</v>
          </cell>
          <cell r="E1209">
            <v>0</v>
          </cell>
          <cell r="F1209">
            <v>0</v>
          </cell>
          <cell r="G1209">
            <v>0</v>
          </cell>
          <cell r="H1209">
            <v>0.61</v>
          </cell>
        </row>
        <row r="1210">
          <cell r="A1210" t="str">
            <v>IC-74HC245</v>
          </cell>
          <cell r="B1210" t="str">
            <v>IC.74HC245.DIP CASE.OCTAL TRI-STATE BUFF</v>
          </cell>
          <cell r="C1210">
            <v>1.4</v>
          </cell>
          <cell r="D1210">
            <v>1.4</v>
          </cell>
          <cell r="E1210">
            <v>1.4</v>
          </cell>
          <cell r="F1210">
            <v>1.4</v>
          </cell>
          <cell r="G1210">
            <v>1.4</v>
          </cell>
          <cell r="H1210">
            <v>1.028</v>
          </cell>
        </row>
        <row r="1211">
          <cell r="A1211" t="str">
            <v>IC-7556C</v>
          </cell>
          <cell r="B1211" t="str">
            <v>IC 7556CMOS VERSION OF 556 DUALTI</v>
          </cell>
          <cell r="C1211">
            <v>0</v>
          </cell>
          <cell r="D1211">
            <v>0</v>
          </cell>
          <cell r="E1211">
            <v>0</v>
          </cell>
          <cell r="F1211">
            <v>0</v>
          </cell>
          <cell r="G1211">
            <v>0</v>
          </cell>
          <cell r="H1211">
            <v>0</v>
          </cell>
        </row>
        <row r="1212">
          <cell r="A1212" t="str">
            <v>IC-7805</v>
          </cell>
          <cell r="B1212" t="str">
            <v>IC 7805 REGULATOR 5V 1A</v>
          </cell>
          <cell r="C1212">
            <v>0.74</v>
          </cell>
          <cell r="D1212">
            <v>0.74</v>
          </cell>
          <cell r="E1212">
            <v>0.74</v>
          </cell>
          <cell r="F1212">
            <v>0.74</v>
          </cell>
          <cell r="G1212">
            <v>0.74</v>
          </cell>
          <cell r="H1212">
            <v>1</v>
          </cell>
        </row>
        <row r="1213">
          <cell r="A1213" t="str">
            <v>IC-7812</v>
          </cell>
          <cell r="B1213" t="str">
            <v>IC 7812 REGUALTOR 12V 1A</v>
          </cell>
          <cell r="C1213">
            <v>2.7</v>
          </cell>
          <cell r="D1213">
            <v>2.7</v>
          </cell>
          <cell r="E1213">
            <v>2.7</v>
          </cell>
          <cell r="F1213">
            <v>2.7</v>
          </cell>
          <cell r="G1213">
            <v>2.7</v>
          </cell>
          <cell r="H1213">
            <v>0</v>
          </cell>
        </row>
        <row r="1214">
          <cell r="A1214" t="str">
            <v>IC-78L12</v>
          </cell>
          <cell r="B1214" t="str">
            <v>IC 78L12 REGULATOR 12V 100MA</v>
          </cell>
          <cell r="C1214">
            <v>3</v>
          </cell>
          <cell r="D1214">
            <v>3</v>
          </cell>
          <cell r="E1214">
            <v>3</v>
          </cell>
          <cell r="F1214">
            <v>3</v>
          </cell>
          <cell r="G1214">
            <v>3</v>
          </cell>
          <cell r="H1214">
            <v>0.79</v>
          </cell>
        </row>
        <row r="1215">
          <cell r="A1215" t="str">
            <v>IC-LM339</v>
          </cell>
          <cell r="B1215" t="str">
            <v>IC  LM339N QUAD COMPARATOR</v>
          </cell>
          <cell r="C1215">
            <v>1.29</v>
          </cell>
          <cell r="D1215">
            <v>1.29</v>
          </cell>
          <cell r="E1215">
            <v>1.29</v>
          </cell>
          <cell r="F1215">
            <v>1.29</v>
          </cell>
          <cell r="G1215">
            <v>1.29</v>
          </cell>
          <cell r="H1215">
            <v>1.43</v>
          </cell>
        </row>
        <row r="1216">
          <cell r="A1216" t="str">
            <v>IC-LM358</v>
          </cell>
          <cell r="B1216" t="str">
            <v>IC LM358CN.DUAL OP AMP. DIL CASE..</v>
          </cell>
          <cell r="C1216">
            <v>2</v>
          </cell>
          <cell r="D1216">
            <v>2</v>
          </cell>
          <cell r="E1216">
            <v>2</v>
          </cell>
          <cell r="F1216">
            <v>2</v>
          </cell>
          <cell r="G1216">
            <v>2</v>
          </cell>
          <cell r="H1216">
            <v>0</v>
          </cell>
        </row>
        <row r="1217">
          <cell r="A1217" t="str">
            <v>IC-LM393</v>
          </cell>
          <cell r="B1217" t="str">
            <v>IC LM393P DIL CASE OP AMP</v>
          </cell>
          <cell r="C1217">
            <v>1.05</v>
          </cell>
          <cell r="D1217">
            <v>1.05</v>
          </cell>
          <cell r="E1217">
            <v>1.05</v>
          </cell>
          <cell r="F1217">
            <v>1.05</v>
          </cell>
          <cell r="G1217">
            <v>1.05</v>
          </cell>
          <cell r="H1217">
            <v>0.21</v>
          </cell>
        </row>
        <row r="1218">
          <cell r="A1218" t="str">
            <v>IC-WDSOT235</v>
          </cell>
          <cell r="B1218" t="str">
            <v>IC WATCHDOG TIME CIRCUIT SOT23-5</v>
          </cell>
          <cell r="C1218">
            <v>0</v>
          </cell>
          <cell r="D1218">
            <v>0</v>
          </cell>
          <cell r="E1218">
            <v>0</v>
          </cell>
          <cell r="F1218">
            <v>0</v>
          </cell>
          <cell r="G1218">
            <v>0</v>
          </cell>
          <cell r="H1218">
            <v>0</v>
          </cell>
        </row>
        <row r="1219">
          <cell r="A1219" t="str">
            <v>IC1014C</v>
          </cell>
          <cell r="B1219" t="str">
            <v>IC LT1014CN.PRECISION QUAD OP AMP</v>
          </cell>
          <cell r="C1219">
            <v>21.28</v>
          </cell>
          <cell r="D1219">
            <v>21.28</v>
          </cell>
          <cell r="E1219">
            <v>21.28</v>
          </cell>
          <cell r="F1219">
            <v>21.28</v>
          </cell>
          <cell r="G1219">
            <v>21.28</v>
          </cell>
          <cell r="H1219">
            <v>0</v>
          </cell>
        </row>
        <row r="1220">
          <cell r="A1220" t="str">
            <v>IC1050C</v>
          </cell>
          <cell r="B1220" t="str">
            <v>IC LTC1050CN</v>
          </cell>
          <cell r="C1220">
            <v>9.2100000000000009</v>
          </cell>
          <cell r="D1220">
            <v>9.2100000000000009</v>
          </cell>
          <cell r="E1220">
            <v>9.2100000000000009</v>
          </cell>
          <cell r="F1220">
            <v>9.2100000000000009</v>
          </cell>
          <cell r="G1220">
            <v>9.2100000000000009</v>
          </cell>
          <cell r="H1220">
            <v>0</v>
          </cell>
        </row>
        <row r="1221">
          <cell r="A1221" t="str">
            <v>IC1051C</v>
          </cell>
          <cell r="B1221" t="str">
            <v>IC LTC1051CN8 DUAL CMOS OPERATIONAL AMPL</v>
          </cell>
          <cell r="C1221">
            <v>38</v>
          </cell>
          <cell r="D1221">
            <v>38</v>
          </cell>
          <cell r="E1221">
            <v>38</v>
          </cell>
          <cell r="F1221">
            <v>38</v>
          </cell>
          <cell r="G1221">
            <v>38</v>
          </cell>
          <cell r="H1221">
            <v>0</v>
          </cell>
        </row>
        <row r="1222">
          <cell r="A1222" t="str">
            <v>IC1078CN</v>
          </cell>
          <cell r="B1222" t="str">
            <v>IC LT1078CN DUAL PRECISION OP AMP</v>
          </cell>
          <cell r="C1222">
            <v>10.75</v>
          </cell>
          <cell r="D1222">
            <v>10.75</v>
          </cell>
          <cell r="E1222">
            <v>10.75</v>
          </cell>
          <cell r="F1222">
            <v>10.75</v>
          </cell>
          <cell r="G1222">
            <v>10.75</v>
          </cell>
          <cell r="H1222">
            <v>0</v>
          </cell>
        </row>
        <row r="1223">
          <cell r="A1223" t="str">
            <v>IC1079CN</v>
          </cell>
          <cell r="B1223" t="str">
            <v>IC LT1079CN QUAD PRECISION OP AMP.</v>
          </cell>
          <cell r="C1223">
            <v>22.99</v>
          </cell>
          <cell r="D1223">
            <v>28.47</v>
          </cell>
          <cell r="E1223">
            <v>28.47</v>
          </cell>
          <cell r="F1223">
            <v>28.47</v>
          </cell>
          <cell r="G1223">
            <v>28.47</v>
          </cell>
          <cell r="H1223">
            <v>0</v>
          </cell>
          <cell r="I1223">
            <v>39883</v>
          </cell>
        </row>
        <row r="1224">
          <cell r="A1224" t="str">
            <v>IC1100C</v>
          </cell>
          <cell r="B1224" t="str">
            <v>IC LTC1100CN</v>
          </cell>
          <cell r="C1224">
            <v>22.76</v>
          </cell>
          <cell r="D1224">
            <v>22.76</v>
          </cell>
          <cell r="E1224">
            <v>22.76</v>
          </cell>
          <cell r="F1224">
            <v>22.76</v>
          </cell>
          <cell r="G1224">
            <v>22.76</v>
          </cell>
          <cell r="H1224">
            <v>0</v>
          </cell>
        </row>
        <row r="1225">
          <cell r="A1225" t="str">
            <v>IC1129CT</v>
          </cell>
          <cell r="B1225" t="str">
            <v>IC-ADJUSTABLE VOLTAGE REG. #525-819</v>
          </cell>
          <cell r="C1225">
            <v>16.739999999999998</v>
          </cell>
          <cell r="D1225">
            <v>16.739999999999998</v>
          </cell>
          <cell r="E1225">
            <v>16.739999999999998</v>
          </cell>
          <cell r="F1225">
            <v>16.739999999999998</v>
          </cell>
          <cell r="G1225">
            <v>16.739999999999998</v>
          </cell>
          <cell r="H1225">
            <v>0</v>
          </cell>
        </row>
        <row r="1226">
          <cell r="A1226" t="str">
            <v>IC1210H</v>
          </cell>
          <cell r="B1226" t="str">
            <v>IC ADC1210HCD A TO D CONVERTER..</v>
          </cell>
          <cell r="C1226">
            <v>188.06</v>
          </cell>
          <cell r="D1226">
            <v>188.06</v>
          </cell>
          <cell r="E1226">
            <v>188.06</v>
          </cell>
          <cell r="F1226">
            <v>188.06</v>
          </cell>
          <cell r="G1226">
            <v>188.06</v>
          </cell>
          <cell r="H1226">
            <v>0</v>
          </cell>
        </row>
        <row r="1227">
          <cell r="A1227" t="str">
            <v>IC1830N</v>
          </cell>
          <cell r="B1227" t="str">
            <v>IC LM1830N WATER DETECTOR</v>
          </cell>
          <cell r="C1227">
            <v>16</v>
          </cell>
          <cell r="D1227">
            <v>16</v>
          </cell>
          <cell r="E1227">
            <v>16</v>
          </cell>
          <cell r="F1227">
            <v>16</v>
          </cell>
          <cell r="G1227">
            <v>16</v>
          </cell>
          <cell r="H1227">
            <v>0</v>
          </cell>
        </row>
        <row r="1228">
          <cell r="A1228" t="str">
            <v>IC24C01</v>
          </cell>
          <cell r="B1228" t="str">
            <v>IC24C01 1K SERIAL EEPROM IC</v>
          </cell>
          <cell r="C1228">
            <v>2.2000000000000002</v>
          </cell>
          <cell r="D1228">
            <v>2.7</v>
          </cell>
          <cell r="E1228">
            <v>2.7</v>
          </cell>
          <cell r="F1228">
            <v>2.7</v>
          </cell>
          <cell r="G1228">
            <v>2.7</v>
          </cell>
          <cell r="H1228">
            <v>0</v>
          </cell>
          <cell r="I1228">
            <v>39883</v>
          </cell>
        </row>
        <row r="1229">
          <cell r="A1229" t="str">
            <v>IC4250C</v>
          </cell>
          <cell r="B1229" t="str">
            <v>IC LM4250CN..PROG OPAMPNATIONAL BRAND</v>
          </cell>
          <cell r="C1229">
            <v>4.6500000000000004</v>
          </cell>
          <cell r="D1229">
            <v>4.6500000000000004</v>
          </cell>
          <cell r="E1229">
            <v>4.6500000000000004</v>
          </cell>
          <cell r="F1229">
            <v>4.6500000000000004</v>
          </cell>
          <cell r="G1229">
            <v>4.6500000000000004</v>
          </cell>
          <cell r="H1229">
            <v>0</v>
          </cell>
        </row>
        <row r="1230">
          <cell r="A1230" t="str">
            <v>IC5321</v>
          </cell>
          <cell r="B1230" t="str">
            <v>IC  12 BIT D A 5321</v>
          </cell>
          <cell r="C1230">
            <v>0</v>
          </cell>
          <cell r="D1230">
            <v>0</v>
          </cell>
          <cell r="E1230">
            <v>0</v>
          </cell>
          <cell r="F1230">
            <v>0</v>
          </cell>
          <cell r="G1230">
            <v>0</v>
          </cell>
          <cell r="H1230">
            <v>0</v>
          </cell>
        </row>
        <row r="1231">
          <cell r="A1231" t="str">
            <v>IC5516A</v>
          </cell>
          <cell r="B1231" t="str">
            <v>IC  TC5516APL RAM CHIP</v>
          </cell>
          <cell r="C1231">
            <v>6.5</v>
          </cell>
          <cell r="D1231">
            <v>6.5</v>
          </cell>
          <cell r="E1231">
            <v>6.5</v>
          </cell>
          <cell r="F1231">
            <v>6.5</v>
          </cell>
          <cell r="G1231">
            <v>6.5</v>
          </cell>
          <cell r="H1231">
            <v>0</v>
          </cell>
        </row>
        <row r="1232">
          <cell r="A1232" t="str">
            <v>IC5537N</v>
          </cell>
          <cell r="B1232" t="str">
            <v>IC NE5537N DIL CASE</v>
          </cell>
          <cell r="C1232">
            <v>0</v>
          </cell>
          <cell r="D1232">
            <v>0</v>
          </cell>
          <cell r="E1232">
            <v>0</v>
          </cell>
          <cell r="F1232">
            <v>0</v>
          </cell>
          <cell r="G1232">
            <v>0</v>
          </cell>
          <cell r="H1232">
            <v>0</v>
          </cell>
        </row>
        <row r="1233">
          <cell r="A1233" t="str">
            <v>IC666CP</v>
          </cell>
          <cell r="B1233" t="str">
            <v>IC MAX 666CPA 5V VOLTAGE REGULATOR 8 PIN</v>
          </cell>
          <cell r="C1233">
            <v>17</v>
          </cell>
          <cell r="D1233">
            <v>17</v>
          </cell>
          <cell r="E1233">
            <v>17</v>
          </cell>
          <cell r="F1233">
            <v>17</v>
          </cell>
          <cell r="G1233">
            <v>17</v>
          </cell>
          <cell r="H1233">
            <v>0</v>
          </cell>
        </row>
        <row r="1234">
          <cell r="A1234" t="str">
            <v>IC6805E</v>
          </cell>
          <cell r="B1234" t="str">
            <v>IC MC146805E2CP EXT TEMP RANGE MPU</v>
          </cell>
          <cell r="C1234">
            <v>17.61</v>
          </cell>
          <cell r="D1234">
            <v>17.61</v>
          </cell>
          <cell r="E1234">
            <v>17.61</v>
          </cell>
          <cell r="F1234">
            <v>17.61</v>
          </cell>
          <cell r="G1234">
            <v>17.61</v>
          </cell>
          <cell r="H1234">
            <v>0</v>
          </cell>
        </row>
        <row r="1235">
          <cell r="A1235" t="str">
            <v>IC68705</v>
          </cell>
          <cell r="B1235" t="str">
            <v>IC MC68705U3CS EXT TEMP RANGE MPU</v>
          </cell>
          <cell r="C1235">
            <v>56.55</v>
          </cell>
          <cell r="D1235">
            <v>56.55</v>
          </cell>
          <cell r="E1235">
            <v>56.55</v>
          </cell>
          <cell r="F1235">
            <v>56.55</v>
          </cell>
          <cell r="G1235">
            <v>56.55</v>
          </cell>
          <cell r="H1235">
            <v>0</v>
          </cell>
        </row>
        <row r="1236">
          <cell r="A1236" t="str">
            <v>IC694BQ</v>
          </cell>
          <cell r="B1236" t="str">
            <v>IC AD694BQ CONVERTER ANOLOGUE DEVICES</v>
          </cell>
          <cell r="C1236">
            <v>37.159999999999997</v>
          </cell>
          <cell r="D1236">
            <v>37.159999999999997</v>
          </cell>
          <cell r="E1236">
            <v>37.159999999999997</v>
          </cell>
          <cell r="F1236">
            <v>37.159999999999997</v>
          </cell>
          <cell r="G1236">
            <v>37.159999999999997</v>
          </cell>
          <cell r="H1236">
            <v>0</v>
          </cell>
        </row>
        <row r="1237">
          <cell r="A1237" t="str">
            <v>IC71054C</v>
          </cell>
          <cell r="B1237" t="str">
            <v>UPD71054C CMOS TIMER COUNTER CHIP</v>
          </cell>
          <cell r="C1237">
            <v>20.52</v>
          </cell>
          <cell r="D1237">
            <v>20.52</v>
          </cell>
          <cell r="E1237">
            <v>20.52</v>
          </cell>
          <cell r="F1237">
            <v>20.52</v>
          </cell>
          <cell r="G1237">
            <v>20.52</v>
          </cell>
          <cell r="H1237">
            <v>0</v>
          </cell>
        </row>
        <row r="1238">
          <cell r="A1238" t="str">
            <v>IC7115J</v>
          </cell>
          <cell r="B1238" t="str">
            <v>IC ICL7115JIDL.(JCDL).14 BIT A-DCONVERTE</v>
          </cell>
          <cell r="C1238">
            <v>188.49</v>
          </cell>
          <cell r="D1238">
            <v>188.49</v>
          </cell>
          <cell r="E1238">
            <v>188.49</v>
          </cell>
          <cell r="F1238">
            <v>188.49</v>
          </cell>
          <cell r="G1238">
            <v>188.49</v>
          </cell>
          <cell r="H1238">
            <v>0</v>
          </cell>
        </row>
        <row r="1239">
          <cell r="A1239" t="str">
            <v>IC74HC192</v>
          </cell>
          <cell r="B1239" t="str">
            <v>IC 74HC192 HCMOS 4 BIT PRES</v>
          </cell>
          <cell r="C1239">
            <v>1.2</v>
          </cell>
          <cell r="D1239">
            <v>1.2</v>
          </cell>
          <cell r="E1239">
            <v>1.2</v>
          </cell>
          <cell r="F1239">
            <v>1.2</v>
          </cell>
          <cell r="G1239">
            <v>1.2</v>
          </cell>
          <cell r="H1239">
            <v>0</v>
          </cell>
        </row>
        <row r="1240">
          <cell r="A1240" t="str">
            <v>IC7660C</v>
          </cell>
          <cell r="B1240" t="str">
            <v>"IC ICL7660 CPA..HARRIS""VOLTAGE CONVERT</v>
          </cell>
          <cell r="C1240">
            <v>5.3</v>
          </cell>
          <cell r="D1240">
            <v>5.3</v>
          </cell>
          <cell r="E1240">
            <v>5.3</v>
          </cell>
          <cell r="F1240">
            <v>5.3</v>
          </cell>
          <cell r="G1240">
            <v>5.3</v>
          </cell>
          <cell r="H1240">
            <v>0</v>
          </cell>
        </row>
        <row r="1241">
          <cell r="A1241" t="str">
            <v>IC7662C</v>
          </cell>
          <cell r="B1241" t="str">
            <v>IC ICL7662CPA VOLTAGE CONVERTER</v>
          </cell>
          <cell r="C1241">
            <v>5.88</v>
          </cell>
          <cell r="D1241">
            <v>5.88</v>
          </cell>
          <cell r="E1241">
            <v>5.88</v>
          </cell>
          <cell r="F1241">
            <v>5.88</v>
          </cell>
          <cell r="G1241">
            <v>5.88</v>
          </cell>
          <cell r="H1241">
            <v>0</v>
          </cell>
        </row>
        <row r="1242">
          <cell r="A1242" t="str">
            <v>IC7871A</v>
          </cell>
          <cell r="B1242" t="str">
            <v>IC AD7871TQ.ANALOGUE DEVICES A-D CONVERT</v>
          </cell>
          <cell r="C1242">
            <v>138.59</v>
          </cell>
          <cell r="D1242">
            <v>138.59</v>
          </cell>
          <cell r="E1242">
            <v>138.59</v>
          </cell>
          <cell r="F1242">
            <v>138.59</v>
          </cell>
          <cell r="G1242">
            <v>138.59</v>
          </cell>
          <cell r="H1242">
            <v>0</v>
          </cell>
        </row>
        <row r="1243">
          <cell r="A1243" t="str">
            <v>IC80552</v>
          </cell>
          <cell r="B1243" t="str">
            <v>IC PHILLIPS 80C552-5-16WP MICRO</v>
          </cell>
          <cell r="C1243">
            <v>29</v>
          </cell>
          <cell r="D1243">
            <v>36</v>
          </cell>
          <cell r="E1243">
            <v>36</v>
          </cell>
          <cell r="F1243">
            <v>36</v>
          </cell>
          <cell r="G1243">
            <v>36</v>
          </cell>
          <cell r="H1243">
            <v>25</v>
          </cell>
          <cell r="I1243">
            <v>39883</v>
          </cell>
        </row>
        <row r="1244">
          <cell r="A1244" t="str">
            <v>IC8591</v>
          </cell>
          <cell r="B1244" t="str">
            <v>IC 8591 PHILIPS A TO D-D TO A (IIC)</v>
          </cell>
          <cell r="C1244">
            <v>11.25</v>
          </cell>
          <cell r="D1244">
            <v>11.25</v>
          </cell>
          <cell r="E1244">
            <v>11.25</v>
          </cell>
          <cell r="F1244">
            <v>11.25</v>
          </cell>
          <cell r="G1244">
            <v>11.25</v>
          </cell>
          <cell r="H1244">
            <v>0</v>
          </cell>
        </row>
        <row r="1245">
          <cell r="A1245" t="str">
            <v>IC87C51</v>
          </cell>
          <cell r="B1245" t="str">
            <v>IC SC87C51ACN40.OTP.MICRO. -40 TO +85 C</v>
          </cell>
          <cell r="C1245">
            <v>53.66</v>
          </cell>
          <cell r="D1245">
            <v>53.66</v>
          </cell>
          <cell r="E1245">
            <v>53.66</v>
          </cell>
          <cell r="F1245">
            <v>53.66</v>
          </cell>
          <cell r="G1245">
            <v>53.66</v>
          </cell>
          <cell r="H1245">
            <v>0</v>
          </cell>
        </row>
        <row r="1246">
          <cell r="A1246" t="str">
            <v>ICAT2051</v>
          </cell>
          <cell r="B1246" t="str">
            <v>IC  MICRO AT89C2051</v>
          </cell>
          <cell r="C1246">
            <v>6.5</v>
          </cell>
          <cell r="D1246">
            <v>6.5</v>
          </cell>
          <cell r="E1246">
            <v>6.5</v>
          </cell>
          <cell r="F1246">
            <v>6.5</v>
          </cell>
          <cell r="G1246">
            <v>6.5</v>
          </cell>
          <cell r="H1246">
            <v>0</v>
          </cell>
        </row>
        <row r="1247">
          <cell r="A1247" t="str">
            <v>ICAT4051</v>
          </cell>
          <cell r="B1247" t="str">
            <v>IC  ATMEL 4K FLASH 89C4051 MICRO - DIL</v>
          </cell>
          <cell r="C1247">
            <v>8</v>
          </cell>
          <cell r="D1247">
            <v>8</v>
          </cell>
          <cell r="E1247">
            <v>8</v>
          </cell>
          <cell r="F1247">
            <v>8</v>
          </cell>
          <cell r="G1247">
            <v>8</v>
          </cell>
          <cell r="H1247">
            <v>0</v>
          </cell>
        </row>
        <row r="1248">
          <cell r="A1248" t="str">
            <v>ICAT8952</v>
          </cell>
          <cell r="B1248" t="str">
            <v>ATMEL 89C52 FLASH MICROCONTROLLER</v>
          </cell>
          <cell r="C1248">
            <v>12.6</v>
          </cell>
          <cell r="D1248">
            <v>12.6</v>
          </cell>
          <cell r="E1248">
            <v>12.6</v>
          </cell>
          <cell r="F1248">
            <v>12.6</v>
          </cell>
          <cell r="G1248">
            <v>12.6</v>
          </cell>
          <cell r="H1248">
            <v>0</v>
          </cell>
        </row>
        <row r="1249">
          <cell r="A1249" t="str">
            <v>ICDS1232</v>
          </cell>
          <cell r="B1249" t="str">
            <v>IC DS1232 ECONO RESET CHIP</v>
          </cell>
          <cell r="C1249">
            <v>4</v>
          </cell>
          <cell r="D1249">
            <v>4</v>
          </cell>
          <cell r="E1249">
            <v>4</v>
          </cell>
          <cell r="F1249">
            <v>4</v>
          </cell>
          <cell r="G1249">
            <v>4</v>
          </cell>
          <cell r="H1249">
            <v>0</v>
          </cell>
        </row>
        <row r="1250">
          <cell r="A1250" t="str">
            <v>ICHC705</v>
          </cell>
          <cell r="B1250" t="str">
            <v>IC MC68HC705C8S MOTOROLA MPU.MULTIPROGRA</v>
          </cell>
          <cell r="C1250">
            <v>84</v>
          </cell>
          <cell r="D1250">
            <v>84</v>
          </cell>
          <cell r="E1250">
            <v>84</v>
          </cell>
          <cell r="F1250">
            <v>84</v>
          </cell>
          <cell r="G1250">
            <v>84</v>
          </cell>
          <cell r="H1250">
            <v>0</v>
          </cell>
        </row>
        <row r="1251">
          <cell r="A1251" t="str">
            <v>ICHC706</v>
          </cell>
          <cell r="B1251" t="str">
            <v>IC MC68HC705C8P MOTOROLA MPU.ONE SHOT PR</v>
          </cell>
          <cell r="C1251">
            <v>30</v>
          </cell>
          <cell r="D1251">
            <v>30</v>
          </cell>
          <cell r="E1251">
            <v>30</v>
          </cell>
          <cell r="F1251">
            <v>30</v>
          </cell>
          <cell r="G1251">
            <v>30</v>
          </cell>
          <cell r="H1251">
            <v>21.29</v>
          </cell>
        </row>
        <row r="1252">
          <cell r="A1252" t="str">
            <v>ICLM338</v>
          </cell>
          <cell r="B1252" t="str">
            <v>IC LM338KSTEEL VOLTAGE REGULATOR</v>
          </cell>
          <cell r="C1252">
            <v>63</v>
          </cell>
          <cell r="D1252">
            <v>63</v>
          </cell>
          <cell r="E1252">
            <v>63</v>
          </cell>
          <cell r="F1252">
            <v>63</v>
          </cell>
          <cell r="G1252">
            <v>63</v>
          </cell>
          <cell r="H1252">
            <v>0</v>
          </cell>
        </row>
        <row r="1253">
          <cell r="A1253" t="str">
            <v>ICLT1084</v>
          </cell>
          <cell r="B1253" t="str">
            <v>IC LT1084CT5 VOLTAGE REGULATOR</v>
          </cell>
          <cell r="C1253">
            <v>66.5</v>
          </cell>
          <cell r="D1253">
            <v>66.5</v>
          </cell>
          <cell r="E1253">
            <v>66.5</v>
          </cell>
          <cell r="F1253">
            <v>66.5</v>
          </cell>
          <cell r="G1253">
            <v>66.5</v>
          </cell>
          <cell r="H1253">
            <v>0</v>
          </cell>
        </row>
        <row r="1254">
          <cell r="A1254" t="str">
            <v>ICLTC1050</v>
          </cell>
          <cell r="B1254" t="str">
            <v>IC LTC1050CS8</v>
          </cell>
          <cell r="C1254">
            <v>19</v>
          </cell>
          <cell r="D1254">
            <v>19</v>
          </cell>
          <cell r="E1254">
            <v>19</v>
          </cell>
          <cell r="F1254">
            <v>19</v>
          </cell>
          <cell r="G1254">
            <v>19</v>
          </cell>
          <cell r="H1254">
            <v>7</v>
          </cell>
        </row>
        <row r="1255">
          <cell r="A1255" t="str">
            <v>ICM6256</v>
          </cell>
          <cell r="B1255" t="str">
            <v>IC MC62256LP-10-12 ns 32Kx8 SRAM.</v>
          </cell>
          <cell r="C1255">
            <v>14.71</v>
          </cell>
          <cell r="D1255">
            <v>14.71</v>
          </cell>
          <cell r="E1255">
            <v>14.71</v>
          </cell>
          <cell r="F1255">
            <v>14.71</v>
          </cell>
          <cell r="G1255">
            <v>14.71</v>
          </cell>
          <cell r="H1255">
            <v>0</v>
          </cell>
        </row>
        <row r="1256">
          <cell r="A1256" t="str">
            <v>ICMAX1837</v>
          </cell>
          <cell r="B1256" t="str">
            <v>24V INTERNAL SWITCH STEP-DOWN CONVERTER</v>
          </cell>
          <cell r="C1256">
            <v>8</v>
          </cell>
          <cell r="D1256">
            <v>8</v>
          </cell>
          <cell r="E1256">
            <v>8</v>
          </cell>
          <cell r="F1256">
            <v>8</v>
          </cell>
          <cell r="G1256">
            <v>8</v>
          </cell>
          <cell r="H1256">
            <v>6.0229999999999997</v>
          </cell>
        </row>
        <row r="1257">
          <cell r="A1257" t="str">
            <v>ICMAX22</v>
          </cell>
          <cell r="B1257" t="str">
            <v>IC MAX222CPM DIL CASE</v>
          </cell>
          <cell r="C1257">
            <v>17.09</v>
          </cell>
          <cell r="D1257">
            <v>17.09</v>
          </cell>
          <cell r="E1257">
            <v>17.09</v>
          </cell>
          <cell r="F1257">
            <v>17.09</v>
          </cell>
          <cell r="G1257">
            <v>17.09</v>
          </cell>
          <cell r="H1257">
            <v>11.71</v>
          </cell>
        </row>
        <row r="1258">
          <cell r="A1258" t="str">
            <v>ICMC016</v>
          </cell>
          <cell r="B1258" t="str">
            <v>IC MM27C16 450 NSEC EXT TEMP RANGE (NATI</v>
          </cell>
          <cell r="C1258">
            <v>29.02</v>
          </cell>
          <cell r="D1258">
            <v>29.02</v>
          </cell>
          <cell r="E1258">
            <v>29.02</v>
          </cell>
          <cell r="F1258">
            <v>29.02</v>
          </cell>
          <cell r="G1258">
            <v>29.02</v>
          </cell>
          <cell r="H1258">
            <v>0</v>
          </cell>
        </row>
        <row r="1259">
          <cell r="A1259" t="str">
            <v>ICMC128</v>
          </cell>
          <cell r="B1259" t="str">
            <v>IC 27C128 120 NSEC 16Kx8 EXT TEMP (SEEQ)</v>
          </cell>
          <cell r="C1259">
            <v>9.27</v>
          </cell>
          <cell r="D1259">
            <v>9.27</v>
          </cell>
          <cell r="E1259">
            <v>9.27</v>
          </cell>
          <cell r="F1259">
            <v>9.27</v>
          </cell>
          <cell r="G1259">
            <v>9.27</v>
          </cell>
          <cell r="H1259">
            <v>0</v>
          </cell>
        </row>
        <row r="1260">
          <cell r="A1260" t="str">
            <v>ICMCT60</v>
          </cell>
          <cell r="B1260" t="str">
            <v>IC MCT6 (8 PIN DIL) ISO OPTO COUPLER</v>
          </cell>
          <cell r="C1260">
            <v>2.67</v>
          </cell>
          <cell r="D1260">
            <v>2.67</v>
          </cell>
          <cell r="E1260">
            <v>2.67</v>
          </cell>
          <cell r="F1260">
            <v>2.67</v>
          </cell>
          <cell r="G1260">
            <v>2.67</v>
          </cell>
          <cell r="H1260">
            <v>0</v>
          </cell>
        </row>
        <row r="1261">
          <cell r="A1261" t="str">
            <v>ICXR210</v>
          </cell>
          <cell r="B1261" t="str">
            <v>IC XR210CN</v>
          </cell>
          <cell r="C1261">
            <v>23.7</v>
          </cell>
          <cell r="D1261">
            <v>23.7</v>
          </cell>
          <cell r="E1261">
            <v>23.7</v>
          </cell>
          <cell r="F1261">
            <v>23.7</v>
          </cell>
          <cell r="G1261">
            <v>23.7</v>
          </cell>
          <cell r="H1261">
            <v>0</v>
          </cell>
        </row>
        <row r="1262">
          <cell r="A1262" t="str">
            <v>IFSDIUSB</v>
          </cell>
          <cell r="B1262" t="str">
            <v>INTERFACE SDI TO USB</v>
          </cell>
          <cell r="C1262">
            <v>280</v>
          </cell>
          <cell r="D1262">
            <v>280</v>
          </cell>
          <cell r="E1262">
            <v>280</v>
          </cell>
          <cell r="F1262">
            <v>280</v>
          </cell>
          <cell r="G1262">
            <v>280</v>
          </cell>
          <cell r="H1262">
            <v>145.97499999999999</v>
          </cell>
          <cell r="I1262">
            <v>40323</v>
          </cell>
        </row>
        <row r="1263">
          <cell r="A1263" t="str">
            <v>IFSMARTI</v>
          </cell>
          <cell r="B1263" t="str">
            <v>SMART INTERFACE SDI TO UNIVERSAL</v>
          </cell>
          <cell r="C1263">
            <v>195</v>
          </cell>
          <cell r="D1263">
            <v>195</v>
          </cell>
          <cell r="E1263">
            <v>195</v>
          </cell>
          <cell r="F1263">
            <v>195</v>
          </cell>
          <cell r="G1263">
            <v>195</v>
          </cell>
          <cell r="H1263">
            <v>89.944000000000003</v>
          </cell>
        </row>
        <row r="1264">
          <cell r="A1264" t="str">
            <v>IFSMARTJ</v>
          </cell>
          <cell r="B1264" t="str">
            <v>SMART INTERFACE JUNCTION BOARD</v>
          </cell>
          <cell r="C1264">
            <v>164.85</v>
          </cell>
          <cell r="D1264">
            <v>204.1</v>
          </cell>
          <cell r="E1264">
            <v>204.1</v>
          </cell>
          <cell r="F1264">
            <v>204.1</v>
          </cell>
          <cell r="G1264">
            <v>204.1</v>
          </cell>
          <cell r="H1264">
            <v>157</v>
          </cell>
          <cell r="I1264">
            <v>39884</v>
          </cell>
        </row>
        <row r="1265">
          <cell r="A1265" t="str">
            <v>IFSMARTW</v>
          </cell>
          <cell r="B1265" t="str">
            <v>WIRELESS ZIGBEE INTERFACE</v>
          </cell>
          <cell r="C1265">
            <v>138.69999999999999</v>
          </cell>
          <cell r="D1265">
            <v>171.73</v>
          </cell>
          <cell r="E1265">
            <v>171.73</v>
          </cell>
          <cell r="F1265">
            <v>171.73</v>
          </cell>
          <cell r="G1265">
            <v>171.73</v>
          </cell>
          <cell r="H1265">
            <v>132.1</v>
          </cell>
        </row>
        <row r="1266">
          <cell r="A1266" t="str">
            <v>IMP8MP</v>
          </cell>
          <cell r="B1266" t="str">
            <v>CONNECTOR 8 WAY MALE WITH 7 FOOT</v>
          </cell>
          <cell r="C1266">
            <v>194</v>
          </cell>
          <cell r="D1266">
            <v>240</v>
          </cell>
          <cell r="E1266">
            <v>240</v>
          </cell>
          <cell r="F1266">
            <v>240</v>
          </cell>
          <cell r="G1266">
            <v>240</v>
          </cell>
          <cell r="H1266">
            <v>130</v>
          </cell>
          <cell r="I1266">
            <v>39883</v>
          </cell>
        </row>
        <row r="1267">
          <cell r="A1267" t="str">
            <v>IMPDLSF</v>
          </cell>
          <cell r="B1267" t="str">
            <v>IMPULSE  DELRIN LOCKING SLEEVE (FEMALE)</v>
          </cell>
          <cell r="C1267">
            <v>25.5</v>
          </cell>
          <cell r="D1267">
            <v>25.5</v>
          </cell>
          <cell r="E1267">
            <v>25.5</v>
          </cell>
          <cell r="F1267">
            <v>25.5</v>
          </cell>
          <cell r="G1267">
            <v>25.5</v>
          </cell>
          <cell r="H1267">
            <v>0</v>
          </cell>
        </row>
        <row r="1268">
          <cell r="A1268" t="str">
            <v>IMPDLSM</v>
          </cell>
          <cell r="B1268" t="str">
            <v>IMPULSE  DELRIN LOCKING SLEEVE (MALE)</v>
          </cell>
          <cell r="C1268">
            <v>25.5</v>
          </cell>
          <cell r="D1268">
            <v>25.5</v>
          </cell>
          <cell r="E1268">
            <v>25.5</v>
          </cell>
          <cell r="F1268">
            <v>25.5</v>
          </cell>
          <cell r="G1268">
            <v>25.5</v>
          </cell>
          <cell r="H1268">
            <v>0</v>
          </cell>
        </row>
        <row r="1269">
          <cell r="A1269" t="str">
            <v>IMPFLS</v>
          </cell>
          <cell r="B1269" t="str">
            <v>IMPULSE FEMALE LOCKING SLEEVE #DLSMC-F</v>
          </cell>
          <cell r="C1269">
            <v>0</v>
          </cell>
          <cell r="D1269">
            <v>0</v>
          </cell>
          <cell r="E1269">
            <v>0</v>
          </cell>
          <cell r="F1269">
            <v>0</v>
          </cell>
          <cell r="G1269">
            <v>0</v>
          </cell>
          <cell r="H1269">
            <v>10</v>
          </cell>
        </row>
        <row r="1270">
          <cell r="A1270" t="str">
            <v>IMPMCBH8FS</v>
          </cell>
          <cell r="B1270" t="str">
            <v>IMPULSE CONNECTOR MCBH-8-FS</v>
          </cell>
          <cell r="C1270">
            <v>106</v>
          </cell>
          <cell r="D1270">
            <v>135</v>
          </cell>
          <cell r="E1270">
            <v>135</v>
          </cell>
          <cell r="F1270">
            <v>135</v>
          </cell>
          <cell r="G1270">
            <v>135</v>
          </cell>
          <cell r="H1270">
            <v>101.97</v>
          </cell>
        </row>
        <row r="1271">
          <cell r="A1271" t="str">
            <v>IMPMCBH8MP</v>
          </cell>
          <cell r="B1271" t="str">
            <v>IMPULSE CONNECTOR MCBH-8-MP</v>
          </cell>
          <cell r="C1271">
            <v>105</v>
          </cell>
          <cell r="D1271">
            <v>135</v>
          </cell>
          <cell r="E1271">
            <v>135</v>
          </cell>
          <cell r="F1271">
            <v>135</v>
          </cell>
          <cell r="G1271">
            <v>135</v>
          </cell>
          <cell r="H1271">
            <v>97.59</v>
          </cell>
        </row>
        <row r="1272">
          <cell r="A1272" t="str">
            <v>IMPMCDC8MP</v>
          </cell>
          <cell r="B1272" t="str">
            <v>IMPULSE CONNECTOR MCDC-8-MP</v>
          </cell>
          <cell r="C1272">
            <v>63</v>
          </cell>
          <cell r="D1272">
            <v>75</v>
          </cell>
          <cell r="E1272">
            <v>75</v>
          </cell>
          <cell r="F1272">
            <v>75</v>
          </cell>
          <cell r="G1272">
            <v>75</v>
          </cell>
          <cell r="H1272">
            <v>58.11</v>
          </cell>
        </row>
        <row r="1273">
          <cell r="A1273" t="str">
            <v>IMPMCIL8FS</v>
          </cell>
          <cell r="B1273" t="str">
            <v>IMPULSE CONNECTOR MCIL-8-FS</v>
          </cell>
          <cell r="C1273">
            <v>100</v>
          </cell>
          <cell r="D1273">
            <v>120</v>
          </cell>
          <cell r="E1273">
            <v>120</v>
          </cell>
          <cell r="F1273">
            <v>120</v>
          </cell>
          <cell r="G1273">
            <v>120</v>
          </cell>
          <cell r="H1273">
            <v>92.11</v>
          </cell>
        </row>
        <row r="1274">
          <cell r="A1274" t="str">
            <v>IMPPL12</v>
          </cell>
          <cell r="B1274" t="str">
            <v>"IMPULSE  PLUG WITH 12"" LEADS"</v>
          </cell>
          <cell r="C1274">
            <v>211.5</v>
          </cell>
          <cell r="D1274">
            <v>211.5</v>
          </cell>
          <cell r="E1274">
            <v>211.5</v>
          </cell>
          <cell r="F1274">
            <v>211.5</v>
          </cell>
          <cell r="G1274">
            <v>211.5</v>
          </cell>
          <cell r="H1274">
            <v>0</v>
          </cell>
        </row>
        <row r="1275">
          <cell r="A1275" t="str">
            <v>IMPPL24</v>
          </cell>
          <cell r="B1275" t="str">
            <v>"IMPULSE  PLUG WITH 24"" CABLE "</v>
          </cell>
          <cell r="C1275">
            <v>120</v>
          </cell>
          <cell r="D1275">
            <v>120</v>
          </cell>
          <cell r="E1275">
            <v>120</v>
          </cell>
          <cell r="F1275">
            <v>120</v>
          </cell>
          <cell r="G1275">
            <v>120</v>
          </cell>
          <cell r="H1275">
            <v>0</v>
          </cell>
        </row>
        <row r="1276">
          <cell r="A1276" t="str">
            <v>IMPPLDU</v>
          </cell>
          <cell r="B1276" t="str">
            <v>IMPULSE  DUMMY PLUG</v>
          </cell>
          <cell r="C1276">
            <v>72</v>
          </cell>
          <cell r="D1276">
            <v>72</v>
          </cell>
          <cell r="E1276">
            <v>72</v>
          </cell>
          <cell r="F1276">
            <v>72</v>
          </cell>
          <cell r="G1276">
            <v>72</v>
          </cell>
          <cell r="H1276">
            <v>0</v>
          </cell>
        </row>
        <row r="1277">
          <cell r="A1277" t="str">
            <v>INFMPILL</v>
          </cell>
          <cell r="B1277" t="str">
            <v>INF MOUNTING PILLAR FOR PROTECTIVE RING</v>
          </cell>
          <cell r="C1277">
            <v>37.5</v>
          </cell>
          <cell r="D1277">
            <v>37.5</v>
          </cell>
          <cell r="E1277">
            <v>37.5</v>
          </cell>
          <cell r="F1277">
            <v>37.5</v>
          </cell>
          <cell r="G1277">
            <v>37.5</v>
          </cell>
          <cell r="H1277">
            <v>0</v>
          </cell>
        </row>
        <row r="1278">
          <cell r="A1278" t="str">
            <v>INFRING</v>
          </cell>
          <cell r="B1278" t="str">
            <v>INF PROTECTIVE RING</v>
          </cell>
          <cell r="C1278">
            <v>70</v>
          </cell>
          <cell r="D1278">
            <v>70</v>
          </cell>
          <cell r="E1278">
            <v>70</v>
          </cell>
          <cell r="F1278">
            <v>70</v>
          </cell>
          <cell r="G1278">
            <v>70</v>
          </cell>
          <cell r="H1278">
            <v>0</v>
          </cell>
        </row>
        <row r="1279">
          <cell r="A1279" t="str">
            <v>INNSMCH</v>
          </cell>
          <cell r="B1279" t="str">
            <v>SMART CHARGER 12VDC @ 1A #2240-12A</v>
          </cell>
          <cell r="C1279">
            <v>125</v>
          </cell>
          <cell r="D1279">
            <v>155</v>
          </cell>
          <cell r="E1279">
            <v>155</v>
          </cell>
          <cell r="F1279">
            <v>155</v>
          </cell>
          <cell r="G1279">
            <v>155</v>
          </cell>
          <cell r="H1279">
            <v>126</v>
          </cell>
          <cell r="I1279">
            <v>39882</v>
          </cell>
        </row>
        <row r="1280">
          <cell r="A1280" t="str">
            <v>INNSMCI</v>
          </cell>
          <cell r="B1280" t="str">
            <v>SMART CHARGER 12 VDC 6.7A</v>
          </cell>
          <cell r="C1280">
            <v>411.39</v>
          </cell>
          <cell r="D1280">
            <v>509.34</v>
          </cell>
          <cell r="E1280">
            <v>509.34</v>
          </cell>
          <cell r="F1280">
            <v>509.34</v>
          </cell>
          <cell r="G1280">
            <v>509.34</v>
          </cell>
          <cell r="H1280">
            <v>391.8</v>
          </cell>
          <cell r="I1280">
            <v>39883</v>
          </cell>
        </row>
        <row r="1281">
          <cell r="A1281" t="str">
            <v>INNSMCJ</v>
          </cell>
          <cell r="B1281" t="str">
            <v>SMART CHARGER 12VDC @ 2.5A.</v>
          </cell>
          <cell r="C1281">
            <v>425</v>
          </cell>
          <cell r="D1281">
            <v>425</v>
          </cell>
          <cell r="E1281">
            <v>425</v>
          </cell>
          <cell r="F1281">
            <v>425</v>
          </cell>
          <cell r="G1281">
            <v>425</v>
          </cell>
          <cell r="H1281">
            <v>0</v>
          </cell>
        </row>
        <row r="1282">
          <cell r="A1282" t="str">
            <v>INNSMPS</v>
          </cell>
          <cell r="B1282" t="str">
            <v>POWER SUPPLY 13.8V 2.3A</v>
          </cell>
          <cell r="C1282">
            <v>136</v>
          </cell>
          <cell r="D1282">
            <v>168</v>
          </cell>
          <cell r="E1282">
            <v>168</v>
          </cell>
          <cell r="F1282">
            <v>168</v>
          </cell>
          <cell r="G1282">
            <v>168</v>
          </cell>
          <cell r="H1282">
            <v>155</v>
          </cell>
          <cell r="I1282">
            <v>39883</v>
          </cell>
        </row>
        <row r="1283">
          <cell r="A1283" t="str">
            <v>INSOSCIL</v>
          </cell>
          <cell r="B1283" t="str">
            <v>INSTEK DIGITAL STORAGE OSCILLOSCOPE</v>
          </cell>
          <cell r="C1283">
            <v>0</v>
          </cell>
          <cell r="D1283">
            <v>0</v>
          </cell>
          <cell r="E1283">
            <v>0</v>
          </cell>
          <cell r="F1283">
            <v>0</v>
          </cell>
          <cell r="G1283">
            <v>0</v>
          </cell>
          <cell r="H1283">
            <v>1999</v>
          </cell>
        </row>
        <row r="1284">
          <cell r="A1284" t="str">
            <v>INST500</v>
          </cell>
          <cell r="B1284" t="str">
            <v>INSITU TROLL 500 SENSOR</v>
          </cell>
          <cell r="C1284">
            <v>2700</v>
          </cell>
          <cell r="D1284">
            <v>2700</v>
          </cell>
          <cell r="E1284">
            <v>2700</v>
          </cell>
          <cell r="F1284">
            <v>2700</v>
          </cell>
          <cell r="G1284">
            <v>2700</v>
          </cell>
          <cell r="H1284">
            <v>0</v>
          </cell>
        </row>
        <row r="1285">
          <cell r="A1285" t="str">
            <v>INST950</v>
          </cell>
          <cell r="B1285" t="str">
            <v>IN-SITU TROLL 9500 SENSOR (BASE UNIT)</v>
          </cell>
          <cell r="C1285">
            <v>24700</v>
          </cell>
          <cell r="D1285">
            <v>24700</v>
          </cell>
          <cell r="E1285">
            <v>24700</v>
          </cell>
          <cell r="F1285">
            <v>24700</v>
          </cell>
          <cell r="G1285">
            <v>24700</v>
          </cell>
          <cell r="H1285">
            <v>18968</v>
          </cell>
          <cell r="I1285">
            <v>39843</v>
          </cell>
        </row>
        <row r="1286">
          <cell r="A1286" t="str">
            <v>INSTAMP</v>
          </cell>
          <cell r="B1286" t="str">
            <v>STRAIN GAUGE AMPLIFIER</v>
          </cell>
          <cell r="C1286">
            <v>255</v>
          </cell>
          <cell r="D1286">
            <v>255</v>
          </cell>
          <cell r="E1286">
            <v>255</v>
          </cell>
          <cell r="F1286">
            <v>255</v>
          </cell>
          <cell r="G1286">
            <v>255</v>
          </cell>
          <cell r="H1286">
            <v>0</v>
          </cell>
        </row>
        <row r="1287">
          <cell r="A1287" t="str">
            <v>INSTOPD</v>
          </cell>
          <cell r="B1287" t="str">
            <v>IN-SITU OPTICAL DO SENSOR FOR</v>
          </cell>
          <cell r="C1287">
            <v>3750</v>
          </cell>
          <cell r="D1287">
            <v>3750</v>
          </cell>
          <cell r="E1287">
            <v>3750</v>
          </cell>
          <cell r="F1287">
            <v>3750</v>
          </cell>
          <cell r="G1287">
            <v>3750</v>
          </cell>
          <cell r="H1287">
            <v>3036.3870000000002</v>
          </cell>
        </row>
        <row r="1288">
          <cell r="A1288" t="str">
            <v>INSTPCB</v>
          </cell>
          <cell r="B1288" t="str">
            <v>STRAIN GAUGE AMPLIFIER PCB</v>
          </cell>
          <cell r="C1288">
            <v>21</v>
          </cell>
          <cell r="D1288">
            <v>21</v>
          </cell>
          <cell r="E1288">
            <v>21</v>
          </cell>
          <cell r="F1288">
            <v>21</v>
          </cell>
          <cell r="G1288">
            <v>21</v>
          </cell>
          <cell r="H1288">
            <v>0</v>
          </cell>
        </row>
        <row r="1289">
          <cell r="A1289" t="str">
            <v>INSULFO</v>
          </cell>
          <cell r="B1289" t="str">
            <v>THERMOBREAK INSULATION FOAM</v>
          </cell>
          <cell r="C1289">
            <v>20.95</v>
          </cell>
          <cell r="D1289">
            <v>25.95</v>
          </cell>
          <cell r="E1289">
            <v>25.95</v>
          </cell>
          <cell r="F1289">
            <v>25.95</v>
          </cell>
          <cell r="G1289">
            <v>25.95</v>
          </cell>
          <cell r="H1289">
            <v>19.55</v>
          </cell>
        </row>
        <row r="1290">
          <cell r="A1290" t="str">
            <v>INTCORS</v>
          </cell>
          <cell r="B1290" t="str">
            <v>INTERFACE CONVERTOR RS232 - RS485</v>
          </cell>
          <cell r="C1290">
            <v>420</v>
          </cell>
          <cell r="D1290">
            <v>420</v>
          </cell>
          <cell r="E1290">
            <v>420</v>
          </cell>
          <cell r="F1290">
            <v>420</v>
          </cell>
          <cell r="G1290">
            <v>420</v>
          </cell>
          <cell r="H1290">
            <v>319.17</v>
          </cell>
        </row>
        <row r="1291">
          <cell r="A1291" t="str">
            <v>INTPCBC</v>
          </cell>
          <cell r="B1291" t="str">
            <v>INTEROPHONE PCB COMPLETE</v>
          </cell>
          <cell r="C1291">
            <v>576</v>
          </cell>
          <cell r="D1291">
            <v>576</v>
          </cell>
          <cell r="E1291">
            <v>576</v>
          </cell>
          <cell r="F1291">
            <v>576</v>
          </cell>
          <cell r="G1291">
            <v>576</v>
          </cell>
          <cell r="H1291">
            <v>0</v>
          </cell>
        </row>
        <row r="1292">
          <cell r="A1292" t="str">
            <v>INTPHONE</v>
          </cell>
          <cell r="B1292" t="str">
            <v>INTEROPHONE</v>
          </cell>
          <cell r="C1292">
            <v>0</v>
          </cell>
          <cell r="D1292">
            <v>0</v>
          </cell>
          <cell r="E1292">
            <v>0</v>
          </cell>
          <cell r="F1292">
            <v>0</v>
          </cell>
          <cell r="G1292">
            <v>0</v>
          </cell>
          <cell r="H1292">
            <v>0</v>
          </cell>
        </row>
        <row r="1293">
          <cell r="A1293" t="str">
            <v>INTRACA</v>
          </cell>
          <cell r="B1293" t="str">
            <v>CASE  FOR SINGLE RADIO OPTO ISOLATED INT</v>
          </cell>
          <cell r="C1293">
            <v>56.24</v>
          </cell>
          <cell r="D1293">
            <v>56.24</v>
          </cell>
          <cell r="E1293">
            <v>56.24</v>
          </cell>
          <cell r="F1293">
            <v>56.24</v>
          </cell>
          <cell r="G1293">
            <v>56.24</v>
          </cell>
          <cell r="H1293">
            <v>0</v>
          </cell>
        </row>
        <row r="1294">
          <cell r="A1294" t="str">
            <v>INTRAOD</v>
          </cell>
          <cell r="B1294" t="str">
            <v>INTERFACE OPTO RADIO DUAL C-W CASE</v>
          </cell>
          <cell r="C1294">
            <v>268.24</v>
          </cell>
          <cell r="D1294">
            <v>268.24</v>
          </cell>
          <cell r="E1294">
            <v>268.24</v>
          </cell>
          <cell r="F1294">
            <v>268.24</v>
          </cell>
          <cell r="G1294">
            <v>268.24</v>
          </cell>
          <cell r="H1294">
            <v>0</v>
          </cell>
        </row>
        <row r="1295">
          <cell r="A1295" t="str">
            <v>IRIDREG</v>
          </cell>
          <cell r="B1295" t="str">
            <v>IRIDIUM 9522 REGULATOR</v>
          </cell>
          <cell r="C1295">
            <v>217</v>
          </cell>
          <cell r="D1295">
            <v>217</v>
          </cell>
          <cell r="E1295">
            <v>217</v>
          </cell>
          <cell r="F1295">
            <v>217</v>
          </cell>
          <cell r="G1295">
            <v>217</v>
          </cell>
          <cell r="H1295">
            <v>0</v>
          </cell>
        </row>
        <row r="1296">
          <cell r="A1296" t="str">
            <v>IRRGACL</v>
          </cell>
          <cell r="B1296" t="str">
            <v>IRRIGATION GATE CLAMPS</v>
          </cell>
          <cell r="C1296">
            <v>80</v>
          </cell>
          <cell r="D1296">
            <v>80</v>
          </cell>
          <cell r="E1296">
            <v>80</v>
          </cell>
          <cell r="F1296">
            <v>80</v>
          </cell>
          <cell r="G1296">
            <v>80</v>
          </cell>
          <cell r="H1296">
            <v>84.4</v>
          </cell>
        </row>
        <row r="1297">
          <cell r="A1297" t="str">
            <v>IRRGAEK</v>
          </cell>
          <cell r="B1297" t="str">
            <v>IRRIGATION GATE ENCODER KIT</v>
          </cell>
          <cell r="C1297">
            <v>1450</v>
          </cell>
          <cell r="D1297">
            <v>1450</v>
          </cell>
          <cell r="E1297">
            <v>1450</v>
          </cell>
          <cell r="F1297">
            <v>1450</v>
          </cell>
          <cell r="G1297">
            <v>1450</v>
          </cell>
          <cell r="H1297">
            <v>330.36200000000002</v>
          </cell>
        </row>
        <row r="1298">
          <cell r="A1298" t="str">
            <v>IRRGAS1</v>
          </cell>
          <cell r="B1298" t="str">
            <v>IRRIGATION SUNDRIES KIT</v>
          </cell>
          <cell r="C1298">
            <v>820</v>
          </cell>
          <cell r="D1298">
            <v>820</v>
          </cell>
          <cell r="E1298">
            <v>820</v>
          </cell>
          <cell r="F1298">
            <v>820</v>
          </cell>
          <cell r="G1298">
            <v>820</v>
          </cell>
          <cell r="H1298">
            <v>496.81599999999997</v>
          </cell>
        </row>
        <row r="1299">
          <cell r="A1299" t="str">
            <v>IRRGATB</v>
          </cell>
          <cell r="B1299" t="str">
            <v>IRRIGATION GATE TERMINATION BOX</v>
          </cell>
          <cell r="C1299">
            <v>780</v>
          </cell>
          <cell r="D1299">
            <v>780</v>
          </cell>
          <cell r="E1299">
            <v>780</v>
          </cell>
          <cell r="F1299">
            <v>780</v>
          </cell>
          <cell r="G1299">
            <v>780</v>
          </cell>
          <cell r="H1299">
            <v>407.29899999999998</v>
          </cell>
        </row>
        <row r="1300">
          <cell r="A1300" t="str">
            <v>IRRGATE</v>
          </cell>
          <cell r="B1300" t="str">
            <v>IRRIGATION GATE COMPLETE</v>
          </cell>
          <cell r="C1300">
            <v>4700</v>
          </cell>
          <cell r="D1300">
            <v>4700</v>
          </cell>
          <cell r="E1300">
            <v>4700</v>
          </cell>
          <cell r="F1300">
            <v>4700</v>
          </cell>
          <cell r="G1300">
            <v>4700</v>
          </cell>
          <cell r="H1300">
            <v>436.346</v>
          </cell>
        </row>
        <row r="1301">
          <cell r="A1301" t="str">
            <v>IRRGBWS</v>
          </cell>
          <cell r="B1301" t="str">
            <v>IRRIGATION  GLAND BUSH WASHER SET</v>
          </cell>
          <cell r="C1301">
            <v>270</v>
          </cell>
          <cell r="D1301">
            <v>270</v>
          </cell>
          <cell r="E1301">
            <v>270</v>
          </cell>
          <cell r="F1301">
            <v>270</v>
          </cell>
          <cell r="G1301">
            <v>270</v>
          </cell>
          <cell r="H1301">
            <v>0</v>
          </cell>
        </row>
        <row r="1302">
          <cell r="A1302" t="str">
            <v>IRRGCM</v>
          </cell>
          <cell r="B1302" t="str">
            <v>IRRIGATION GATE CONTROL MODULE</v>
          </cell>
          <cell r="C1302">
            <v>1900</v>
          </cell>
          <cell r="D1302">
            <v>2295</v>
          </cell>
          <cell r="E1302">
            <v>2295</v>
          </cell>
          <cell r="F1302">
            <v>2295</v>
          </cell>
          <cell r="G1302">
            <v>2295</v>
          </cell>
          <cell r="H1302">
            <v>1803.0150000000001</v>
          </cell>
          <cell r="I1302">
            <v>40304</v>
          </cell>
        </row>
        <row r="1303">
          <cell r="A1303" t="str">
            <v>IRRGCP</v>
          </cell>
          <cell r="B1303" t="str">
            <v>IRRIGATION GATE CONTROLLER PCB COMP</v>
          </cell>
          <cell r="C1303">
            <v>510</v>
          </cell>
          <cell r="D1303">
            <v>650</v>
          </cell>
          <cell r="E1303">
            <v>650</v>
          </cell>
          <cell r="F1303">
            <v>650</v>
          </cell>
          <cell r="G1303">
            <v>650</v>
          </cell>
          <cell r="H1303">
            <v>556.18299999999999</v>
          </cell>
        </row>
        <row r="1304">
          <cell r="A1304" t="str">
            <v>IRRGHRO</v>
          </cell>
          <cell r="B1304" t="str">
            <v>IRRIGATION GATE HEIGHT ROD</v>
          </cell>
          <cell r="C1304">
            <v>45</v>
          </cell>
          <cell r="D1304">
            <v>45</v>
          </cell>
          <cell r="E1304">
            <v>45</v>
          </cell>
          <cell r="F1304">
            <v>45</v>
          </cell>
          <cell r="G1304">
            <v>45</v>
          </cell>
          <cell r="H1304">
            <v>34.527999999999999</v>
          </cell>
        </row>
        <row r="1305">
          <cell r="A1305" t="str">
            <v>IRRHM1G</v>
          </cell>
          <cell r="B1305" t="str">
            <v>HUT MINOR GEARPLATE - 1 GATE</v>
          </cell>
          <cell r="C1305">
            <v>2795</v>
          </cell>
          <cell r="D1305">
            <v>3395</v>
          </cell>
          <cell r="E1305">
            <v>3395</v>
          </cell>
          <cell r="F1305">
            <v>3395</v>
          </cell>
          <cell r="G1305">
            <v>3395</v>
          </cell>
          <cell r="H1305">
            <v>2661.8629999999998</v>
          </cell>
        </row>
        <row r="1306">
          <cell r="A1306" t="str">
            <v>IRRHM3G</v>
          </cell>
          <cell r="B1306" t="str">
            <v>HUT MINOR GEARPLATE - 3 GATE</v>
          </cell>
          <cell r="C1306">
            <v>2600</v>
          </cell>
          <cell r="D1306">
            <v>3225</v>
          </cell>
          <cell r="E1306">
            <v>3225</v>
          </cell>
          <cell r="F1306">
            <v>3225</v>
          </cell>
          <cell r="G1306">
            <v>3225</v>
          </cell>
          <cell r="H1306">
            <v>2429.0219999999999</v>
          </cell>
          <cell r="I1306">
            <v>39996</v>
          </cell>
        </row>
        <row r="1307">
          <cell r="A1307" t="str">
            <v>IRRHOAS</v>
          </cell>
          <cell r="B1307" t="str">
            <v>IRRIGATION  HOUSING ASSEMBLY</v>
          </cell>
          <cell r="C1307">
            <v>250</v>
          </cell>
          <cell r="D1307">
            <v>250</v>
          </cell>
          <cell r="E1307">
            <v>250</v>
          </cell>
          <cell r="F1307">
            <v>250</v>
          </cell>
          <cell r="G1307">
            <v>250</v>
          </cell>
          <cell r="H1307">
            <v>180</v>
          </cell>
        </row>
        <row r="1308">
          <cell r="A1308" t="str">
            <v>IRRHOSP</v>
          </cell>
          <cell r="B1308" t="str">
            <v>IRRIGATION  HOUSING SPACER</v>
          </cell>
          <cell r="C1308">
            <v>7.3</v>
          </cell>
          <cell r="D1308">
            <v>9</v>
          </cell>
          <cell r="E1308">
            <v>9</v>
          </cell>
          <cell r="F1308">
            <v>9</v>
          </cell>
          <cell r="G1308">
            <v>9</v>
          </cell>
          <cell r="H1308">
            <v>14</v>
          </cell>
          <cell r="I1308">
            <v>39883</v>
          </cell>
        </row>
        <row r="1309">
          <cell r="A1309" t="str">
            <v>IRRHUAK</v>
          </cell>
          <cell r="B1309" t="str">
            <v>IRRIGATION HUT AERIAL KIT</v>
          </cell>
          <cell r="C1309">
            <v>350</v>
          </cell>
          <cell r="D1309">
            <v>350</v>
          </cell>
          <cell r="E1309">
            <v>350</v>
          </cell>
          <cell r="F1309">
            <v>350</v>
          </cell>
          <cell r="G1309">
            <v>350</v>
          </cell>
          <cell r="H1309">
            <v>173.66900000000001</v>
          </cell>
        </row>
        <row r="1310">
          <cell r="A1310" t="str">
            <v>IRRHUEC</v>
          </cell>
          <cell r="B1310" t="str">
            <v>IRRIGATION HUT EQUIPMENT PANEL COMPLETE</v>
          </cell>
          <cell r="C1310">
            <v>8530</v>
          </cell>
          <cell r="D1310">
            <v>8530</v>
          </cell>
          <cell r="E1310">
            <v>8530</v>
          </cell>
          <cell r="F1310">
            <v>8530</v>
          </cell>
          <cell r="G1310">
            <v>8530</v>
          </cell>
          <cell r="H1310">
            <v>1462.5</v>
          </cell>
        </row>
        <row r="1311">
          <cell r="A1311" t="str">
            <v>IRRHUEK</v>
          </cell>
          <cell r="B1311" t="str">
            <v>IRRIGATION HUT EARTHING KIT #1</v>
          </cell>
          <cell r="C1311">
            <v>200</v>
          </cell>
          <cell r="D1311">
            <v>200</v>
          </cell>
          <cell r="E1311">
            <v>200</v>
          </cell>
          <cell r="F1311">
            <v>200</v>
          </cell>
          <cell r="G1311">
            <v>200</v>
          </cell>
          <cell r="H1311">
            <v>98.265000000000001</v>
          </cell>
        </row>
        <row r="1312">
          <cell r="A1312" t="str">
            <v>IRRHUGC</v>
          </cell>
          <cell r="B1312" t="str">
            <v>IRRIGATION HUT GEARPLATE</v>
          </cell>
          <cell r="C1312">
            <v>2650</v>
          </cell>
          <cell r="D1312">
            <v>2650</v>
          </cell>
          <cell r="E1312">
            <v>2650</v>
          </cell>
          <cell r="F1312">
            <v>2650</v>
          </cell>
          <cell r="G1312">
            <v>2650</v>
          </cell>
          <cell r="H1312">
            <v>532.07100000000003</v>
          </cell>
        </row>
        <row r="1313">
          <cell r="A1313" t="str">
            <v>IRRHUGCM</v>
          </cell>
          <cell r="B1313" t="str">
            <v>IRRIGATION HUT MINOR GEARPLATE COMP</v>
          </cell>
          <cell r="C1313">
            <v>0</v>
          </cell>
          <cell r="D1313">
            <v>0</v>
          </cell>
          <cell r="E1313">
            <v>0</v>
          </cell>
          <cell r="F1313">
            <v>0</v>
          </cell>
          <cell r="G1313">
            <v>0</v>
          </cell>
          <cell r="H1313">
            <v>0</v>
          </cell>
        </row>
        <row r="1314">
          <cell r="A1314" t="str">
            <v>IRRHURB</v>
          </cell>
          <cell r="B1314" t="str">
            <v>IRRIGATION HUT RELAY INTERFACE BOX</v>
          </cell>
          <cell r="C1314">
            <v>2175</v>
          </cell>
          <cell r="D1314">
            <v>2175</v>
          </cell>
          <cell r="E1314">
            <v>2175</v>
          </cell>
          <cell r="F1314">
            <v>2175</v>
          </cell>
          <cell r="G1314">
            <v>2175</v>
          </cell>
          <cell r="H1314">
            <v>827.58500000000004</v>
          </cell>
        </row>
        <row r="1315">
          <cell r="A1315" t="str">
            <v>IRRHURP</v>
          </cell>
          <cell r="B1315" t="str">
            <v>IRRIGATION HUT RELAY INTERFACE PANEL</v>
          </cell>
          <cell r="C1315">
            <v>2995</v>
          </cell>
          <cell r="D1315">
            <v>2995</v>
          </cell>
          <cell r="E1315">
            <v>2995</v>
          </cell>
          <cell r="F1315">
            <v>2995</v>
          </cell>
          <cell r="G1315">
            <v>2995</v>
          </cell>
          <cell r="H1315">
            <v>607.83900000000006</v>
          </cell>
        </row>
        <row r="1316">
          <cell r="A1316" t="str">
            <v>IRRHUT</v>
          </cell>
          <cell r="B1316" t="str">
            <v>IRRIGATION HUT COMPLETE</v>
          </cell>
          <cell r="C1316">
            <v>12500</v>
          </cell>
          <cell r="D1316">
            <v>12500</v>
          </cell>
          <cell r="E1316">
            <v>12500</v>
          </cell>
          <cell r="F1316">
            <v>12500</v>
          </cell>
          <cell r="G1316">
            <v>12500</v>
          </cell>
          <cell r="H1316">
            <v>226.06</v>
          </cell>
        </row>
        <row r="1317">
          <cell r="A1317" t="str">
            <v>IRRHUTB</v>
          </cell>
          <cell r="B1317" t="str">
            <v>IRRIGATION HUT TERMINATION BOX</v>
          </cell>
          <cell r="C1317">
            <v>1995</v>
          </cell>
          <cell r="D1317">
            <v>1995</v>
          </cell>
          <cell r="E1317">
            <v>1995</v>
          </cell>
          <cell r="F1317">
            <v>1995</v>
          </cell>
          <cell r="G1317">
            <v>1995</v>
          </cell>
          <cell r="H1317">
            <v>798.18</v>
          </cell>
        </row>
        <row r="1318">
          <cell r="A1318" t="str">
            <v>IRRLGCL</v>
          </cell>
          <cell r="B1318" t="str">
            <v>IRRIGATION LARGE GATE CLAMP</v>
          </cell>
          <cell r="C1318">
            <v>80</v>
          </cell>
          <cell r="D1318">
            <v>80</v>
          </cell>
          <cell r="E1318">
            <v>80</v>
          </cell>
          <cell r="F1318">
            <v>80</v>
          </cell>
          <cell r="G1318">
            <v>80</v>
          </cell>
          <cell r="H1318">
            <v>73.099999999999994</v>
          </cell>
        </row>
        <row r="1319">
          <cell r="A1319" t="str">
            <v>IRRLMPL</v>
          </cell>
          <cell r="B1319" t="str">
            <v>IRRIGATION  LONG MAGNET PLATE</v>
          </cell>
          <cell r="C1319">
            <v>92</v>
          </cell>
          <cell r="D1319">
            <v>92</v>
          </cell>
          <cell r="E1319">
            <v>92</v>
          </cell>
          <cell r="F1319">
            <v>92</v>
          </cell>
          <cell r="G1319">
            <v>92</v>
          </cell>
          <cell r="H1319">
            <v>0</v>
          </cell>
        </row>
        <row r="1320">
          <cell r="A1320" t="str">
            <v>IRRMAAD</v>
          </cell>
          <cell r="B1320" t="str">
            <v>IRRIGATION MAGNET ADAPTER</v>
          </cell>
          <cell r="C1320">
            <v>52.5</v>
          </cell>
          <cell r="D1320">
            <v>65</v>
          </cell>
          <cell r="E1320">
            <v>65</v>
          </cell>
          <cell r="F1320">
            <v>65</v>
          </cell>
          <cell r="G1320">
            <v>65</v>
          </cell>
          <cell r="H1320">
            <v>54.25</v>
          </cell>
          <cell r="I1320">
            <v>39883</v>
          </cell>
        </row>
        <row r="1321">
          <cell r="A1321" t="str">
            <v>IRRMBKL</v>
          </cell>
          <cell r="B1321" t="str">
            <v>IRRIGATION MOUNTING BRACKET - LARGE</v>
          </cell>
          <cell r="C1321">
            <v>165</v>
          </cell>
          <cell r="D1321">
            <v>165</v>
          </cell>
          <cell r="E1321">
            <v>165</v>
          </cell>
          <cell r="F1321">
            <v>165</v>
          </cell>
          <cell r="G1321">
            <v>165</v>
          </cell>
          <cell r="H1321">
            <v>154</v>
          </cell>
        </row>
        <row r="1322">
          <cell r="A1322" t="str">
            <v>IRRMBKT</v>
          </cell>
          <cell r="B1322" t="str">
            <v>IRRIGATION  MOUNTING BRACKET</v>
          </cell>
          <cell r="C1322">
            <v>232.5</v>
          </cell>
          <cell r="D1322">
            <v>232.5</v>
          </cell>
          <cell r="E1322">
            <v>232.5</v>
          </cell>
          <cell r="F1322">
            <v>232.5</v>
          </cell>
          <cell r="G1322">
            <v>232.5</v>
          </cell>
          <cell r="H1322">
            <v>0</v>
          </cell>
        </row>
        <row r="1323">
          <cell r="A1323" t="str">
            <v>IRRMOP1</v>
          </cell>
          <cell r="B1323" t="str">
            <v>MOUNTING PANEL 600x400 MELTICA</v>
          </cell>
          <cell r="C1323">
            <v>100</v>
          </cell>
          <cell r="D1323">
            <v>100</v>
          </cell>
          <cell r="E1323">
            <v>100</v>
          </cell>
          <cell r="F1323">
            <v>100</v>
          </cell>
          <cell r="G1323">
            <v>100</v>
          </cell>
          <cell r="H1323">
            <v>14.22</v>
          </cell>
        </row>
        <row r="1324">
          <cell r="A1324" t="str">
            <v>IRRMOP2</v>
          </cell>
          <cell r="B1324" t="str">
            <v>MOUNTING PANEL 1200x600 MELTICA</v>
          </cell>
          <cell r="C1324">
            <v>200</v>
          </cell>
          <cell r="D1324">
            <v>200</v>
          </cell>
          <cell r="E1324">
            <v>200</v>
          </cell>
          <cell r="F1324">
            <v>200</v>
          </cell>
          <cell r="G1324">
            <v>200</v>
          </cell>
          <cell r="H1324">
            <v>28.37</v>
          </cell>
        </row>
        <row r="1325">
          <cell r="A1325" t="str">
            <v>IRRPEMO</v>
          </cell>
          <cell r="B1325" t="str">
            <v>IRRIGATION MOUNTING PANEL</v>
          </cell>
          <cell r="C1325">
            <v>173</v>
          </cell>
          <cell r="D1325">
            <v>214</v>
          </cell>
          <cell r="E1325">
            <v>214</v>
          </cell>
          <cell r="F1325">
            <v>214</v>
          </cell>
          <cell r="G1325">
            <v>214</v>
          </cell>
          <cell r="H1325">
            <v>164.15600000000001</v>
          </cell>
          <cell r="I1325">
            <v>39883</v>
          </cell>
        </row>
        <row r="1326">
          <cell r="A1326" t="str">
            <v>IRRRCMO</v>
          </cell>
          <cell r="B1326" t="str">
            <v>IRRIGATION RELAY CONTROL MODULE</v>
          </cell>
          <cell r="C1326">
            <v>1600</v>
          </cell>
          <cell r="D1326">
            <v>1600</v>
          </cell>
          <cell r="E1326">
            <v>1600</v>
          </cell>
          <cell r="F1326">
            <v>1600</v>
          </cell>
          <cell r="G1326">
            <v>1600</v>
          </cell>
          <cell r="H1326">
            <v>1194.384</v>
          </cell>
        </row>
        <row r="1327">
          <cell r="A1327" t="str">
            <v>IRRRIBK</v>
          </cell>
          <cell r="B1327" t="str">
            <v>IRRIGATION  RISER BRACKET</v>
          </cell>
          <cell r="C1327">
            <v>273</v>
          </cell>
          <cell r="D1327">
            <v>273</v>
          </cell>
          <cell r="E1327">
            <v>273</v>
          </cell>
          <cell r="F1327">
            <v>273</v>
          </cell>
          <cell r="G1327">
            <v>273</v>
          </cell>
          <cell r="H1327">
            <v>198.5</v>
          </cell>
        </row>
        <row r="1328">
          <cell r="A1328" t="str">
            <v>IRRSWBA</v>
          </cell>
          <cell r="B1328" t="str">
            <v>CULVERT PIPE BASE</v>
          </cell>
          <cell r="C1328">
            <v>0</v>
          </cell>
          <cell r="D1328">
            <v>0</v>
          </cell>
          <cell r="E1328">
            <v>0</v>
          </cell>
          <cell r="F1328">
            <v>0</v>
          </cell>
          <cell r="G1328">
            <v>0</v>
          </cell>
          <cell r="H1328">
            <v>150</v>
          </cell>
        </row>
        <row r="1329">
          <cell r="A1329" t="str">
            <v>IRRSWCM</v>
          </cell>
          <cell r="B1329" t="str">
            <v>MALE COUPLER HANSEN HM32</v>
          </cell>
          <cell r="C1329">
            <v>0</v>
          </cell>
          <cell r="D1329">
            <v>0</v>
          </cell>
          <cell r="E1329">
            <v>0</v>
          </cell>
          <cell r="F1329">
            <v>0</v>
          </cell>
          <cell r="G1329">
            <v>0</v>
          </cell>
          <cell r="H1329">
            <v>7.22</v>
          </cell>
        </row>
        <row r="1330">
          <cell r="A1330" t="str">
            <v>IRRSWDO</v>
          </cell>
          <cell r="B1330" t="str">
            <v>STILLINGWELL DOOR</v>
          </cell>
          <cell r="C1330">
            <v>110</v>
          </cell>
          <cell r="D1330">
            <v>110</v>
          </cell>
          <cell r="E1330">
            <v>110</v>
          </cell>
          <cell r="F1330">
            <v>110</v>
          </cell>
          <cell r="G1330">
            <v>110</v>
          </cell>
          <cell r="H1330">
            <v>71.680000000000007</v>
          </cell>
          <cell r="I1330">
            <v>40312</v>
          </cell>
        </row>
        <row r="1331">
          <cell r="A1331" t="str">
            <v>IRRSWEB</v>
          </cell>
          <cell r="B1331" t="str">
            <v>IRRIGATION STILLINGWELL EPB KIT</v>
          </cell>
          <cell r="C1331">
            <v>0</v>
          </cell>
          <cell r="D1331">
            <v>0</v>
          </cell>
          <cell r="E1331">
            <v>0</v>
          </cell>
          <cell r="F1331">
            <v>0</v>
          </cell>
          <cell r="G1331">
            <v>0</v>
          </cell>
          <cell r="H1331">
            <v>449.92700000000002</v>
          </cell>
        </row>
        <row r="1332">
          <cell r="A1332" t="str">
            <v>IRRSWEK</v>
          </cell>
          <cell r="B1332" t="str">
            <v>STILLINGWELL ENCODER KIT</v>
          </cell>
          <cell r="C1332">
            <v>1560</v>
          </cell>
          <cell r="D1332">
            <v>1560</v>
          </cell>
          <cell r="E1332">
            <v>1560</v>
          </cell>
          <cell r="F1332">
            <v>1560</v>
          </cell>
          <cell r="G1332">
            <v>1560</v>
          </cell>
          <cell r="H1332">
            <v>1200</v>
          </cell>
        </row>
        <row r="1333">
          <cell r="A1333" t="str">
            <v>IRRSWELL</v>
          </cell>
          <cell r="B1333" t="str">
            <v>IRRIGATION STILLINGWELL COMPLETE</v>
          </cell>
          <cell r="C1333">
            <v>4550</v>
          </cell>
          <cell r="D1333">
            <v>4550</v>
          </cell>
          <cell r="E1333">
            <v>4550</v>
          </cell>
          <cell r="F1333">
            <v>4550</v>
          </cell>
          <cell r="G1333">
            <v>4550</v>
          </cell>
          <cell r="H1333">
            <v>2485.9299999999998</v>
          </cell>
        </row>
        <row r="1334">
          <cell r="A1334" t="str">
            <v>IRRSWHA</v>
          </cell>
          <cell r="B1334" t="str">
            <v>DOOR HASP ROUND EYE PAD S/S</v>
          </cell>
          <cell r="C1334">
            <v>6</v>
          </cell>
          <cell r="D1334">
            <v>6</v>
          </cell>
          <cell r="E1334">
            <v>6</v>
          </cell>
          <cell r="F1334">
            <v>6</v>
          </cell>
          <cell r="G1334">
            <v>6</v>
          </cell>
          <cell r="H1334">
            <v>4.51</v>
          </cell>
          <cell r="I1334">
            <v>40330</v>
          </cell>
        </row>
        <row r="1335">
          <cell r="A1335" t="str">
            <v>IRRSWHI</v>
          </cell>
          <cell r="B1335" t="str">
            <v>BUTT HINGE S/S 50x38x1.3mm</v>
          </cell>
          <cell r="C1335">
            <v>6</v>
          </cell>
          <cell r="D1335">
            <v>6</v>
          </cell>
          <cell r="E1335">
            <v>6</v>
          </cell>
          <cell r="F1335">
            <v>6</v>
          </cell>
          <cell r="G1335">
            <v>6</v>
          </cell>
          <cell r="H1335">
            <v>4.2839999999999998</v>
          </cell>
          <cell r="I1335">
            <v>40328</v>
          </cell>
        </row>
        <row r="1336">
          <cell r="A1336" t="str">
            <v>IRRSWHK</v>
          </cell>
          <cell r="B1336" t="str">
            <v>STILLINGWELL HYDROLOGGER KIT</v>
          </cell>
          <cell r="C1336">
            <v>0</v>
          </cell>
          <cell r="D1336">
            <v>0</v>
          </cell>
          <cell r="E1336">
            <v>0</v>
          </cell>
          <cell r="F1336">
            <v>0</v>
          </cell>
          <cell r="G1336">
            <v>0</v>
          </cell>
          <cell r="H1336">
            <v>1777</v>
          </cell>
        </row>
        <row r="1337">
          <cell r="A1337" t="str">
            <v>IRRSWIF</v>
          </cell>
          <cell r="B1337" t="str">
            <v>FEMALE TANK INLET HANSEN HM32</v>
          </cell>
          <cell r="C1337">
            <v>0</v>
          </cell>
          <cell r="D1337">
            <v>0</v>
          </cell>
          <cell r="E1337">
            <v>0</v>
          </cell>
          <cell r="F1337">
            <v>0</v>
          </cell>
          <cell r="G1337">
            <v>0</v>
          </cell>
          <cell r="H1337">
            <v>9.14</v>
          </cell>
        </row>
        <row r="1338">
          <cell r="A1338" t="str">
            <v>IRRSWPI</v>
          </cell>
          <cell r="B1338" t="str">
            <v>FARMTUFF CULVERT PIPE 5m LENGTH</v>
          </cell>
          <cell r="C1338">
            <v>0</v>
          </cell>
          <cell r="D1338">
            <v>0</v>
          </cell>
          <cell r="E1338">
            <v>0</v>
          </cell>
          <cell r="F1338">
            <v>0</v>
          </cell>
          <cell r="G1338">
            <v>0</v>
          </cell>
          <cell r="H1338">
            <v>312.18</v>
          </cell>
        </row>
        <row r="1339">
          <cell r="A1339" t="str">
            <v>IRRSWTB</v>
          </cell>
          <cell r="B1339" t="str">
            <v>IRRIGATION STILLINGWELL TERMINAL BOX</v>
          </cell>
          <cell r="C1339">
            <v>395</v>
          </cell>
          <cell r="D1339">
            <v>395</v>
          </cell>
          <cell r="E1339">
            <v>395</v>
          </cell>
          <cell r="F1339">
            <v>395</v>
          </cell>
          <cell r="G1339">
            <v>395</v>
          </cell>
          <cell r="H1339">
            <v>274.858</v>
          </cell>
        </row>
        <row r="1340">
          <cell r="A1340" t="str">
            <v>IRRSWTBM</v>
          </cell>
          <cell r="B1340" t="str">
            <v>IRRIGATION MINOR TERMINAL BOX</v>
          </cell>
          <cell r="C1340">
            <v>546</v>
          </cell>
          <cell r="D1340">
            <v>675</v>
          </cell>
          <cell r="E1340">
            <v>675</v>
          </cell>
          <cell r="F1340">
            <v>675</v>
          </cell>
          <cell r="G1340">
            <v>675</v>
          </cell>
          <cell r="H1340">
            <v>200.76400000000001</v>
          </cell>
        </row>
        <row r="1341">
          <cell r="A1341" t="str">
            <v>IRRSWTK</v>
          </cell>
          <cell r="B1341" t="str">
            <v>STILLINGWELL TOWER KIT</v>
          </cell>
          <cell r="C1341">
            <v>0</v>
          </cell>
          <cell r="D1341">
            <v>0</v>
          </cell>
          <cell r="E1341">
            <v>0</v>
          </cell>
          <cell r="F1341">
            <v>0</v>
          </cell>
          <cell r="G1341">
            <v>0</v>
          </cell>
          <cell r="H1341">
            <v>845</v>
          </cell>
        </row>
        <row r="1342">
          <cell r="A1342" t="str">
            <v>IRRTMBS</v>
          </cell>
          <cell r="B1342" t="str">
            <v>IRRIGATION TERMINAL MOUNTING BRACKET SET</v>
          </cell>
          <cell r="C1342">
            <v>150</v>
          </cell>
          <cell r="D1342">
            <v>150</v>
          </cell>
          <cell r="E1342">
            <v>150</v>
          </cell>
          <cell r="F1342">
            <v>150</v>
          </cell>
          <cell r="G1342">
            <v>150</v>
          </cell>
          <cell r="H1342">
            <v>140</v>
          </cell>
        </row>
        <row r="1343">
          <cell r="A1343" t="str">
            <v>IRRTUCL</v>
          </cell>
          <cell r="B1343" t="str">
            <v>IRRIGATION TUBE CLAMP SET</v>
          </cell>
          <cell r="C1343">
            <v>90</v>
          </cell>
          <cell r="D1343">
            <v>90</v>
          </cell>
          <cell r="E1343">
            <v>90</v>
          </cell>
          <cell r="F1343">
            <v>90</v>
          </cell>
          <cell r="G1343">
            <v>90</v>
          </cell>
          <cell r="H1343">
            <v>108.5</v>
          </cell>
        </row>
        <row r="1344">
          <cell r="A1344" t="str">
            <v>IRSATPH</v>
          </cell>
          <cell r="B1344" t="str">
            <v>IRIDIUM SATELLITE PHONE 9505A</v>
          </cell>
          <cell r="C1344">
            <v>2290</v>
          </cell>
          <cell r="D1344">
            <v>2290</v>
          </cell>
          <cell r="E1344">
            <v>2290</v>
          </cell>
          <cell r="F1344">
            <v>2290</v>
          </cell>
          <cell r="G1344">
            <v>2290</v>
          </cell>
          <cell r="H1344">
            <v>2261.3000000000002</v>
          </cell>
        </row>
        <row r="1345">
          <cell r="A1345" t="str">
            <v>ISCOTUBE</v>
          </cell>
          <cell r="B1345" t="str">
            <v>WATER SAMPLER TUBE (MANNINGS&amp;ISCO)</v>
          </cell>
          <cell r="C1345">
            <v>34.200000000000003</v>
          </cell>
          <cell r="D1345">
            <v>34.200000000000003</v>
          </cell>
          <cell r="E1345">
            <v>34.200000000000003</v>
          </cell>
          <cell r="F1345">
            <v>34.200000000000003</v>
          </cell>
          <cell r="G1345">
            <v>34.200000000000003</v>
          </cell>
          <cell r="H1345">
            <v>0</v>
          </cell>
        </row>
        <row r="1346">
          <cell r="A1346" t="str">
            <v>ISDGPBU</v>
          </cell>
          <cell r="B1346" t="str">
            <v>ISD GAS PURGE BUBBLE UNIT #DBU-01</v>
          </cell>
          <cell r="C1346">
            <v>1575</v>
          </cell>
          <cell r="D1346">
            <v>1950</v>
          </cell>
          <cell r="E1346">
            <v>1950</v>
          </cell>
          <cell r="F1346">
            <v>1950</v>
          </cell>
          <cell r="G1346">
            <v>1950</v>
          </cell>
          <cell r="H1346">
            <v>1500</v>
          </cell>
          <cell r="I1346">
            <v>39904</v>
          </cell>
        </row>
        <row r="1347">
          <cell r="A1347" t="str">
            <v>KCLMBOX</v>
          </cell>
          <cell r="B1347" t="str">
            <v>KCLM MODULE DRILLED BOX</v>
          </cell>
          <cell r="C1347">
            <v>185</v>
          </cell>
          <cell r="D1347">
            <v>185</v>
          </cell>
          <cell r="E1347">
            <v>185</v>
          </cell>
          <cell r="F1347">
            <v>185</v>
          </cell>
          <cell r="G1347">
            <v>185</v>
          </cell>
          <cell r="H1347">
            <v>83.302000000000007</v>
          </cell>
        </row>
        <row r="1348">
          <cell r="A1348" t="str">
            <v>KCLMECO</v>
          </cell>
          <cell r="B1348" t="str">
            <v>KCLM MODULE MECHANICAL PARTS</v>
          </cell>
          <cell r="C1348">
            <v>33</v>
          </cell>
          <cell r="D1348">
            <v>33</v>
          </cell>
          <cell r="E1348">
            <v>33</v>
          </cell>
          <cell r="F1348">
            <v>33</v>
          </cell>
          <cell r="G1348">
            <v>33</v>
          </cell>
          <cell r="H1348">
            <v>35.121000000000002</v>
          </cell>
        </row>
        <row r="1349">
          <cell r="A1349" t="str">
            <v>KCLMLAB</v>
          </cell>
          <cell r="B1349" t="str">
            <v>KCLM MODULE LABELS</v>
          </cell>
          <cell r="C1349">
            <v>27</v>
          </cell>
          <cell r="D1349">
            <v>27</v>
          </cell>
          <cell r="E1349">
            <v>27</v>
          </cell>
          <cell r="F1349">
            <v>27</v>
          </cell>
          <cell r="G1349">
            <v>27</v>
          </cell>
          <cell r="H1349">
            <v>0</v>
          </cell>
        </row>
        <row r="1350">
          <cell r="A1350" t="str">
            <v>KCLMLMB</v>
          </cell>
          <cell r="B1350" t="str">
            <v>KCLM LOGGER MODULE COMPLETE</v>
          </cell>
          <cell r="C1350">
            <v>750</v>
          </cell>
          <cell r="D1350">
            <v>750</v>
          </cell>
          <cell r="E1350">
            <v>750</v>
          </cell>
          <cell r="F1350">
            <v>750</v>
          </cell>
          <cell r="G1350">
            <v>750</v>
          </cell>
          <cell r="H1350">
            <v>403.76499999999999</v>
          </cell>
        </row>
        <row r="1351">
          <cell r="A1351" t="str">
            <v>KCLMLST</v>
          </cell>
          <cell r="B1351" t="str">
            <v>KCLM LIGHTENING STRIP ASSEMBLY</v>
          </cell>
          <cell r="C1351">
            <v>20</v>
          </cell>
          <cell r="D1351">
            <v>20</v>
          </cell>
          <cell r="E1351">
            <v>20</v>
          </cell>
          <cell r="F1351">
            <v>20</v>
          </cell>
          <cell r="G1351">
            <v>20</v>
          </cell>
          <cell r="H1351">
            <v>22.58</v>
          </cell>
        </row>
        <row r="1352">
          <cell r="A1352" t="str">
            <v>KCLMPCB</v>
          </cell>
          <cell r="B1352" t="str">
            <v>PCB  KCLM MODULE C-W CABLE KITS</v>
          </cell>
          <cell r="C1352">
            <v>350</v>
          </cell>
          <cell r="D1352">
            <v>350</v>
          </cell>
          <cell r="E1352">
            <v>350</v>
          </cell>
          <cell r="F1352">
            <v>350</v>
          </cell>
          <cell r="G1352">
            <v>350</v>
          </cell>
          <cell r="H1352">
            <v>173.03</v>
          </cell>
        </row>
        <row r="1353">
          <cell r="A1353" t="str">
            <v>KEY-RKD7</v>
          </cell>
          <cell r="B1353" t="str">
            <v>KEY YALE CODE RKD7</v>
          </cell>
          <cell r="C1353">
            <v>6</v>
          </cell>
          <cell r="D1353">
            <v>6</v>
          </cell>
          <cell r="E1353">
            <v>6</v>
          </cell>
          <cell r="F1353">
            <v>6</v>
          </cell>
          <cell r="G1353">
            <v>6</v>
          </cell>
          <cell r="H1353">
            <v>5.7859999999999996</v>
          </cell>
        </row>
        <row r="1354">
          <cell r="A1354" t="str">
            <v>KLL084</v>
          </cell>
          <cell r="B1354" t="str">
            <v>SEBA Electric Contact Meter KLL</v>
          </cell>
          <cell r="C1354">
            <v>0</v>
          </cell>
          <cell r="D1354">
            <v>0</v>
          </cell>
          <cell r="E1354">
            <v>0</v>
          </cell>
          <cell r="F1354">
            <v>0</v>
          </cell>
          <cell r="G1354">
            <v>0</v>
          </cell>
          <cell r="H1354">
            <v>438.97300000000001</v>
          </cell>
        </row>
        <row r="1355">
          <cell r="A1355" t="str">
            <v>KNOBTR</v>
          </cell>
          <cell r="B1355" t="str">
            <v>INSERT KNOB SILVER/BLACK 27x15</v>
          </cell>
          <cell r="C1355">
            <v>1</v>
          </cell>
          <cell r="D1355">
            <v>1</v>
          </cell>
          <cell r="E1355">
            <v>1</v>
          </cell>
          <cell r="F1355">
            <v>1</v>
          </cell>
          <cell r="G1355">
            <v>1</v>
          </cell>
          <cell r="H1355">
            <v>2.694</v>
          </cell>
        </row>
        <row r="1356">
          <cell r="A1356" t="str">
            <v>LABADRL</v>
          </cell>
          <cell r="B1356" t="str">
            <v>LABEL ADDRESS - LARGE</v>
          </cell>
          <cell r="C1356">
            <v>5</v>
          </cell>
          <cell r="D1356">
            <v>5</v>
          </cell>
          <cell r="E1356">
            <v>5</v>
          </cell>
          <cell r="F1356">
            <v>5</v>
          </cell>
          <cell r="G1356">
            <v>5</v>
          </cell>
          <cell r="H1356">
            <v>0</v>
          </cell>
        </row>
        <row r="1357">
          <cell r="A1357" t="str">
            <v>LABADRS</v>
          </cell>
          <cell r="B1357" t="str">
            <v>LABEL ADDRESS - SMALL</v>
          </cell>
          <cell r="C1357">
            <v>3.5</v>
          </cell>
          <cell r="D1357">
            <v>3.5</v>
          </cell>
          <cell r="E1357">
            <v>3.5</v>
          </cell>
          <cell r="F1357">
            <v>3.5</v>
          </cell>
          <cell r="G1357">
            <v>3.5</v>
          </cell>
          <cell r="H1357">
            <v>0</v>
          </cell>
        </row>
        <row r="1358">
          <cell r="A1358" t="str">
            <v>LABBOULTON</v>
          </cell>
          <cell r="B1358" t="str">
            <v>LABOUR (1 UNIT = 15 MINS)</v>
          </cell>
          <cell r="C1358">
            <v>20</v>
          </cell>
          <cell r="D1358">
            <v>25</v>
          </cell>
          <cell r="E1358">
            <v>25</v>
          </cell>
          <cell r="F1358">
            <v>25</v>
          </cell>
          <cell r="G1358">
            <v>25</v>
          </cell>
          <cell r="H1358">
            <v>20</v>
          </cell>
        </row>
        <row r="1359">
          <cell r="A1359" t="str">
            <v>LABBULLEID</v>
          </cell>
          <cell r="B1359" t="str">
            <v>LABOUR (1 UNIT = 15 MINS)</v>
          </cell>
          <cell r="C1359">
            <v>27.25</v>
          </cell>
          <cell r="D1359">
            <v>31.25</v>
          </cell>
          <cell r="E1359">
            <v>31.25</v>
          </cell>
          <cell r="F1359">
            <v>31.25</v>
          </cell>
          <cell r="G1359">
            <v>31.25</v>
          </cell>
          <cell r="H1359">
            <v>28.5</v>
          </cell>
        </row>
        <row r="1360">
          <cell r="A1360" t="str">
            <v>LABCHUMPHREY</v>
          </cell>
          <cell r="B1360" t="str">
            <v>LABOUR CAPEX HUMPHREYS</v>
          </cell>
          <cell r="C1360">
            <v>12.5</v>
          </cell>
          <cell r="D1360">
            <v>12.5</v>
          </cell>
          <cell r="E1360">
            <v>12.5</v>
          </cell>
          <cell r="F1360">
            <v>12.5</v>
          </cell>
          <cell r="G1360">
            <v>12.5</v>
          </cell>
          <cell r="H1360">
            <v>0</v>
          </cell>
          <cell r="I1360">
            <v>39995</v>
          </cell>
        </row>
        <row r="1361">
          <cell r="A1361" t="str">
            <v>LABCMATERN</v>
          </cell>
          <cell r="B1361" t="str">
            <v>LABOUR CAPEX MATERN</v>
          </cell>
          <cell r="C1361">
            <v>12.5</v>
          </cell>
          <cell r="D1361">
            <v>12.5</v>
          </cell>
          <cell r="E1361">
            <v>12.5</v>
          </cell>
          <cell r="F1361">
            <v>12.5</v>
          </cell>
          <cell r="G1361">
            <v>12.5</v>
          </cell>
          <cell r="H1361">
            <v>12.5</v>
          </cell>
        </row>
        <row r="1362">
          <cell r="A1362" t="str">
            <v>LABCOPPARD</v>
          </cell>
          <cell r="B1362" t="str">
            <v>LABOUR (1 UNIT = 15 MINS)</v>
          </cell>
          <cell r="C1362">
            <v>27.25</v>
          </cell>
          <cell r="D1362">
            <v>31.25</v>
          </cell>
          <cell r="E1362">
            <v>31.25</v>
          </cell>
          <cell r="F1362">
            <v>31.25</v>
          </cell>
          <cell r="G1362">
            <v>31.25</v>
          </cell>
          <cell r="H1362">
            <v>28.5</v>
          </cell>
        </row>
        <row r="1363">
          <cell r="A1363" t="str">
            <v>LABCRUMP</v>
          </cell>
          <cell r="B1363" t="str">
            <v>LABOUR (1 UNIT = 15 MINS)</v>
          </cell>
          <cell r="C1363">
            <v>27.25</v>
          </cell>
          <cell r="D1363">
            <v>31.25</v>
          </cell>
          <cell r="E1363">
            <v>31.25</v>
          </cell>
          <cell r="F1363">
            <v>31.25</v>
          </cell>
          <cell r="G1363">
            <v>31.25</v>
          </cell>
          <cell r="H1363">
            <v>28.5</v>
          </cell>
        </row>
        <row r="1364">
          <cell r="A1364" t="str">
            <v>LABCSAYWELL</v>
          </cell>
          <cell r="B1364" t="str">
            <v>LABOUR CAPEX SAYWELL</v>
          </cell>
          <cell r="C1364">
            <v>12.5</v>
          </cell>
          <cell r="D1364">
            <v>12.5</v>
          </cell>
          <cell r="E1364">
            <v>12.5</v>
          </cell>
          <cell r="F1364">
            <v>12.5</v>
          </cell>
          <cell r="G1364">
            <v>12.5</v>
          </cell>
          <cell r="H1364">
            <v>12.5</v>
          </cell>
          <cell r="I1364">
            <v>39995</v>
          </cell>
        </row>
        <row r="1365">
          <cell r="A1365" t="str">
            <v>LABDELIMA</v>
          </cell>
          <cell r="B1365" t="str">
            <v>LABOUR (1 UNIT = 15 MINS)</v>
          </cell>
          <cell r="C1365">
            <v>27.25</v>
          </cell>
          <cell r="D1365">
            <v>31.25</v>
          </cell>
          <cell r="E1365">
            <v>31.25</v>
          </cell>
          <cell r="F1365">
            <v>31.25</v>
          </cell>
          <cell r="G1365">
            <v>31.25</v>
          </cell>
          <cell r="H1365">
            <v>28.5</v>
          </cell>
        </row>
        <row r="1366">
          <cell r="A1366" t="str">
            <v>LABGENERAL</v>
          </cell>
          <cell r="B1366" t="str">
            <v>TECHNICIAN LABOUR</v>
          </cell>
          <cell r="C1366">
            <v>22.5</v>
          </cell>
          <cell r="D1366">
            <v>26.25</v>
          </cell>
          <cell r="E1366">
            <v>26.25</v>
          </cell>
          <cell r="F1366">
            <v>26.25</v>
          </cell>
          <cell r="G1366">
            <v>26.25</v>
          </cell>
          <cell r="H1366">
            <v>28.5</v>
          </cell>
        </row>
        <row r="1367">
          <cell r="A1367" t="str">
            <v>LABGEORGE</v>
          </cell>
          <cell r="B1367" t="str">
            <v>LABOUR (1 UNIT = 15 MINS)</v>
          </cell>
          <cell r="C1367">
            <v>27.25</v>
          </cell>
          <cell r="D1367">
            <v>31.25</v>
          </cell>
          <cell r="E1367">
            <v>31.25</v>
          </cell>
          <cell r="F1367">
            <v>31.25</v>
          </cell>
          <cell r="G1367">
            <v>31.25</v>
          </cell>
          <cell r="H1367">
            <v>28.5</v>
          </cell>
        </row>
        <row r="1368">
          <cell r="A1368" t="str">
            <v>LABGIBB</v>
          </cell>
          <cell r="B1368" t="str">
            <v>LABOUR (1 UNIT = 15 MINS)</v>
          </cell>
          <cell r="C1368">
            <v>27.25</v>
          </cell>
          <cell r="D1368">
            <v>31.25</v>
          </cell>
          <cell r="E1368">
            <v>31.25</v>
          </cell>
          <cell r="F1368">
            <v>31.25</v>
          </cell>
          <cell r="G1368">
            <v>31.25</v>
          </cell>
          <cell r="H1368">
            <v>28.5</v>
          </cell>
        </row>
        <row r="1369">
          <cell r="A1369" t="str">
            <v>LABGPNI</v>
          </cell>
          <cell r="B1369" t="str">
            <v>LABEL  NIWA GENERAL PURPOSE</v>
          </cell>
          <cell r="C1369">
            <v>2.5</v>
          </cell>
          <cell r="D1369">
            <v>2.5</v>
          </cell>
          <cell r="E1369">
            <v>2.5</v>
          </cell>
          <cell r="F1369">
            <v>2.5</v>
          </cell>
          <cell r="G1369">
            <v>2.5</v>
          </cell>
          <cell r="H1369">
            <v>1.75</v>
          </cell>
        </row>
        <row r="1370">
          <cell r="A1370" t="str">
            <v>LABGRACE</v>
          </cell>
          <cell r="B1370" t="str">
            <v>LABOUR (1 UNIT = 15 MINS)</v>
          </cell>
          <cell r="C1370">
            <v>27.25</v>
          </cell>
          <cell r="D1370">
            <v>31.25</v>
          </cell>
          <cell r="E1370">
            <v>31.25</v>
          </cell>
          <cell r="F1370">
            <v>31.25</v>
          </cell>
          <cell r="G1370">
            <v>31.25</v>
          </cell>
          <cell r="H1370">
            <v>28.5</v>
          </cell>
        </row>
        <row r="1371">
          <cell r="A1371" t="str">
            <v>LABHARPER</v>
          </cell>
          <cell r="B1371" t="str">
            <v>LABOUR (1 UNIT = 15 MINS)</v>
          </cell>
          <cell r="C1371">
            <v>27.25</v>
          </cell>
          <cell r="D1371">
            <v>31.25</v>
          </cell>
          <cell r="E1371">
            <v>31.25</v>
          </cell>
          <cell r="F1371">
            <v>31.25</v>
          </cell>
          <cell r="G1371">
            <v>31.25</v>
          </cell>
          <cell r="H1371">
            <v>28.5</v>
          </cell>
        </row>
        <row r="1372">
          <cell r="A1372" t="str">
            <v>LABHEAP</v>
          </cell>
          <cell r="B1372" t="str">
            <v>LABOUR (1 UNIT = 15 MINS)</v>
          </cell>
          <cell r="C1372">
            <v>27.25</v>
          </cell>
          <cell r="D1372">
            <v>31.25</v>
          </cell>
          <cell r="E1372">
            <v>31.25</v>
          </cell>
          <cell r="F1372">
            <v>31.25</v>
          </cell>
          <cell r="G1372">
            <v>31.25</v>
          </cell>
          <cell r="H1372">
            <v>28.5</v>
          </cell>
        </row>
        <row r="1373">
          <cell r="A1373" t="str">
            <v>LABHODKIN</v>
          </cell>
          <cell r="B1373" t="str">
            <v>LABOUR (1 UNIT = 15 MINS)</v>
          </cell>
          <cell r="C1373">
            <v>20</v>
          </cell>
          <cell r="D1373">
            <v>25</v>
          </cell>
          <cell r="E1373">
            <v>25</v>
          </cell>
          <cell r="F1373">
            <v>25</v>
          </cell>
          <cell r="G1373">
            <v>25</v>
          </cell>
          <cell r="H1373">
            <v>20</v>
          </cell>
        </row>
        <row r="1374">
          <cell r="A1374" t="str">
            <v>LABHUMPHREYS</v>
          </cell>
          <cell r="B1374" t="str">
            <v>LABOUR (1 UNIT = 15 MINS)</v>
          </cell>
          <cell r="C1374">
            <v>27.25</v>
          </cell>
          <cell r="D1374">
            <v>31.25</v>
          </cell>
          <cell r="E1374">
            <v>31.25</v>
          </cell>
          <cell r="F1374">
            <v>31.25</v>
          </cell>
          <cell r="G1374">
            <v>31.25</v>
          </cell>
          <cell r="H1374">
            <v>28.5</v>
          </cell>
        </row>
        <row r="1375">
          <cell r="A1375" t="str">
            <v>LABIRCM</v>
          </cell>
          <cell r="B1375" t="str">
            <v>IRRIGATION HSIO OUTPUT MOD LABEL</v>
          </cell>
          <cell r="C1375">
            <v>30.45</v>
          </cell>
          <cell r="D1375">
            <v>37.700000000000003</v>
          </cell>
          <cell r="E1375">
            <v>37.700000000000003</v>
          </cell>
          <cell r="F1375">
            <v>37.700000000000003</v>
          </cell>
          <cell r="G1375">
            <v>37.700000000000003</v>
          </cell>
          <cell r="H1375">
            <v>29</v>
          </cell>
          <cell r="I1375">
            <v>39883</v>
          </cell>
        </row>
        <row r="1376">
          <cell r="A1376" t="str">
            <v>LABIRGCM</v>
          </cell>
          <cell r="B1376" t="str">
            <v>GATE CONTROL MODULE LABEL</v>
          </cell>
          <cell r="C1376">
            <v>40.299999999999997</v>
          </cell>
          <cell r="D1376">
            <v>40.299999999999997</v>
          </cell>
          <cell r="E1376">
            <v>40.299999999999997</v>
          </cell>
          <cell r="F1376">
            <v>40.299999999999997</v>
          </cell>
          <cell r="G1376">
            <v>40.299999999999997</v>
          </cell>
          <cell r="H1376">
            <v>31</v>
          </cell>
          <cell r="I1376">
            <v>40252</v>
          </cell>
        </row>
        <row r="1377">
          <cell r="A1377" t="str">
            <v>LABMARS</v>
          </cell>
          <cell r="B1377" t="str">
            <v>LABEL MARINE SERIAL NUMBER</v>
          </cell>
          <cell r="C1377">
            <v>14</v>
          </cell>
          <cell r="D1377">
            <v>14</v>
          </cell>
          <cell r="E1377">
            <v>14</v>
          </cell>
          <cell r="F1377">
            <v>14</v>
          </cell>
          <cell r="G1377">
            <v>14</v>
          </cell>
          <cell r="H1377">
            <v>8.02</v>
          </cell>
        </row>
        <row r="1378">
          <cell r="A1378" t="str">
            <v>LABMATERN</v>
          </cell>
          <cell r="B1378" t="str">
            <v>LABOUR (1 UNIT = 15 MINS)</v>
          </cell>
          <cell r="C1378">
            <v>27.25</v>
          </cell>
          <cell r="D1378">
            <v>31.25</v>
          </cell>
          <cell r="E1378">
            <v>31.25</v>
          </cell>
          <cell r="F1378">
            <v>31.25</v>
          </cell>
          <cell r="G1378">
            <v>31.25</v>
          </cell>
          <cell r="H1378">
            <v>28.5</v>
          </cell>
        </row>
        <row r="1379">
          <cell r="A1379" t="str">
            <v>LABNEWLAND</v>
          </cell>
          <cell r="B1379" t="str">
            <v>LABOUR (1 UNIT =  15 MINS)</v>
          </cell>
          <cell r="C1379">
            <v>27.25</v>
          </cell>
          <cell r="D1379">
            <v>31.25</v>
          </cell>
          <cell r="E1379">
            <v>31.25</v>
          </cell>
          <cell r="F1379">
            <v>31.25</v>
          </cell>
          <cell r="G1379">
            <v>31.25</v>
          </cell>
          <cell r="H1379">
            <v>28.5</v>
          </cell>
        </row>
        <row r="1380">
          <cell r="A1380" t="str">
            <v>LABOURADMIN</v>
          </cell>
          <cell r="B1380" t="str">
            <v>LABOUR - ADMIN</v>
          </cell>
          <cell r="C1380">
            <v>26.5</v>
          </cell>
          <cell r="D1380">
            <v>0</v>
          </cell>
          <cell r="E1380">
            <v>0</v>
          </cell>
          <cell r="F1380">
            <v>0</v>
          </cell>
          <cell r="G1380">
            <v>0</v>
          </cell>
          <cell r="H1380">
            <v>23.75</v>
          </cell>
        </row>
        <row r="1381">
          <cell r="A1381" t="str">
            <v>LABOURASSEM</v>
          </cell>
          <cell r="B1381" t="str">
            <v>LABOUR - ASSEMBLY</v>
          </cell>
          <cell r="C1381">
            <v>26.5</v>
          </cell>
          <cell r="D1381">
            <v>0</v>
          </cell>
          <cell r="E1381">
            <v>0</v>
          </cell>
          <cell r="F1381">
            <v>0</v>
          </cell>
          <cell r="G1381">
            <v>0</v>
          </cell>
          <cell r="H1381">
            <v>23.75</v>
          </cell>
        </row>
        <row r="1382">
          <cell r="A1382" t="str">
            <v>LABOURCAL</v>
          </cell>
          <cell r="B1382" t="str">
            <v>LABOUR - CALIBRATION</v>
          </cell>
          <cell r="C1382">
            <v>26.5</v>
          </cell>
          <cell r="D1382">
            <v>0</v>
          </cell>
          <cell r="E1382">
            <v>0</v>
          </cell>
          <cell r="F1382">
            <v>0</v>
          </cell>
          <cell r="G1382">
            <v>0</v>
          </cell>
          <cell r="H1382">
            <v>23.75</v>
          </cell>
        </row>
        <row r="1383">
          <cell r="A1383" t="str">
            <v>LABOURINWD</v>
          </cell>
          <cell r="B1383" t="str">
            <v>LABOUR - INWARD TEST</v>
          </cell>
          <cell r="C1383">
            <v>26.5</v>
          </cell>
          <cell r="D1383">
            <v>0</v>
          </cell>
          <cell r="E1383">
            <v>0</v>
          </cell>
          <cell r="F1383">
            <v>0</v>
          </cell>
          <cell r="G1383">
            <v>0</v>
          </cell>
          <cell r="H1383">
            <v>23.75</v>
          </cell>
        </row>
        <row r="1384">
          <cell r="A1384" t="str">
            <v>LABOURPROG</v>
          </cell>
          <cell r="B1384" t="str">
            <v>LABOUR - PROGRAMMING</v>
          </cell>
          <cell r="C1384">
            <v>26.5</v>
          </cell>
          <cell r="D1384">
            <v>0</v>
          </cell>
          <cell r="E1384">
            <v>0</v>
          </cell>
          <cell r="F1384">
            <v>0</v>
          </cell>
          <cell r="G1384">
            <v>0</v>
          </cell>
          <cell r="H1384">
            <v>23.75</v>
          </cell>
        </row>
        <row r="1385">
          <cell r="A1385" t="str">
            <v>LABPAULL</v>
          </cell>
          <cell r="B1385" t="str">
            <v>LABOUR (1 UNIT = 15mins)</v>
          </cell>
          <cell r="C1385">
            <v>27.25</v>
          </cell>
          <cell r="D1385">
            <v>31.25</v>
          </cell>
          <cell r="E1385">
            <v>31.25</v>
          </cell>
          <cell r="F1385">
            <v>31.25</v>
          </cell>
          <cell r="G1385">
            <v>31.25</v>
          </cell>
          <cell r="H1385">
            <v>27.25</v>
          </cell>
        </row>
        <row r="1386">
          <cell r="A1386" t="str">
            <v>LABPRESTON</v>
          </cell>
          <cell r="B1386" t="str">
            <v>LABOUR (1 UNIT = 15 MINS)</v>
          </cell>
          <cell r="C1386">
            <v>27.25</v>
          </cell>
          <cell r="D1386">
            <v>31.25</v>
          </cell>
          <cell r="E1386">
            <v>31.25</v>
          </cell>
          <cell r="F1386">
            <v>31.25</v>
          </cell>
          <cell r="G1386">
            <v>31.25</v>
          </cell>
          <cell r="H1386">
            <v>28.5</v>
          </cell>
        </row>
        <row r="1387">
          <cell r="A1387" t="str">
            <v>LABRICH</v>
          </cell>
          <cell r="B1387" t="str">
            <v>LABOUR (1 UNIT = 15 MINS)</v>
          </cell>
          <cell r="C1387">
            <v>20</v>
          </cell>
          <cell r="D1387">
            <v>25</v>
          </cell>
          <cell r="E1387">
            <v>25</v>
          </cell>
          <cell r="F1387">
            <v>25</v>
          </cell>
          <cell r="G1387">
            <v>25</v>
          </cell>
          <cell r="H1387">
            <v>20</v>
          </cell>
        </row>
        <row r="1388">
          <cell r="A1388" t="str">
            <v>LABRODWELL</v>
          </cell>
          <cell r="B1388" t="str">
            <v>LABOUR (1 UNIT= 15 MINS)</v>
          </cell>
          <cell r="C1388">
            <v>26.5</v>
          </cell>
          <cell r="D1388">
            <v>31.25</v>
          </cell>
          <cell r="E1388">
            <v>31.25</v>
          </cell>
          <cell r="F1388">
            <v>31.25</v>
          </cell>
          <cell r="G1388">
            <v>31.25</v>
          </cell>
          <cell r="H1388">
            <v>22.5</v>
          </cell>
        </row>
        <row r="1389">
          <cell r="A1389" t="str">
            <v>LABROLL19.05</v>
          </cell>
          <cell r="B1389" t="str">
            <v>19.05x12.7mm 500ROLL LABEL</v>
          </cell>
          <cell r="C1389">
            <v>0</v>
          </cell>
          <cell r="D1389">
            <v>0</v>
          </cell>
          <cell r="E1389">
            <v>0</v>
          </cell>
          <cell r="F1389">
            <v>0</v>
          </cell>
          <cell r="G1389">
            <v>0</v>
          </cell>
          <cell r="H1389">
            <v>89.58</v>
          </cell>
        </row>
        <row r="1390">
          <cell r="A1390" t="str">
            <v>LABSAYWELL</v>
          </cell>
          <cell r="B1390" t="str">
            <v>LABOUR (1 UNIT = 15 MINS)</v>
          </cell>
          <cell r="C1390">
            <v>27.25</v>
          </cell>
          <cell r="D1390">
            <v>31.25</v>
          </cell>
          <cell r="E1390">
            <v>31.25</v>
          </cell>
          <cell r="F1390">
            <v>31.25</v>
          </cell>
          <cell r="G1390">
            <v>31.25</v>
          </cell>
          <cell r="H1390">
            <v>28.5</v>
          </cell>
        </row>
        <row r="1391">
          <cell r="A1391" t="str">
            <v>LABSCEL</v>
          </cell>
          <cell r="B1391" t="str">
            <v>LABEL  ELECTRICAL SAFETY CERTIFICATE</v>
          </cell>
          <cell r="C1391">
            <v>4.5</v>
          </cell>
          <cell r="D1391">
            <v>4.5</v>
          </cell>
          <cell r="E1391">
            <v>4.5</v>
          </cell>
          <cell r="F1391">
            <v>4.5</v>
          </cell>
          <cell r="G1391">
            <v>4.5</v>
          </cell>
          <cell r="H1391">
            <v>0</v>
          </cell>
        </row>
        <row r="1392">
          <cell r="A1392" t="str">
            <v>LABT2WS</v>
          </cell>
          <cell r="B1392" t="str">
            <v>LABEL TIER 2 WEATHER STATION</v>
          </cell>
          <cell r="C1392">
            <v>37</v>
          </cell>
          <cell r="D1392">
            <v>37</v>
          </cell>
          <cell r="E1392">
            <v>37</v>
          </cell>
          <cell r="F1392">
            <v>37</v>
          </cell>
          <cell r="G1392">
            <v>37</v>
          </cell>
          <cell r="H1392">
            <v>28.55</v>
          </cell>
        </row>
        <row r="1393">
          <cell r="A1393" t="str">
            <v>LABTHOMPSON</v>
          </cell>
          <cell r="B1393" t="str">
            <v>LABOUR (1 UNIT = 15 MINS)</v>
          </cell>
          <cell r="C1393">
            <v>27.25</v>
          </cell>
          <cell r="D1393">
            <v>31.25</v>
          </cell>
          <cell r="E1393">
            <v>31.25</v>
          </cell>
          <cell r="F1393">
            <v>31.25</v>
          </cell>
          <cell r="G1393">
            <v>31.25</v>
          </cell>
          <cell r="H1393">
            <v>28.5</v>
          </cell>
        </row>
        <row r="1394">
          <cell r="A1394" t="str">
            <v>LABTRAM</v>
          </cell>
          <cell r="B1394" t="str">
            <v>TRAVELLER MOTOR LABEL</v>
          </cell>
          <cell r="C1394">
            <v>12.6</v>
          </cell>
          <cell r="D1394">
            <v>15.6</v>
          </cell>
          <cell r="E1394">
            <v>15.6</v>
          </cell>
          <cell r="F1394">
            <v>15.6</v>
          </cell>
          <cell r="G1394">
            <v>15.6</v>
          </cell>
          <cell r="H1394">
            <v>13.01</v>
          </cell>
          <cell r="I1394">
            <v>39988</v>
          </cell>
        </row>
        <row r="1395">
          <cell r="A1395" t="str">
            <v>LABTRAR</v>
          </cell>
          <cell r="B1395" t="str">
            <v>TRAVELLER REMOTE CONTROL LABEL</v>
          </cell>
          <cell r="C1395">
            <v>0</v>
          </cell>
          <cell r="D1395">
            <v>0</v>
          </cell>
          <cell r="E1395">
            <v>0</v>
          </cell>
          <cell r="F1395">
            <v>0</v>
          </cell>
          <cell r="G1395">
            <v>0</v>
          </cell>
          <cell r="H1395">
            <v>29.024000000000001</v>
          </cell>
        </row>
        <row r="1396">
          <cell r="A1396" t="str">
            <v>LABTRAV</v>
          </cell>
          <cell r="B1396" t="str">
            <v>TRAVELLER CONTROLLER LABEL</v>
          </cell>
          <cell r="C1396">
            <v>25</v>
          </cell>
          <cell r="D1396">
            <v>25</v>
          </cell>
          <cell r="E1396">
            <v>25</v>
          </cell>
          <cell r="F1396">
            <v>25</v>
          </cell>
          <cell r="G1396">
            <v>25</v>
          </cell>
          <cell r="H1396">
            <v>19.169</v>
          </cell>
        </row>
        <row r="1397">
          <cell r="A1397" t="str">
            <v>LAMPEFE</v>
          </cell>
          <cell r="B1397" t="str">
            <v>LAMBRECHT FELT PEN BLACK</v>
          </cell>
          <cell r="C1397">
            <v>45</v>
          </cell>
          <cell r="D1397">
            <v>55</v>
          </cell>
          <cell r="E1397">
            <v>55</v>
          </cell>
          <cell r="F1397">
            <v>55</v>
          </cell>
          <cell r="G1397">
            <v>55</v>
          </cell>
          <cell r="H1397">
            <v>44.5</v>
          </cell>
          <cell r="I1397">
            <v>39884</v>
          </cell>
        </row>
        <row r="1398">
          <cell r="A1398" t="str">
            <v>LAMROTC</v>
          </cell>
          <cell r="B1398" t="str">
            <v>LAMBRECHT ROTOR CUP (1469-U6 ANEMOMETER)</v>
          </cell>
          <cell r="C1398">
            <v>224.9</v>
          </cell>
          <cell r="D1398">
            <v>224.9</v>
          </cell>
          <cell r="E1398">
            <v>224.9</v>
          </cell>
          <cell r="F1398">
            <v>224.9</v>
          </cell>
          <cell r="G1398">
            <v>224.9</v>
          </cell>
          <cell r="H1398">
            <v>0</v>
          </cell>
        </row>
        <row r="1399">
          <cell r="A1399" t="str">
            <v>LAMSURE</v>
          </cell>
          <cell r="B1399" t="str">
            <v>LAMBRECHT 1603 SUNSHINE RECORDER</v>
          </cell>
          <cell r="C1399">
            <v>2575</v>
          </cell>
          <cell r="D1399">
            <v>3189</v>
          </cell>
          <cell r="E1399">
            <v>3189</v>
          </cell>
          <cell r="F1399">
            <v>3189</v>
          </cell>
          <cell r="G1399">
            <v>3189</v>
          </cell>
          <cell r="H1399">
            <v>2452.4870000000001</v>
          </cell>
          <cell r="I1399">
            <v>40252</v>
          </cell>
        </row>
        <row r="1400">
          <cell r="A1400" t="str">
            <v>LATBOOP</v>
          </cell>
          <cell r="B1400" t="str">
            <v>LATCHING INTERFACE OPTICAL ISOLATED BOAR</v>
          </cell>
          <cell r="C1400">
            <v>315</v>
          </cell>
          <cell r="D1400">
            <v>315</v>
          </cell>
          <cell r="E1400">
            <v>315</v>
          </cell>
          <cell r="F1400">
            <v>315</v>
          </cell>
          <cell r="G1400">
            <v>315</v>
          </cell>
          <cell r="H1400">
            <v>0</v>
          </cell>
        </row>
        <row r="1401">
          <cell r="A1401" t="str">
            <v>LATINLA</v>
          </cell>
          <cell r="B1401" t="str">
            <v>LABEL  KAINGA LATCHING INTERFACE</v>
          </cell>
          <cell r="C1401">
            <v>37.53</v>
          </cell>
          <cell r="D1401">
            <v>37.53</v>
          </cell>
          <cell r="E1401">
            <v>37.53</v>
          </cell>
          <cell r="F1401">
            <v>37.53</v>
          </cell>
          <cell r="G1401">
            <v>37.53</v>
          </cell>
          <cell r="H1401">
            <v>0</v>
          </cell>
        </row>
        <row r="1402">
          <cell r="A1402" t="str">
            <v>LICLEPL</v>
          </cell>
          <cell r="B1402" t="str">
            <v>PLATE  LICOR LEVELING</v>
          </cell>
          <cell r="C1402">
            <v>150</v>
          </cell>
          <cell r="D1402">
            <v>150</v>
          </cell>
          <cell r="E1402">
            <v>150</v>
          </cell>
          <cell r="F1402">
            <v>150</v>
          </cell>
          <cell r="G1402">
            <v>150</v>
          </cell>
          <cell r="H1402">
            <v>115.042</v>
          </cell>
        </row>
        <row r="1403">
          <cell r="A1403" t="str">
            <v>LICORIF</v>
          </cell>
          <cell r="B1403" t="str">
            <v>LICOR INTERFACE FOR DATALOGGERS</v>
          </cell>
          <cell r="C1403">
            <v>70</v>
          </cell>
          <cell r="D1403">
            <v>86</v>
          </cell>
          <cell r="E1403">
            <v>86</v>
          </cell>
          <cell r="F1403">
            <v>86</v>
          </cell>
          <cell r="G1403">
            <v>86</v>
          </cell>
          <cell r="H1403">
            <v>63.643000000000001</v>
          </cell>
          <cell r="I1403">
            <v>39994</v>
          </cell>
        </row>
        <row r="1404">
          <cell r="A1404" t="str">
            <v>LICSORA</v>
          </cell>
          <cell r="B1404" t="str">
            <v>LICOR SOLAR RADIATION SENSOR LI200SZ-50</v>
          </cell>
          <cell r="C1404">
            <v>500</v>
          </cell>
          <cell r="D1404">
            <v>595</v>
          </cell>
          <cell r="E1404">
            <v>595</v>
          </cell>
          <cell r="F1404">
            <v>595</v>
          </cell>
          <cell r="G1404">
            <v>595</v>
          </cell>
          <cell r="H1404">
            <v>459.70699999999999</v>
          </cell>
        </row>
        <row r="1405">
          <cell r="A1405" t="str">
            <v>LIGSTWH</v>
          </cell>
          <cell r="B1405" t="str">
            <v>LIGHT  WHITE STROBE #DYX-285</v>
          </cell>
          <cell r="C1405">
            <v>60</v>
          </cell>
          <cell r="D1405">
            <v>60</v>
          </cell>
          <cell r="E1405">
            <v>60</v>
          </cell>
          <cell r="F1405">
            <v>60</v>
          </cell>
          <cell r="G1405">
            <v>60</v>
          </cell>
          <cell r="H1405">
            <v>0</v>
          </cell>
        </row>
        <row r="1406">
          <cell r="A1406" t="str">
            <v>LIPRDSF</v>
          </cell>
          <cell r="B1406" t="str">
            <v>LIGHTNING PROTECTION  DINLINE SURGE FILT</v>
          </cell>
          <cell r="C1406">
            <v>210</v>
          </cell>
          <cell r="D1406">
            <v>210</v>
          </cell>
          <cell r="E1406">
            <v>210</v>
          </cell>
          <cell r="F1406">
            <v>210</v>
          </cell>
          <cell r="G1406">
            <v>210</v>
          </cell>
          <cell r="H1406">
            <v>140</v>
          </cell>
        </row>
        <row r="1407">
          <cell r="A1407" t="str">
            <v>LIPRDSF2</v>
          </cell>
          <cell r="B1407" t="str">
            <v>DINLINE SURGE FILTER 75V</v>
          </cell>
          <cell r="C1407">
            <v>250</v>
          </cell>
          <cell r="D1407">
            <v>250</v>
          </cell>
          <cell r="E1407">
            <v>250</v>
          </cell>
          <cell r="F1407">
            <v>250</v>
          </cell>
          <cell r="G1407">
            <v>250</v>
          </cell>
          <cell r="H1407">
            <v>180</v>
          </cell>
        </row>
        <row r="1408">
          <cell r="A1408" t="str">
            <v>LIPRISO</v>
          </cell>
          <cell r="B1408" t="str">
            <v>"LIGHTNING PROTECTION ""ISOLINE"" #ILH20</v>
          </cell>
          <cell r="C1408">
            <v>220</v>
          </cell>
          <cell r="D1408">
            <v>248.3</v>
          </cell>
          <cell r="E1408">
            <v>248.3</v>
          </cell>
          <cell r="F1408">
            <v>248.3</v>
          </cell>
          <cell r="G1408">
            <v>248.3</v>
          </cell>
          <cell r="H1408">
            <v>0</v>
          </cell>
          <cell r="I1408">
            <v>39884</v>
          </cell>
        </row>
        <row r="1409">
          <cell r="A1409" t="str">
            <v>LISURGA</v>
          </cell>
          <cell r="B1409" t="str">
            <v>COAXIAL ADAPTER N MALE TO N MALE</v>
          </cell>
          <cell r="C1409">
            <v>9.93</v>
          </cell>
          <cell r="D1409">
            <v>12.3</v>
          </cell>
          <cell r="E1409">
            <v>12.3</v>
          </cell>
          <cell r="F1409">
            <v>12.3</v>
          </cell>
          <cell r="G1409">
            <v>12.3</v>
          </cell>
          <cell r="H1409">
            <v>9.65</v>
          </cell>
          <cell r="I1409">
            <v>39988</v>
          </cell>
        </row>
        <row r="1410">
          <cell r="A1410" t="str">
            <v>LISURGE</v>
          </cell>
          <cell r="B1410" t="str">
            <v>LIGHTNING SURGE ARRESTER M-F</v>
          </cell>
          <cell r="C1410">
            <v>65</v>
          </cell>
          <cell r="D1410">
            <v>65</v>
          </cell>
          <cell r="E1410">
            <v>65</v>
          </cell>
          <cell r="F1410">
            <v>65</v>
          </cell>
          <cell r="G1410">
            <v>65</v>
          </cell>
          <cell r="H1410">
            <v>40</v>
          </cell>
        </row>
        <row r="1411">
          <cell r="A1411" t="str">
            <v>LISURGE1</v>
          </cell>
          <cell r="B1411" t="str">
            <v>LIGHTNING SURGE ARRESTER F-F</v>
          </cell>
          <cell r="C1411">
            <v>65</v>
          </cell>
          <cell r="D1411">
            <v>65</v>
          </cell>
          <cell r="E1411">
            <v>65</v>
          </cell>
          <cell r="F1411">
            <v>65</v>
          </cell>
          <cell r="G1411">
            <v>65</v>
          </cell>
          <cell r="H1411">
            <v>44</v>
          </cell>
        </row>
        <row r="1412">
          <cell r="A1412" t="str">
            <v>LIUNDER</v>
          </cell>
          <cell r="B1412" t="str">
            <v>LICOR LI-192SA UNDERWATER LIGHT SENSOR</v>
          </cell>
          <cell r="C1412">
            <v>1995</v>
          </cell>
          <cell r="D1412">
            <v>1995</v>
          </cell>
          <cell r="E1412">
            <v>1995</v>
          </cell>
          <cell r="F1412">
            <v>1995</v>
          </cell>
          <cell r="G1412">
            <v>1995</v>
          </cell>
          <cell r="H1412">
            <v>1500</v>
          </cell>
        </row>
        <row r="1413">
          <cell r="A1413" t="str">
            <v>LOCBRKD</v>
          </cell>
          <cell r="B1413" t="str">
            <v>BARREL  DEAD LOCK YALE #201..KEYED RKD7</v>
          </cell>
          <cell r="C1413">
            <v>38.4</v>
          </cell>
          <cell r="D1413">
            <v>38.4</v>
          </cell>
          <cell r="E1413">
            <v>38.4</v>
          </cell>
          <cell r="F1413">
            <v>38.4</v>
          </cell>
          <cell r="G1413">
            <v>38.4</v>
          </cell>
          <cell r="H1413">
            <v>0</v>
          </cell>
        </row>
        <row r="1414">
          <cell r="A1414" t="str">
            <v>LOCKHP16</v>
          </cell>
          <cell r="B1414" t="str">
            <v>LOCKING HOLE PLUG 16mm</v>
          </cell>
          <cell r="C1414">
            <v>0.8</v>
          </cell>
          <cell r="D1414">
            <v>0.8</v>
          </cell>
          <cell r="E1414">
            <v>0.8</v>
          </cell>
          <cell r="F1414">
            <v>0.8</v>
          </cell>
          <cell r="G1414">
            <v>0.8</v>
          </cell>
          <cell r="H1414">
            <v>0.5</v>
          </cell>
        </row>
        <row r="1415">
          <cell r="A1415" t="str">
            <v>LOCKHP32</v>
          </cell>
          <cell r="B1415" t="str">
            <v>LOCKING HOLE PLUG 32mm</v>
          </cell>
          <cell r="C1415">
            <v>0.4</v>
          </cell>
          <cell r="D1415">
            <v>0.43</v>
          </cell>
          <cell r="E1415">
            <v>0.43</v>
          </cell>
          <cell r="F1415">
            <v>0.43</v>
          </cell>
          <cell r="G1415">
            <v>0.43</v>
          </cell>
          <cell r="H1415">
            <v>0.33200000000000002</v>
          </cell>
        </row>
        <row r="1416">
          <cell r="A1416" t="str">
            <v>LOCKHP35</v>
          </cell>
          <cell r="B1416" t="str">
            <v>LOCKING HOLE PLUG 35mm</v>
          </cell>
          <cell r="C1416">
            <v>1</v>
          </cell>
          <cell r="D1416">
            <v>1</v>
          </cell>
          <cell r="E1416">
            <v>1</v>
          </cell>
          <cell r="F1416">
            <v>1</v>
          </cell>
          <cell r="G1416">
            <v>1</v>
          </cell>
          <cell r="H1416">
            <v>0.4</v>
          </cell>
        </row>
        <row r="1417">
          <cell r="A1417" t="str">
            <v>LOCKHP8</v>
          </cell>
          <cell r="B1417" t="str">
            <v>LOCKING HOLE PLUG 8mm</v>
          </cell>
          <cell r="C1417">
            <v>0.2</v>
          </cell>
          <cell r="D1417">
            <v>0.2</v>
          </cell>
          <cell r="E1417">
            <v>0.2</v>
          </cell>
          <cell r="F1417">
            <v>0.2</v>
          </cell>
          <cell r="G1417">
            <v>0.2</v>
          </cell>
          <cell r="H1417">
            <v>0</v>
          </cell>
        </row>
        <row r="1418">
          <cell r="A1418" t="str">
            <v>LOCKHP9</v>
          </cell>
          <cell r="B1418" t="str">
            <v>LOCKING HOLE PLUG 9mm</v>
          </cell>
          <cell r="C1418">
            <v>0.2</v>
          </cell>
          <cell r="D1418">
            <v>0.2</v>
          </cell>
          <cell r="E1418">
            <v>0.2</v>
          </cell>
          <cell r="F1418">
            <v>0.2</v>
          </cell>
          <cell r="G1418">
            <v>0.2</v>
          </cell>
          <cell r="H1418">
            <v>0.1</v>
          </cell>
        </row>
        <row r="1419">
          <cell r="A1419" t="str">
            <v>LOCPRKD</v>
          </cell>
          <cell r="B1419" t="str">
            <v>PADLOCK.BRASS  RKD7</v>
          </cell>
          <cell r="C1419">
            <v>60</v>
          </cell>
          <cell r="D1419">
            <v>60</v>
          </cell>
          <cell r="E1419">
            <v>60</v>
          </cell>
          <cell r="F1419">
            <v>60</v>
          </cell>
          <cell r="G1419">
            <v>60</v>
          </cell>
          <cell r="H1419">
            <v>44.231999999999999</v>
          </cell>
          <cell r="I1419">
            <v>40257</v>
          </cell>
        </row>
        <row r="1420">
          <cell r="A1420" t="str">
            <v>LOGKAIN</v>
          </cell>
          <cell r="B1420" t="str">
            <v>KAINGA LOGGER</v>
          </cell>
          <cell r="C1420">
            <v>0</v>
          </cell>
          <cell r="D1420">
            <v>0</v>
          </cell>
          <cell r="E1420">
            <v>0</v>
          </cell>
          <cell r="F1420">
            <v>0</v>
          </cell>
          <cell r="G1420">
            <v>0</v>
          </cell>
          <cell r="H1420">
            <v>0</v>
          </cell>
        </row>
        <row r="1421">
          <cell r="A1421" t="str">
            <v>LOGLAGE</v>
          </cell>
          <cell r="B1421" t="str">
            <v>KAINGA LOGGER LABEL</v>
          </cell>
          <cell r="C1421">
            <v>22.94</v>
          </cell>
          <cell r="D1421">
            <v>22.94</v>
          </cell>
          <cell r="E1421">
            <v>22.94</v>
          </cell>
          <cell r="F1421">
            <v>22.94</v>
          </cell>
          <cell r="G1421">
            <v>22.94</v>
          </cell>
          <cell r="H1421">
            <v>0</v>
          </cell>
        </row>
        <row r="1422">
          <cell r="A1422" t="str">
            <v>LOGLASF</v>
          </cell>
          <cell r="B1422" t="str">
            <v>KAINGA LOGGER LABEL - SWITCH &amp; FUSE</v>
          </cell>
          <cell r="C1422">
            <v>9.39</v>
          </cell>
          <cell r="D1422">
            <v>9.39</v>
          </cell>
          <cell r="E1422">
            <v>9.39</v>
          </cell>
          <cell r="F1422">
            <v>9.39</v>
          </cell>
          <cell r="G1422">
            <v>9.39</v>
          </cell>
          <cell r="H1422">
            <v>0</v>
          </cell>
        </row>
        <row r="1423">
          <cell r="A1423" t="str">
            <v>LOGLASW</v>
          </cell>
          <cell r="B1423" t="str">
            <v>KAINGA LOGGER LABEL - SWITCH SETTING</v>
          </cell>
          <cell r="C1423">
            <v>7.02</v>
          </cell>
          <cell r="D1423">
            <v>7.02</v>
          </cell>
          <cell r="E1423">
            <v>7.02</v>
          </cell>
          <cell r="F1423">
            <v>7.02</v>
          </cell>
          <cell r="G1423">
            <v>7.02</v>
          </cell>
          <cell r="H1423">
            <v>0</v>
          </cell>
        </row>
        <row r="1424">
          <cell r="A1424" t="str">
            <v>LOGPCBE</v>
          </cell>
          <cell r="B1424" t="str">
            <v>PCB  KAINGA LOGGER ANALOGUE &amp; EVENT</v>
          </cell>
          <cell r="C1424">
            <v>505.39</v>
          </cell>
          <cell r="D1424">
            <v>505.39</v>
          </cell>
          <cell r="E1424">
            <v>505.39</v>
          </cell>
          <cell r="F1424">
            <v>505.39</v>
          </cell>
          <cell r="G1424">
            <v>505.39</v>
          </cell>
          <cell r="H1424">
            <v>0</v>
          </cell>
        </row>
        <row r="1425">
          <cell r="A1425" t="str">
            <v>LOGPCBX</v>
          </cell>
          <cell r="B1425" t="str">
            <v>PCB  KAINGA LOGGER ANALOGUE ONLY</v>
          </cell>
          <cell r="C1425">
            <v>345</v>
          </cell>
          <cell r="D1425">
            <v>345</v>
          </cell>
          <cell r="E1425">
            <v>345</v>
          </cell>
          <cell r="F1425">
            <v>345</v>
          </cell>
          <cell r="G1425">
            <v>345</v>
          </cell>
          <cell r="H1425">
            <v>0</v>
          </cell>
        </row>
        <row r="1426">
          <cell r="A1426" t="str">
            <v>LSDACTS</v>
          </cell>
          <cell r="B1426" t="str">
            <v>L &amp; S ACTUATOR SWITCH</v>
          </cell>
          <cell r="C1426">
            <v>112.5</v>
          </cell>
          <cell r="D1426">
            <v>112.5</v>
          </cell>
          <cell r="E1426">
            <v>112.5</v>
          </cell>
          <cell r="F1426">
            <v>112.5</v>
          </cell>
          <cell r="G1426">
            <v>112.5</v>
          </cell>
          <cell r="H1426">
            <v>0</v>
          </cell>
        </row>
        <row r="1427">
          <cell r="A1427" t="str">
            <v>LSDARMI</v>
          </cell>
          <cell r="B1427" t="str">
            <v>L &amp; S INDEX ARM</v>
          </cell>
          <cell r="C1427">
            <v>90</v>
          </cell>
          <cell r="D1427">
            <v>90</v>
          </cell>
          <cell r="E1427">
            <v>90</v>
          </cell>
          <cell r="F1427">
            <v>90</v>
          </cell>
          <cell r="G1427">
            <v>90</v>
          </cell>
          <cell r="H1427">
            <v>0</v>
          </cell>
        </row>
        <row r="1428">
          <cell r="A1428" t="str">
            <v>LSDARMM</v>
          </cell>
          <cell r="B1428" t="str">
            <v>L &amp; S GLOBE MOTOR ARMATURE</v>
          </cell>
          <cell r="C1428">
            <v>180</v>
          </cell>
          <cell r="D1428">
            <v>180</v>
          </cell>
          <cell r="E1428">
            <v>180</v>
          </cell>
          <cell r="F1428">
            <v>180</v>
          </cell>
          <cell r="G1428">
            <v>180</v>
          </cell>
          <cell r="H1428">
            <v>0</v>
          </cell>
        </row>
        <row r="1429">
          <cell r="A1429" t="str">
            <v>LSDBASE</v>
          </cell>
          <cell r="B1429" t="str">
            <v>L &amp; S CAST BASE</v>
          </cell>
          <cell r="C1429">
            <v>231</v>
          </cell>
          <cell r="D1429">
            <v>231</v>
          </cell>
          <cell r="E1429">
            <v>231</v>
          </cell>
          <cell r="F1429">
            <v>231</v>
          </cell>
          <cell r="G1429">
            <v>231</v>
          </cell>
          <cell r="H1429">
            <v>0</v>
          </cell>
        </row>
        <row r="1430">
          <cell r="A1430" t="str">
            <v>LSDBELE</v>
          </cell>
          <cell r="B1430" t="str">
            <v>L &amp; S BELT DRIVE AV-15</v>
          </cell>
          <cell r="C1430">
            <v>51</v>
          </cell>
          <cell r="D1430">
            <v>51</v>
          </cell>
          <cell r="E1430">
            <v>51</v>
          </cell>
          <cell r="F1430">
            <v>51</v>
          </cell>
          <cell r="G1430">
            <v>51</v>
          </cell>
          <cell r="H1430">
            <v>0</v>
          </cell>
        </row>
        <row r="1431">
          <cell r="A1431" t="str">
            <v>LSDBRG2</v>
          </cell>
          <cell r="B1431" t="str">
            <v>L &amp; S STAINLESS STEEL BEARING</v>
          </cell>
          <cell r="C1431">
            <v>42.24</v>
          </cell>
          <cell r="D1431">
            <v>42.24</v>
          </cell>
          <cell r="E1431">
            <v>42.24</v>
          </cell>
          <cell r="F1431">
            <v>42.24</v>
          </cell>
          <cell r="G1431">
            <v>42.24</v>
          </cell>
          <cell r="H1431">
            <v>0</v>
          </cell>
        </row>
        <row r="1432">
          <cell r="A1432" t="str">
            <v>LSDBRG3</v>
          </cell>
          <cell r="B1432" t="str">
            <v>L &amp; S BALL BEARING STAINLESS STEEL</v>
          </cell>
          <cell r="C1432">
            <v>20.75</v>
          </cell>
          <cell r="D1432">
            <v>20.75</v>
          </cell>
          <cell r="E1432">
            <v>20.75</v>
          </cell>
          <cell r="F1432">
            <v>20.75</v>
          </cell>
          <cell r="G1432">
            <v>20.75</v>
          </cell>
          <cell r="H1432">
            <v>0</v>
          </cell>
        </row>
        <row r="1433">
          <cell r="A1433" t="str">
            <v>LSDBRGG</v>
          </cell>
          <cell r="B1433" t="str">
            <v>L &amp; S GLOBE MOTOR BEARING</v>
          </cell>
          <cell r="C1433">
            <v>16.5</v>
          </cell>
          <cell r="D1433">
            <v>16.5</v>
          </cell>
          <cell r="E1433">
            <v>16.5</v>
          </cell>
          <cell r="F1433">
            <v>16.5</v>
          </cell>
          <cell r="G1433">
            <v>16.5</v>
          </cell>
          <cell r="H1433">
            <v>12.901999999999999</v>
          </cell>
          <cell r="I1433">
            <v>40262</v>
          </cell>
        </row>
        <row r="1434">
          <cell r="A1434" t="str">
            <v>LSDCLFL</v>
          </cell>
          <cell r="B1434" t="str">
            <v>L &amp; S FLOAT TAPE CLIP</v>
          </cell>
          <cell r="C1434">
            <v>28.12</v>
          </cell>
          <cell r="D1434">
            <v>28.12</v>
          </cell>
          <cell r="E1434">
            <v>28.12</v>
          </cell>
          <cell r="F1434">
            <v>28.12</v>
          </cell>
          <cell r="G1434">
            <v>28.12</v>
          </cell>
          <cell r="H1434">
            <v>0</v>
          </cell>
        </row>
        <row r="1435">
          <cell r="A1435" t="str">
            <v>LSDGET9</v>
          </cell>
          <cell r="B1435" t="str">
            <v>L &amp; S TRIP GEAR 8 TOOTH</v>
          </cell>
          <cell r="C1435">
            <v>22.51</v>
          </cell>
          <cell r="D1435">
            <v>22.51</v>
          </cell>
          <cell r="E1435">
            <v>22.51</v>
          </cell>
          <cell r="F1435">
            <v>22.51</v>
          </cell>
          <cell r="G1435">
            <v>22.51</v>
          </cell>
          <cell r="H1435">
            <v>0</v>
          </cell>
        </row>
        <row r="1436">
          <cell r="A1436" t="str">
            <v>LSDKMOD</v>
          </cell>
          <cell r="B1436" t="str">
            <v>KAINGA MODULE</v>
          </cell>
          <cell r="C1436">
            <v>546.53</v>
          </cell>
          <cell r="D1436">
            <v>546.53</v>
          </cell>
          <cell r="E1436">
            <v>546.53</v>
          </cell>
          <cell r="F1436">
            <v>546.53</v>
          </cell>
          <cell r="G1436">
            <v>546.53</v>
          </cell>
          <cell r="H1436">
            <v>0</v>
          </cell>
        </row>
        <row r="1437">
          <cell r="A1437" t="str">
            <v>LSDPCBO</v>
          </cell>
          <cell r="B1437" t="str">
            <v>PCB  L &amp; S DUAL TIMER</v>
          </cell>
          <cell r="C1437">
            <v>82.5</v>
          </cell>
          <cell r="D1437">
            <v>82.5</v>
          </cell>
          <cell r="E1437">
            <v>82.5</v>
          </cell>
          <cell r="F1437">
            <v>82.5</v>
          </cell>
          <cell r="G1437">
            <v>82.5</v>
          </cell>
          <cell r="H1437">
            <v>0</v>
          </cell>
        </row>
        <row r="1438">
          <cell r="A1438" t="str">
            <v>LSDPUNH</v>
          </cell>
          <cell r="B1438" t="str">
            <v>L &amp; S PUNCH HEAD ASSEMBLY</v>
          </cell>
          <cell r="C1438">
            <v>416.65</v>
          </cell>
          <cell r="D1438">
            <v>416.65</v>
          </cell>
          <cell r="E1438">
            <v>416.65</v>
          </cell>
          <cell r="F1438">
            <v>416.65</v>
          </cell>
          <cell r="G1438">
            <v>416.65</v>
          </cell>
          <cell r="H1438">
            <v>0</v>
          </cell>
        </row>
        <row r="1439">
          <cell r="A1439" t="str">
            <v>LSDROLP</v>
          </cell>
          <cell r="B1439" t="str">
            <v>ROLLER PAPER ADVANCE.</v>
          </cell>
          <cell r="C1439">
            <v>200</v>
          </cell>
          <cell r="D1439">
            <v>200</v>
          </cell>
          <cell r="E1439">
            <v>200</v>
          </cell>
          <cell r="F1439">
            <v>200</v>
          </cell>
          <cell r="G1439">
            <v>200</v>
          </cell>
          <cell r="H1439">
            <v>0</v>
          </cell>
        </row>
        <row r="1440">
          <cell r="A1440" t="str">
            <v>LSDSPRC</v>
          </cell>
          <cell r="B1440" t="str">
            <v>L &amp; S COUPLER SPRING</v>
          </cell>
          <cell r="C1440">
            <v>13.5</v>
          </cell>
          <cell r="D1440">
            <v>13.5</v>
          </cell>
          <cell r="E1440">
            <v>13.5</v>
          </cell>
          <cell r="F1440">
            <v>13.5</v>
          </cell>
          <cell r="G1440">
            <v>13.5</v>
          </cell>
          <cell r="H1440">
            <v>0</v>
          </cell>
        </row>
        <row r="1441">
          <cell r="A1441" t="str">
            <v>LSDSWIL</v>
          </cell>
          <cell r="B1441" t="str">
            <v>L &amp; S REED SWITCH - LONG.</v>
          </cell>
          <cell r="C1441">
            <v>15</v>
          </cell>
          <cell r="D1441">
            <v>15</v>
          </cell>
          <cell r="E1441">
            <v>15</v>
          </cell>
          <cell r="F1441">
            <v>15</v>
          </cell>
          <cell r="G1441">
            <v>15</v>
          </cell>
          <cell r="H1441">
            <v>0</v>
          </cell>
        </row>
        <row r="1442">
          <cell r="A1442" t="str">
            <v>LSDSWIM</v>
          </cell>
          <cell r="B1442" t="str">
            <v>L &amp; S REED SWITCH -MOUNTED</v>
          </cell>
          <cell r="C1442">
            <v>35.01</v>
          </cell>
          <cell r="D1442">
            <v>35.01</v>
          </cell>
          <cell r="E1442">
            <v>35.01</v>
          </cell>
          <cell r="F1442">
            <v>35.01</v>
          </cell>
          <cell r="G1442">
            <v>35.01</v>
          </cell>
          <cell r="H1442">
            <v>0</v>
          </cell>
        </row>
        <row r="1443">
          <cell r="A1443" t="str">
            <v>LSDSWIS</v>
          </cell>
          <cell r="B1443" t="str">
            <v>L &amp; S REED SWITCH - SHORT.</v>
          </cell>
          <cell r="C1443">
            <v>20.34</v>
          </cell>
          <cell r="D1443">
            <v>20.34</v>
          </cell>
          <cell r="E1443">
            <v>20.34</v>
          </cell>
          <cell r="F1443">
            <v>20.34</v>
          </cell>
          <cell r="G1443">
            <v>20.34</v>
          </cell>
          <cell r="H1443">
            <v>0</v>
          </cell>
        </row>
        <row r="1444">
          <cell r="A1444" t="str">
            <v>LSDTSAD</v>
          </cell>
          <cell r="B1444" t="str">
            <v>L &amp; S STANDARD DIGITAL TAPE ADAPTOR</v>
          </cell>
          <cell r="C1444">
            <v>20</v>
          </cell>
          <cell r="D1444">
            <v>20</v>
          </cell>
          <cell r="E1444">
            <v>20</v>
          </cell>
          <cell r="F1444">
            <v>20</v>
          </cell>
          <cell r="G1444">
            <v>20</v>
          </cell>
          <cell r="H1444">
            <v>37.325000000000003</v>
          </cell>
        </row>
        <row r="1445">
          <cell r="A1445" t="str">
            <v>LTCONEP</v>
          </cell>
          <cell r="B1445" t="str">
            <v>LIGHTING CONDUCTOR EARTH PLATE</v>
          </cell>
          <cell r="C1445">
            <v>15.6</v>
          </cell>
          <cell r="D1445">
            <v>15.6</v>
          </cell>
          <cell r="E1445">
            <v>15.6</v>
          </cell>
          <cell r="F1445">
            <v>15.6</v>
          </cell>
          <cell r="G1445">
            <v>15.6</v>
          </cell>
          <cell r="H1445">
            <v>0</v>
          </cell>
        </row>
        <row r="1446">
          <cell r="A1446" t="str">
            <v>LUNDC06</v>
          </cell>
          <cell r="B1446" t="str">
            <v>LUNDAHL ULTRASONIC SENSOR DCU-7031</v>
          </cell>
          <cell r="C1446">
            <v>1069.01</v>
          </cell>
          <cell r="D1446">
            <v>1069.01</v>
          </cell>
          <cell r="E1446">
            <v>1069.01</v>
          </cell>
          <cell r="F1446">
            <v>1069.01</v>
          </cell>
          <cell r="G1446">
            <v>1069.01</v>
          </cell>
          <cell r="H1446">
            <v>0</v>
          </cell>
        </row>
        <row r="1447">
          <cell r="A1447" t="str">
            <v>LUNDCU1</v>
          </cell>
          <cell r="B1447" t="str">
            <v>LUNDAHL ULTRASONIC SENSOR  DCU-10E</v>
          </cell>
          <cell r="C1447">
            <v>1802.36</v>
          </cell>
          <cell r="D1447">
            <v>1802.36</v>
          </cell>
          <cell r="E1447">
            <v>1802.36</v>
          </cell>
          <cell r="F1447">
            <v>1802.36</v>
          </cell>
          <cell r="G1447">
            <v>1802.36</v>
          </cell>
          <cell r="H1447">
            <v>0</v>
          </cell>
        </row>
        <row r="1448">
          <cell r="A1448" t="str">
            <v>LUNDCU7</v>
          </cell>
          <cell r="B1448" t="str">
            <v>LUNDAHL ULTRASONIC SENSOR DCU-7110</v>
          </cell>
          <cell r="C1448">
            <v>1047</v>
          </cell>
          <cell r="D1448">
            <v>1047</v>
          </cell>
          <cell r="E1448">
            <v>1047</v>
          </cell>
          <cell r="F1448">
            <v>1047</v>
          </cell>
          <cell r="G1448">
            <v>1047</v>
          </cell>
          <cell r="H1448">
            <v>0</v>
          </cell>
        </row>
        <row r="1449">
          <cell r="A1449" t="str">
            <v>LUNINKD</v>
          </cell>
          <cell r="B1449" t="str">
            <v>INTERFACE LUNDAHL TO KDL</v>
          </cell>
          <cell r="C1449">
            <v>250.95</v>
          </cell>
          <cell r="D1449">
            <v>310.7</v>
          </cell>
          <cell r="E1449">
            <v>310.7</v>
          </cell>
          <cell r="F1449">
            <v>310.7</v>
          </cell>
          <cell r="G1449">
            <v>310.7</v>
          </cell>
          <cell r="H1449">
            <v>0</v>
          </cell>
          <cell r="I1449">
            <v>39883</v>
          </cell>
        </row>
        <row r="1450">
          <cell r="A1450" t="str">
            <v>LUNRAS7</v>
          </cell>
          <cell r="B1450" t="str">
            <v>LUNDAHL RADIATION SCREEN DCU-7 SERIES SE</v>
          </cell>
          <cell r="C1450">
            <v>325.45999999999998</v>
          </cell>
          <cell r="D1450">
            <v>325.45999999999998</v>
          </cell>
          <cell r="E1450">
            <v>325.45999999999998</v>
          </cell>
          <cell r="F1450">
            <v>325.45999999999998</v>
          </cell>
          <cell r="G1450">
            <v>325.45999999999998</v>
          </cell>
          <cell r="H1450">
            <v>0</v>
          </cell>
        </row>
        <row r="1451">
          <cell r="A1451" t="str">
            <v>LUNRASC</v>
          </cell>
          <cell r="B1451" t="str">
            <v>LUNDAHL RADIATION SCREEN DCU-11 SENSOR</v>
          </cell>
          <cell r="C1451">
            <v>440</v>
          </cell>
          <cell r="D1451">
            <v>440</v>
          </cell>
          <cell r="E1451">
            <v>440</v>
          </cell>
          <cell r="F1451">
            <v>440</v>
          </cell>
          <cell r="G1451">
            <v>440</v>
          </cell>
          <cell r="H1451">
            <v>0</v>
          </cell>
        </row>
        <row r="1452">
          <cell r="A1452" t="str">
            <v>LUNRSBKT</v>
          </cell>
          <cell r="B1452" t="str">
            <v>LUNDAHL RADIATION SHIELD BRACKET</v>
          </cell>
          <cell r="C1452">
            <v>80</v>
          </cell>
          <cell r="D1452">
            <v>80</v>
          </cell>
          <cell r="E1452">
            <v>80</v>
          </cell>
          <cell r="F1452">
            <v>80</v>
          </cell>
          <cell r="G1452">
            <v>80</v>
          </cell>
          <cell r="H1452">
            <v>0</v>
          </cell>
        </row>
        <row r="1453">
          <cell r="A1453" t="str">
            <v>MAN4901</v>
          </cell>
          <cell r="B1453" t="str">
            <v>MANNINGS VACUUM SAMPLER MODEL 4901</v>
          </cell>
          <cell r="C1453">
            <v>4600</v>
          </cell>
          <cell r="D1453">
            <v>5695</v>
          </cell>
          <cell r="E1453">
            <v>5695</v>
          </cell>
          <cell r="F1453">
            <v>5695</v>
          </cell>
          <cell r="G1453">
            <v>5695</v>
          </cell>
          <cell r="H1453">
            <v>0</v>
          </cell>
          <cell r="I1453">
            <v>39965</v>
          </cell>
        </row>
        <row r="1454">
          <cell r="A1454" t="str">
            <v>MAN74HC273N</v>
          </cell>
          <cell r="B1454" t="str">
            <v>MANNING 74HC273N INTEGRATED CIRCUIT</v>
          </cell>
          <cell r="C1454">
            <v>0.68</v>
          </cell>
          <cell r="D1454">
            <v>0.85</v>
          </cell>
          <cell r="E1454">
            <v>0.85</v>
          </cell>
          <cell r="F1454">
            <v>0.85</v>
          </cell>
          <cell r="G1454">
            <v>0.85</v>
          </cell>
          <cell r="H1454">
            <v>0.65</v>
          </cell>
          <cell r="I1454">
            <v>40157</v>
          </cell>
        </row>
        <row r="1455">
          <cell r="A1455" t="str">
            <v>MANBAC1</v>
          </cell>
          <cell r="B1455" t="str">
            <v>MANNINGS BATTERY CABLE (FOR VST &amp; PST SA</v>
          </cell>
          <cell r="C1455">
            <v>110</v>
          </cell>
          <cell r="D1455">
            <v>110</v>
          </cell>
          <cell r="E1455">
            <v>110</v>
          </cell>
          <cell r="F1455">
            <v>110</v>
          </cell>
          <cell r="G1455">
            <v>110</v>
          </cell>
          <cell r="H1455">
            <v>72.131</v>
          </cell>
        </row>
        <row r="1456">
          <cell r="A1456" t="str">
            <v>MANBAC2</v>
          </cell>
          <cell r="B1456" t="str">
            <v>MANNINGS BATTERY CABLE (FOR 490 SERIES S</v>
          </cell>
          <cell r="C1456">
            <v>95</v>
          </cell>
          <cell r="D1456">
            <v>118</v>
          </cell>
          <cell r="E1456">
            <v>118</v>
          </cell>
          <cell r="F1456">
            <v>118</v>
          </cell>
          <cell r="G1456">
            <v>118</v>
          </cell>
          <cell r="H1456">
            <v>0</v>
          </cell>
          <cell r="I1456">
            <v>39883</v>
          </cell>
        </row>
        <row r="1457">
          <cell r="A1457" t="str">
            <v>MANBOTS</v>
          </cell>
          <cell r="B1457" t="str">
            <v>MANNINGS  BOTTLES PLASTIC 500ml</v>
          </cell>
          <cell r="C1457">
            <v>13.76</v>
          </cell>
          <cell r="D1457">
            <v>13.76</v>
          </cell>
          <cell r="E1457">
            <v>13.76</v>
          </cell>
          <cell r="F1457">
            <v>13.76</v>
          </cell>
          <cell r="G1457">
            <v>13.76</v>
          </cell>
          <cell r="H1457">
            <v>0</v>
          </cell>
        </row>
        <row r="1458">
          <cell r="A1458" t="str">
            <v>MANBP1L</v>
          </cell>
          <cell r="B1458" t="str">
            <v>MANNINGS BOTTLES  PLASTIC I LITRE</v>
          </cell>
          <cell r="C1458">
            <v>8.5</v>
          </cell>
          <cell r="D1458">
            <v>8.5</v>
          </cell>
          <cell r="E1458">
            <v>8.5</v>
          </cell>
          <cell r="F1458">
            <v>8.5</v>
          </cell>
          <cell r="G1458">
            <v>8.5</v>
          </cell>
          <cell r="H1458">
            <v>6.3979999999999997</v>
          </cell>
        </row>
        <row r="1459">
          <cell r="A1459" t="str">
            <v>MANCAFL</v>
          </cell>
          <cell r="B1459" t="str">
            <v>MANNINGS SAMPLER CASE FLANGE</v>
          </cell>
          <cell r="C1459">
            <v>64.5</v>
          </cell>
          <cell r="D1459">
            <v>64.5</v>
          </cell>
          <cell r="E1459">
            <v>64.5</v>
          </cell>
          <cell r="F1459">
            <v>64.5</v>
          </cell>
          <cell r="G1459">
            <v>64.5</v>
          </cell>
          <cell r="H1459">
            <v>0</v>
          </cell>
        </row>
        <row r="1460">
          <cell r="A1460" t="str">
            <v>MANCAP</v>
          </cell>
          <cell r="B1460" t="str">
            <v>CAP FOR MANNINGS SAMPLER GLASS BOTTLES (</v>
          </cell>
          <cell r="C1460">
            <v>0.12</v>
          </cell>
          <cell r="D1460">
            <v>0.12</v>
          </cell>
          <cell r="E1460">
            <v>0.12</v>
          </cell>
          <cell r="F1460">
            <v>0.12</v>
          </cell>
          <cell r="G1460">
            <v>0.12</v>
          </cell>
          <cell r="H1460">
            <v>0</v>
          </cell>
        </row>
        <row r="1461">
          <cell r="A1461" t="str">
            <v>MANCHME</v>
          </cell>
          <cell r="B1461" t="str">
            <v>MANNINGS MEASURING CHAMBER</v>
          </cell>
          <cell r="C1461">
            <v>32.57</v>
          </cell>
          <cell r="D1461">
            <v>32.57</v>
          </cell>
          <cell r="E1461">
            <v>32.57</v>
          </cell>
          <cell r="F1461">
            <v>32.57</v>
          </cell>
          <cell r="G1461">
            <v>32.57</v>
          </cell>
          <cell r="H1461">
            <v>0</v>
          </cell>
        </row>
        <row r="1462">
          <cell r="A1462" t="str">
            <v>MANCHTO</v>
          </cell>
          <cell r="B1462" t="str">
            <v>MANNINGS CHAMBER TOP</v>
          </cell>
          <cell r="C1462">
            <v>317.45</v>
          </cell>
          <cell r="D1462">
            <v>317.45</v>
          </cell>
          <cell r="E1462">
            <v>317.45</v>
          </cell>
          <cell r="F1462">
            <v>317.45</v>
          </cell>
          <cell r="G1462">
            <v>317.45</v>
          </cell>
          <cell r="H1462">
            <v>0</v>
          </cell>
        </row>
        <row r="1463">
          <cell r="A1463" t="str">
            <v>MANCOGA</v>
          </cell>
          <cell r="B1463" t="str">
            <v>MANNINGS CONTROLLER GASKET</v>
          </cell>
          <cell r="C1463">
            <v>30.25</v>
          </cell>
          <cell r="D1463">
            <v>30.25</v>
          </cell>
          <cell r="E1463">
            <v>30.25</v>
          </cell>
          <cell r="F1463">
            <v>30.25</v>
          </cell>
          <cell r="G1463">
            <v>30.25</v>
          </cell>
          <cell r="H1463">
            <v>0</v>
          </cell>
        </row>
        <row r="1464">
          <cell r="A1464" t="str">
            <v>MANCOLL</v>
          </cell>
          <cell r="B1464" t="str">
            <v>STRAIGHT FITTING COLLETT 1/8" NPT</v>
          </cell>
          <cell r="C1464">
            <v>15</v>
          </cell>
          <cell r="D1464">
            <v>15</v>
          </cell>
          <cell r="E1464">
            <v>15</v>
          </cell>
          <cell r="F1464">
            <v>15</v>
          </cell>
          <cell r="G1464">
            <v>15</v>
          </cell>
          <cell r="H1464">
            <v>11.3</v>
          </cell>
        </row>
        <row r="1465">
          <cell r="A1465" t="str">
            <v>MANCOMP</v>
          </cell>
          <cell r="B1465" t="str">
            <v>MANNINGS COMPRESSOR 12Vdc 6 AMP</v>
          </cell>
          <cell r="C1465">
            <v>635.25</v>
          </cell>
          <cell r="D1465">
            <v>786.5</v>
          </cell>
          <cell r="E1465">
            <v>786.5</v>
          </cell>
          <cell r="F1465">
            <v>786.5</v>
          </cell>
          <cell r="G1465">
            <v>786.5</v>
          </cell>
          <cell r="H1465">
            <v>0</v>
          </cell>
          <cell r="I1465">
            <v>39883</v>
          </cell>
        </row>
        <row r="1466">
          <cell r="A1466" t="str">
            <v>MANCOPC</v>
          </cell>
          <cell r="B1466" t="str">
            <v>PCB  MANNINGS CONTROLLER</v>
          </cell>
          <cell r="C1466">
            <v>154</v>
          </cell>
          <cell r="D1466">
            <v>154</v>
          </cell>
          <cell r="E1466">
            <v>154</v>
          </cell>
          <cell r="F1466">
            <v>154</v>
          </cell>
          <cell r="G1466">
            <v>154</v>
          </cell>
          <cell r="H1466">
            <v>0</v>
          </cell>
        </row>
        <row r="1467">
          <cell r="A1467" t="str">
            <v>MANCOST</v>
          </cell>
          <cell r="B1467" t="str">
            <v>MANNINGS STANDARD CONTROLLER</v>
          </cell>
          <cell r="C1467">
            <v>2835</v>
          </cell>
          <cell r="D1467">
            <v>2835</v>
          </cell>
          <cell r="E1467">
            <v>2835</v>
          </cell>
          <cell r="F1467">
            <v>2835</v>
          </cell>
          <cell r="G1467">
            <v>2835</v>
          </cell>
          <cell r="H1467">
            <v>0</v>
          </cell>
        </row>
        <row r="1468">
          <cell r="A1468" t="str">
            <v>MANDIPC</v>
          </cell>
          <cell r="B1468" t="str">
            <v>PCB  MANNINGS DISPLAY</v>
          </cell>
          <cell r="C1468">
            <v>420</v>
          </cell>
          <cell r="D1468">
            <v>420</v>
          </cell>
          <cell r="E1468">
            <v>420</v>
          </cell>
          <cell r="F1468">
            <v>420</v>
          </cell>
          <cell r="G1468">
            <v>420</v>
          </cell>
          <cell r="H1468">
            <v>0</v>
          </cell>
        </row>
        <row r="1469">
          <cell r="A1469" t="str">
            <v>MANENDI</v>
          </cell>
          <cell r="B1469" t="str">
            <v>MANNINGS SAMPLER ENCODER DISK</v>
          </cell>
          <cell r="C1469">
            <v>27</v>
          </cell>
          <cell r="D1469">
            <v>27</v>
          </cell>
          <cell r="E1469">
            <v>27</v>
          </cell>
          <cell r="F1469">
            <v>27</v>
          </cell>
          <cell r="G1469">
            <v>27</v>
          </cell>
          <cell r="H1469">
            <v>0</v>
          </cell>
        </row>
        <row r="1470">
          <cell r="A1470" t="str">
            <v>MANFLOWC</v>
          </cell>
          <cell r="B1470" t="str">
            <v>MANNINGS FLOW INPUT CABLE 10FT</v>
          </cell>
          <cell r="C1470">
            <v>115</v>
          </cell>
          <cell r="D1470">
            <v>115</v>
          </cell>
          <cell r="E1470">
            <v>115</v>
          </cell>
          <cell r="F1470">
            <v>115</v>
          </cell>
          <cell r="G1470">
            <v>115</v>
          </cell>
          <cell r="H1470">
            <v>0</v>
          </cell>
        </row>
        <row r="1471">
          <cell r="A1471" t="str">
            <v>MANKEPA</v>
          </cell>
          <cell r="B1471" t="str">
            <v>KEYPAD. MANNINGS</v>
          </cell>
          <cell r="C1471">
            <v>563.85</v>
          </cell>
          <cell r="D1471">
            <v>698.1</v>
          </cell>
          <cell r="E1471">
            <v>698.1</v>
          </cell>
          <cell r="F1471">
            <v>698.1</v>
          </cell>
          <cell r="G1471">
            <v>698.1</v>
          </cell>
          <cell r="H1471">
            <v>0</v>
          </cell>
          <cell r="I1471">
            <v>39883</v>
          </cell>
        </row>
        <row r="1472">
          <cell r="A1472" t="str">
            <v>MANKEPO</v>
          </cell>
          <cell r="B1472" t="str">
            <v>KEYPAD MANNINGS - 4900 SERIES SAMPLERS</v>
          </cell>
          <cell r="C1472">
            <v>332.35</v>
          </cell>
          <cell r="D1472">
            <v>411.45</v>
          </cell>
          <cell r="E1472">
            <v>411.45</v>
          </cell>
          <cell r="F1472">
            <v>411.45</v>
          </cell>
          <cell r="G1472">
            <v>411.45</v>
          </cell>
          <cell r="H1472">
            <v>0</v>
          </cell>
          <cell r="I1472">
            <v>39883</v>
          </cell>
        </row>
        <row r="1473">
          <cell r="A1473" t="str">
            <v>MANMOST</v>
          </cell>
          <cell r="B1473" t="str">
            <v>MANNINGS STEPPING MOTOR</v>
          </cell>
          <cell r="C1473">
            <v>567.36</v>
          </cell>
          <cell r="D1473">
            <v>567.36</v>
          </cell>
          <cell r="E1473">
            <v>567.36</v>
          </cell>
          <cell r="F1473">
            <v>567.36</v>
          </cell>
          <cell r="G1473">
            <v>567.36</v>
          </cell>
          <cell r="H1473">
            <v>0</v>
          </cell>
        </row>
        <row r="1474">
          <cell r="A1474" t="str">
            <v>MANMOSTA</v>
          </cell>
          <cell r="B1474" t="str">
            <v>MANNINGS STEPPING MOTOR ASSEMBLY</v>
          </cell>
          <cell r="C1474">
            <v>574.44000000000005</v>
          </cell>
          <cell r="D1474">
            <v>574.44000000000005</v>
          </cell>
          <cell r="E1474">
            <v>574.44000000000005</v>
          </cell>
          <cell r="F1474">
            <v>574.44000000000005</v>
          </cell>
          <cell r="G1474">
            <v>574.44000000000005</v>
          </cell>
          <cell r="H1474">
            <v>0</v>
          </cell>
        </row>
        <row r="1475">
          <cell r="A1475" t="str">
            <v>MANMOSTB</v>
          </cell>
          <cell r="B1475" t="str">
            <v>MANNINGS STEPPING MOTOR ASSEMBLY</v>
          </cell>
          <cell r="C1475">
            <v>558.4</v>
          </cell>
          <cell r="D1475">
            <v>558.4</v>
          </cell>
          <cell r="E1475">
            <v>558.4</v>
          </cell>
          <cell r="F1475">
            <v>558.4</v>
          </cell>
          <cell r="G1475">
            <v>558.4</v>
          </cell>
          <cell r="H1475">
            <v>0</v>
          </cell>
        </row>
        <row r="1476">
          <cell r="A1476" t="str">
            <v>MANMUFP</v>
          </cell>
          <cell r="B1476" t="str">
            <v>MANNINGS PLASTIC FILTER MUFFLER</v>
          </cell>
          <cell r="C1476">
            <v>28.93</v>
          </cell>
          <cell r="D1476">
            <v>28.93</v>
          </cell>
          <cell r="E1476">
            <v>28.93</v>
          </cell>
          <cell r="F1476">
            <v>28.93</v>
          </cell>
          <cell r="G1476">
            <v>28.93</v>
          </cell>
          <cell r="H1476">
            <v>0</v>
          </cell>
        </row>
        <row r="1477">
          <cell r="A1477" t="str">
            <v>MANPIVO</v>
          </cell>
          <cell r="B1477" t="str">
            <v>MANNINGS  PINCH VALVE (AIR CYLINDER)</v>
          </cell>
          <cell r="C1477">
            <v>300</v>
          </cell>
          <cell r="D1477">
            <v>300</v>
          </cell>
          <cell r="E1477">
            <v>300</v>
          </cell>
          <cell r="F1477">
            <v>300</v>
          </cell>
          <cell r="G1477">
            <v>300</v>
          </cell>
          <cell r="H1477">
            <v>0</v>
          </cell>
        </row>
        <row r="1478">
          <cell r="A1478" t="str">
            <v>MANPST</v>
          </cell>
          <cell r="B1478" t="str">
            <v>MANNING PST PERISTALTIC SAMPLER</v>
          </cell>
          <cell r="C1478">
            <v>3068</v>
          </cell>
          <cell r="D1478">
            <v>3068</v>
          </cell>
          <cell r="E1478">
            <v>3068</v>
          </cell>
          <cell r="F1478">
            <v>3068</v>
          </cell>
          <cell r="G1478">
            <v>3068</v>
          </cell>
          <cell r="H1478">
            <v>2918.5920000000001</v>
          </cell>
        </row>
        <row r="1479">
          <cell r="A1479" t="str">
            <v>MANSETE</v>
          </cell>
          <cell r="B1479" t="str">
            <v>SEAL  TEFLON (MANNINGS SAMPLER BOTTLE)</v>
          </cell>
          <cell r="C1479">
            <v>1.75</v>
          </cell>
          <cell r="D1479">
            <v>1.75</v>
          </cell>
          <cell r="E1479">
            <v>1.75</v>
          </cell>
          <cell r="F1479">
            <v>1.75</v>
          </cell>
          <cell r="G1479">
            <v>1.75</v>
          </cell>
          <cell r="H1479">
            <v>0</v>
          </cell>
        </row>
        <row r="1480">
          <cell r="A1480" t="str">
            <v>MANSO12</v>
          </cell>
          <cell r="B1480" t="str">
            <v>MANNINGS SOLENOID 12Vdc</v>
          </cell>
          <cell r="C1480">
            <v>136.74</v>
          </cell>
          <cell r="D1480">
            <v>136.74</v>
          </cell>
          <cell r="E1480">
            <v>136.74</v>
          </cell>
          <cell r="F1480">
            <v>136.74</v>
          </cell>
          <cell r="G1480">
            <v>136.74</v>
          </cell>
          <cell r="H1480">
            <v>0</v>
          </cell>
        </row>
        <row r="1481">
          <cell r="A1481" t="str">
            <v>MANSOVA</v>
          </cell>
          <cell r="B1481" t="str">
            <v>MANNINGS SOLENOID VALVE</v>
          </cell>
          <cell r="C1481">
            <v>152.34</v>
          </cell>
          <cell r="D1481">
            <v>152.34</v>
          </cell>
          <cell r="E1481">
            <v>152.34</v>
          </cell>
          <cell r="F1481">
            <v>152.34</v>
          </cell>
          <cell r="G1481">
            <v>152.34</v>
          </cell>
          <cell r="H1481">
            <v>0</v>
          </cell>
        </row>
        <row r="1482">
          <cell r="A1482" t="str">
            <v>MANSPPO</v>
          </cell>
          <cell r="B1482" t="str">
            <v>MANNINGS PORTABLE SPOUT</v>
          </cell>
          <cell r="C1482">
            <v>26.15</v>
          </cell>
          <cell r="D1482">
            <v>26.15</v>
          </cell>
          <cell r="E1482">
            <v>26.15</v>
          </cell>
          <cell r="F1482">
            <v>26.15</v>
          </cell>
          <cell r="G1482">
            <v>26.15</v>
          </cell>
          <cell r="H1482">
            <v>0</v>
          </cell>
        </row>
        <row r="1483">
          <cell r="A1483" t="str">
            <v>MANSWIN</v>
          </cell>
          <cell r="B1483" t="str">
            <v>MANNINGS WATER LEVEL SWITCH INTERFACE</v>
          </cell>
          <cell r="C1483">
            <v>363.78</v>
          </cell>
          <cell r="D1483">
            <v>363.78</v>
          </cell>
          <cell r="E1483">
            <v>363.78</v>
          </cell>
          <cell r="F1483">
            <v>363.78</v>
          </cell>
          <cell r="G1483">
            <v>363.78</v>
          </cell>
          <cell r="H1483">
            <v>0</v>
          </cell>
        </row>
        <row r="1484">
          <cell r="A1484" t="str">
            <v>MANSWPR</v>
          </cell>
          <cell r="B1484" t="str">
            <v>MANNINGS PRESSURE SWITCH</v>
          </cell>
          <cell r="C1484">
            <v>91</v>
          </cell>
          <cell r="D1484">
            <v>112</v>
          </cell>
          <cell r="E1484">
            <v>112</v>
          </cell>
          <cell r="F1484">
            <v>112</v>
          </cell>
          <cell r="G1484">
            <v>112</v>
          </cell>
          <cell r="H1484">
            <v>0</v>
          </cell>
          <cell r="I1484">
            <v>39883</v>
          </cell>
        </row>
        <row r="1485">
          <cell r="A1485" t="str">
            <v>MANSWWL</v>
          </cell>
          <cell r="B1485" t="str">
            <v>MANNINGS WATER LEVEL SENSOR SWITCH</v>
          </cell>
          <cell r="C1485">
            <v>133.30000000000001</v>
          </cell>
          <cell r="D1485">
            <v>133.30000000000001</v>
          </cell>
          <cell r="E1485">
            <v>133.30000000000001</v>
          </cell>
          <cell r="F1485">
            <v>133.30000000000001</v>
          </cell>
          <cell r="G1485">
            <v>133.30000000000001</v>
          </cell>
          <cell r="H1485">
            <v>0</v>
          </cell>
        </row>
        <row r="1486">
          <cell r="A1486" t="str">
            <v>MANTOCO</v>
          </cell>
          <cell r="B1486" t="str">
            <v>MANNINGS TOP COVER</v>
          </cell>
          <cell r="C1486">
            <v>204.95</v>
          </cell>
          <cell r="D1486">
            <v>204.95</v>
          </cell>
          <cell r="E1486">
            <v>204.95</v>
          </cell>
          <cell r="F1486">
            <v>204.95</v>
          </cell>
          <cell r="G1486">
            <v>204.95</v>
          </cell>
          <cell r="H1486">
            <v>0</v>
          </cell>
        </row>
        <row r="1487">
          <cell r="A1487" t="str">
            <v>MANTUBE</v>
          </cell>
          <cell r="B1487" t="str">
            <v>MANNINGS SAMPLER PINCH VALVE TUBE</v>
          </cell>
          <cell r="C1487">
            <v>0</v>
          </cell>
          <cell r="D1487">
            <v>0</v>
          </cell>
          <cell r="E1487">
            <v>0</v>
          </cell>
          <cell r="F1487">
            <v>0</v>
          </cell>
          <cell r="G1487">
            <v>0</v>
          </cell>
          <cell r="H1487">
            <v>0</v>
          </cell>
        </row>
        <row r="1488">
          <cell r="A1488" t="str">
            <v>MAS40BB</v>
          </cell>
          <cell r="B1488" t="str">
            <v>BRASS PIPE NUT 40mm BSP</v>
          </cell>
          <cell r="C1488">
            <v>6.6</v>
          </cell>
          <cell r="D1488">
            <v>6.6</v>
          </cell>
          <cell r="E1488">
            <v>6.6</v>
          </cell>
          <cell r="F1488">
            <v>6.6</v>
          </cell>
          <cell r="G1488">
            <v>6.6</v>
          </cell>
          <cell r="H1488">
            <v>6.2709999999999999</v>
          </cell>
          <cell r="I1488">
            <v>40252</v>
          </cell>
        </row>
        <row r="1489">
          <cell r="A1489" t="str">
            <v>MAS40T2</v>
          </cell>
          <cell r="B1489" t="str">
            <v>TIER 2 MET MAST COMPLETE</v>
          </cell>
          <cell r="C1489">
            <v>1100</v>
          </cell>
          <cell r="D1489">
            <v>1100</v>
          </cell>
          <cell r="E1489">
            <v>1100</v>
          </cell>
          <cell r="F1489">
            <v>1100</v>
          </cell>
          <cell r="G1489">
            <v>1100</v>
          </cell>
          <cell r="H1489">
            <v>574</v>
          </cell>
        </row>
        <row r="1490">
          <cell r="A1490" t="str">
            <v>MASANST</v>
          </cell>
          <cell r="B1490" t="str">
            <v>MAST STAY ANCHOR (SET OF 3)</v>
          </cell>
          <cell r="C1490">
            <v>40</v>
          </cell>
          <cell r="D1490">
            <v>50</v>
          </cell>
          <cell r="E1490">
            <v>50</v>
          </cell>
          <cell r="F1490">
            <v>50</v>
          </cell>
          <cell r="G1490">
            <v>50</v>
          </cell>
          <cell r="H1490">
            <v>39.1</v>
          </cell>
          <cell r="I1490">
            <v>40141</v>
          </cell>
        </row>
        <row r="1491">
          <cell r="A1491" t="str">
            <v>MASBAST</v>
          </cell>
          <cell r="B1491" t="str">
            <v>MAST STAY BAND</v>
          </cell>
          <cell r="C1491">
            <v>86.1</v>
          </cell>
          <cell r="D1491">
            <v>106.6</v>
          </cell>
          <cell r="E1491">
            <v>106.6</v>
          </cell>
          <cell r="F1491">
            <v>106.6</v>
          </cell>
          <cell r="G1491">
            <v>106.6</v>
          </cell>
          <cell r="H1491">
            <v>85.667000000000002</v>
          </cell>
          <cell r="I1491">
            <v>39883</v>
          </cell>
        </row>
        <row r="1492">
          <cell r="A1492" t="str">
            <v>MASBBBK</v>
          </cell>
          <cell r="B1492" t="str">
            <v>TIER 2 MAST BATTERY MOUNTING BRACKET</v>
          </cell>
          <cell r="C1492">
            <v>53.55</v>
          </cell>
          <cell r="D1492">
            <v>66.3</v>
          </cell>
          <cell r="E1492">
            <v>66.3</v>
          </cell>
          <cell r="F1492">
            <v>66.3</v>
          </cell>
          <cell r="G1492">
            <v>66.3</v>
          </cell>
          <cell r="H1492">
            <v>33</v>
          </cell>
          <cell r="I1492">
            <v>39883</v>
          </cell>
        </row>
        <row r="1493">
          <cell r="A1493" t="str">
            <v>MASBLKI</v>
          </cell>
          <cell r="B1493" t="str">
            <v>TIER 2 MAST LOCKING STRAP KIT</v>
          </cell>
          <cell r="C1493">
            <v>110</v>
          </cell>
          <cell r="D1493">
            <v>110</v>
          </cell>
          <cell r="E1493">
            <v>110</v>
          </cell>
          <cell r="F1493">
            <v>110</v>
          </cell>
          <cell r="G1493">
            <v>110</v>
          </cell>
          <cell r="H1493">
            <v>87.12</v>
          </cell>
        </row>
        <row r="1494">
          <cell r="A1494" t="str">
            <v>MASBOM4</v>
          </cell>
          <cell r="B1494" t="str">
            <v>MAST TOP TERMINATION BOX PANEL</v>
          </cell>
          <cell r="C1494">
            <v>60</v>
          </cell>
          <cell r="D1494">
            <v>60</v>
          </cell>
          <cell r="E1494">
            <v>60</v>
          </cell>
          <cell r="F1494">
            <v>60</v>
          </cell>
          <cell r="G1494">
            <v>60</v>
          </cell>
          <cell r="H1494">
            <v>36</v>
          </cell>
        </row>
        <row r="1495">
          <cell r="A1495" t="str">
            <v>MASBOMC</v>
          </cell>
          <cell r="B1495" t="str">
            <v>MAST MOUNTING CLAMP FOR TOP TERMINATION</v>
          </cell>
          <cell r="C1495">
            <v>45</v>
          </cell>
          <cell r="D1495">
            <v>45</v>
          </cell>
          <cell r="E1495">
            <v>45</v>
          </cell>
          <cell r="F1495">
            <v>45</v>
          </cell>
          <cell r="G1495">
            <v>45</v>
          </cell>
          <cell r="H1495">
            <v>40.28</v>
          </cell>
        </row>
        <row r="1496">
          <cell r="A1496" t="str">
            <v>MASBOMP</v>
          </cell>
          <cell r="B1496" t="str">
            <v>TIER 2 MAST BOX MOUNTING PLATE</v>
          </cell>
          <cell r="C1496">
            <v>66</v>
          </cell>
          <cell r="D1496">
            <v>66</v>
          </cell>
          <cell r="E1496">
            <v>66</v>
          </cell>
          <cell r="F1496">
            <v>66</v>
          </cell>
          <cell r="G1496">
            <v>66</v>
          </cell>
          <cell r="H1496">
            <v>50.27</v>
          </cell>
          <cell r="I1496">
            <v>40227</v>
          </cell>
        </row>
        <row r="1497">
          <cell r="A1497" t="str">
            <v>MASBOT2</v>
          </cell>
          <cell r="B1497" t="str">
            <v>TIER 2 MET HOUSING</v>
          </cell>
          <cell r="C1497">
            <v>1675</v>
          </cell>
          <cell r="D1497">
            <v>2050</v>
          </cell>
          <cell r="E1497">
            <v>2050</v>
          </cell>
          <cell r="F1497">
            <v>2050</v>
          </cell>
          <cell r="G1497">
            <v>2050</v>
          </cell>
          <cell r="H1497">
            <v>1582.3430000000001</v>
          </cell>
        </row>
        <row r="1498">
          <cell r="A1498" t="str">
            <v>MASBOTI</v>
          </cell>
          <cell r="B1498" t="str">
            <v>IRRIGATION TERMINAL BOX</v>
          </cell>
          <cell r="C1498">
            <v>375</v>
          </cell>
          <cell r="D1498">
            <v>375</v>
          </cell>
          <cell r="E1498">
            <v>375</v>
          </cell>
          <cell r="F1498">
            <v>375</v>
          </cell>
          <cell r="G1498">
            <v>375</v>
          </cell>
          <cell r="H1498">
            <v>67.623999999999995</v>
          </cell>
        </row>
        <row r="1499">
          <cell r="A1499" t="str">
            <v>MASBOTT</v>
          </cell>
          <cell r="B1499" t="str">
            <v>MAST TOP TERMINATION BOX</v>
          </cell>
          <cell r="C1499">
            <v>500</v>
          </cell>
          <cell r="D1499">
            <v>500</v>
          </cell>
          <cell r="E1499">
            <v>500</v>
          </cell>
          <cell r="F1499">
            <v>500</v>
          </cell>
          <cell r="G1499">
            <v>500</v>
          </cell>
          <cell r="H1499">
            <v>330.20299999999997</v>
          </cell>
          <cell r="I1499">
            <v>40221</v>
          </cell>
        </row>
        <row r="1500">
          <cell r="A1500" t="str">
            <v>MASBPKI</v>
          </cell>
          <cell r="B1500" t="str">
            <v>TIER 2 MAST BATTERY PAD KIT</v>
          </cell>
          <cell r="C1500">
            <v>50</v>
          </cell>
          <cell r="D1500">
            <v>50</v>
          </cell>
          <cell r="E1500">
            <v>50</v>
          </cell>
          <cell r="F1500">
            <v>50</v>
          </cell>
          <cell r="G1500">
            <v>50</v>
          </cell>
          <cell r="H1500">
            <v>10.94</v>
          </cell>
        </row>
        <row r="1501">
          <cell r="A1501" t="str">
            <v>MASCRSU</v>
          </cell>
          <cell r="B1501" t="str">
            <v>MAST SUPPORT CRADLE</v>
          </cell>
          <cell r="C1501">
            <v>137</v>
          </cell>
          <cell r="D1501">
            <v>137</v>
          </cell>
          <cell r="E1501">
            <v>137</v>
          </cell>
          <cell r="F1501">
            <v>137</v>
          </cell>
          <cell r="G1501">
            <v>137</v>
          </cell>
          <cell r="H1501">
            <v>105.2</v>
          </cell>
          <cell r="I1501">
            <v>40234</v>
          </cell>
        </row>
        <row r="1502">
          <cell r="A1502" t="str">
            <v>MASFECR</v>
          </cell>
          <cell r="B1502" t="str">
            <v>FEMALE THREADED CROSS 40mm</v>
          </cell>
          <cell r="C1502">
            <v>15</v>
          </cell>
          <cell r="D1502">
            <v>15</v>
          </cell>
          <cell r="E1502">
            <v>15</v>
          </cell>
          <cell r="F1502">
            <v>15</v>
          </cell>
          <cell r="G1502">
            <v>15</v>
          </cell>
          <cell r="H1502">
            <v>12.387</v>
          </cell>
        </row>
        <row r="1503">
          <cell r="A1503" t="str">
            <v>MASFFE</v>
          </cell>
          <cell r="B1503" t="str">
            <v>FEMALE TO FEMALE ELBOW 40mm</v>
          </cell>
          <cell r="C1503">
            <v>9</v>
          </cell>
          <cell r="D1503">
            <v>12</v>
          </cell>
          <cell r="E1503">
            <v>12</v>
          </cell>
          <cell r="F1503">
            <v>12</v>
          </cell>
          <cell r="G1503">
            <v>12</v>
          </cell>
          <cell r="H1503">
            <v>5.2649999999999997</v>
          </cell>
        </row>
        <row r="1504">
          <cell r="A1504" t="str">
            <v>MASFLMO</v>
          </cell>
          <cell r="B1504" t="str">
            <v>TIER 2 MAST DRILLED FLANGE</v>
          </cell>
          <cell r="C1504">
            <v>48.5</v>
          </cell>
          <cell r="D1504">
            <v>60</v>
          </cell>
          <cell r="E1504">
            <v>60</v>
          </cell>
          <cell r="F1504">
            <v>60</v>
          </cell>
          <cell r="G1504">
            <v>60</v>
          </cell>
          <cell r="H1504">
            <v>47.5</v>
          </cell>
          <cell r="I1504">
            <v>40141</v>
          </cell>
        </row>
        <row r="1505">
          <cell r="A1505" t="str">
            <v>MASFTE</v>
          </cell>
          <cell r="B1505" t="str">
            <v>TEE 40mm</v>
          </cell>
          <cell r="C1505">
            <v>25</v>
          </cell>
          <cell r="D1505">
            <v>25</v>
          </cell>
          <cell r="E1505">
            <v>25</v>
          </cell>
          <cell r="F1505">
            <v>25</v>
          </cell>
          <cell r="G1505">
            <v>25</v>
          </cell>
          <cell r="H1505">
            <v>12.75</v>
          </cell>
        </row>
        <row r="1506">
          <cell r="A1506" t="str">
            <v>MASIGMP</v>
          </cell>
          <cell r="B1506" t="str">
            <v>TIER 2 MAST BOX INTERNAL MOUNTING PLATE</v>
          </cell>
          <cell r="C1506">
            <v>50</v>
          </cell>
          <cell r="D1506">
            <v>62</v>
          </cell>
          <cell r="E1506">
            <v>62</v>
          </cell>
          <cell r="F1506">
            <v>62</v>
          </cell>
          <cell r="G1506">
            <v>62</v>
          </cell>
          <cell r="H1506">
            <v>55.37</v>
          </cell>
          <cell r="I1506">
            <v>39883</v>
          </cell>
        </row>
        <row r="1507">
          <cell r="A1507" t="str">
            <v>MASLNMO</v>
          </cell>
          <cell r="B1507" t="str">
            <v>TIER 2 STATION MODIFIED LOCKNUT</v>
          </cell>
          <cell r="C1507">
            <v>22</v>
          </cell>
          <cell r="D1507">
            <v>22</v>
          </cell>
          <cell r="E1507">
            <v>22</v>
          </cell>
          <cell r="F1507">
            <v>22</v>
          </cell>
          <cell r="G1507">
            <v>22</v>
          </cell>
          <cell r="H1507">
            <v>16.5</v>
          </cell>
          <cell r="I1507">
            <v>40221</v>
          </cell>
        </row>
        <row r="1508">
          <cell r="A1508" t="str">
            <v>MASMFE</v>
          </cell>
          <cell r="B1508" t="str">
            <v>MALE TO FEMALE ELBOW 40mm</v>
          </cell>
          <cell r="C1508">
            <v>10</v>
          </cell>
          <cell r="D1508">
            <v>10</v>
          </cell>
          <cell r="E1508">
            <v>10</v>
          </cell>
          <cell r="F1508">
            <v>10</v>
          </cell>
          <cell r="G1508">
            <v>10</v>
          </cell>
          <cell r="H1508">
            <v>8.1389999999999993</v>
          </cell>
        </row>
        <row r="1509">
          <cell r="A1509" t="str">
            <v>MASMOWI</v>
          </cell>
          <cell r="B1509" t="str">
            <v>MAST WINCH MOUNT</v>
          </cell>
          <cell r="C1509">
            <v>168</v>
          </cell>
          <cell r="D1509">
            <v>210</v>
          </cell>
          <cell r="E1509">
            <v>210</v>
          </cell>
          <cell r="F1509">
            <v>210</v>
          </cell>
          <cell r="G1509">
            <v>210</v>
          </cell>
          <cell r="H1509">
            <v>161.375</v>
          </cell>
          <cell r="I1509">
            <v>40161</v>
          </cell>
        </row>
        <row r="1510">
          <cell r="A1510" t="str">
            <v>MASN100</v>
          </cell>
          <cell r="B1510" t="str">
            <v>NIPPLE 40mm x 100mm LONG</v>
          </cell>
          <cell r="C1510">
            <v>10</v>
          </cell>
          <cell r="D1510">
            <v>10</v>
          </cell>
          <cell r="E1510">
            <v>10</v>
          </cell>
          <cell r="F1510">
            <v>10</v>
          </cell>
          <cell r="G1510">
            <v>10</v>
          </cell>
          <cell r="H1510">
            <v>6.0250000000000004</v>
          </cell>
        </row>
        <row r="1511">
          <cell r="A1511" t="str">
            <v>MASN150</v>
          </cell>
          <cell r="B1511" t="str">
            <v>NIPPLE 40mm x 150mm LONG</v>
          </cell>
          <cell r="C1511">
            <v>10</v>
          </cell>
          <cell r="D1511">
            <v>10</v>
          </cell>
          <cell r="E1511">
            <v>10</v>
          </cell>
          <cell r="F1511">
            <v>10</v>
          </cell>
          <cell r="G1511">
            <v>10</v>
          </cell>
          <cell r="H1511">
            <v>6.5</v>
          </cell>
        </row>
        <row r="1512">
          <cell r="A1512" t="str">
            <v>MASNHE</v>
          </cell>
          <cell r="B1512" t="str">
            <v>HEX NIPPLE 40mm</v>
          </cell>
          <cell r="C1512">
            <v>6.5</v>
          </cell>
          <cell r="D1512">
            <v>6.5</v>
          </cell>
          <cell r="E1512">
            <v>6.5</v>
          </cell>
          <cell r="F1512">
            <v>6.5</v>
          </cell>
          <cell r="G1512">
            <v>6.5</v>
          </cell>
          <cell r="H1512">
            <v>4.4000000000000004</v>
          </cell>
        </row>
        <row r="1513">
          <cell r="A1513" t="str">
            <v>MASP100</v>
          </cell>
          <cell r="B1513" t="str">
            <v>GALV PIPE 40mm x 1m LONG</v>
          </cell>
          <cell r="C1513">
            <v>38</v>
          </cell>
          <cell r="D1513">
            <v>42</v>
          </cell>
          <cell r="E1513">
            <v>42</v>
          </cell>
          <cell r="F1513">
            <v>42</v>
          </cell>
          <cell r="G1513">
            <v>42</v>
          </cell>
          <cell r="H1513">
            <v>31.774999999999999</v>
          </cell>
          <cell r="I1513">
            <v>40150</v>
          </cell>
        </row>
        <row r="1514">
          <cell r="A1514" t="str">
            <v>MASP30</v>
          </cell>
          <cell r="B1514" t="str">
            <v>GALV PIPE 40mm x 300mm LONG</v>
          </cell>
          <cell r="C1514">
            <v>44</v>
          </cell>
          <cell r="D1514">
            <v>55</v>
          </cell>
          <cell r="E1514">
            <v>55</v>
          </cell>
          <cell r="F1514">
            <v>55</v>
          </cell>
          <cell r="G1514">
            <v>55</v>
          </cell>
          <cell r="H1514">
            <v>46.5</v>
          </cell>
          <cell r="I1514">
            <v>40151</v>
          </cell>
        </row>
        <row r="1515">
          <cell r="A1515" t="str">
            <v>MASP35</v>
          </cell>
          <cell r="B1515" t="str">
            <v>GALV PIPE 40mm x 350mm LONG</v>
          </cell>
          <cell r="C1515">
            <v>45</v>
          </cell>
          <cell r="D1515">
            <v>45</v>
          </cell>
          <cell r="E1515">
            <v>45</v>
          </cell>
          <cell r="F1515">
            <v>45</v>
          </cell>
          <cell r="G1515">
            <v>45</v>
          </cell>
          <cell r="H1515">
            <v>30</v>
          </cell>
        </row>
        <row r="1516">
          <cell r="A1516" t="str">
            <v>MASP70</v>
          </cell>
          <cell r="B1516" t="str">
            <v>GALV PIPE 40mm x 700mm LONG</v>
          </cell>
          <cell r="C1516">
            <v>50</v>
          </cell>
          <cell r="D1516">
            <v>62.5</v>
          </cell>
          <cell r="E1516">
            <v>62.5</v>
          </cell>
          <cell r="F1516">
            <v>62.5</v>
          </cell>
          <cell r="G1516">
            <v>62.5</v>
          </cell>
          <cell r="H1516">
            <v>38.188000000000002</v>
          </cell>
          <cell r="I1516">
            <v>40150</v>
          </cell>
        </row>
        <row r="1517">
          <cell r="A1517" t="str">
            <v>MASPBSD</v>
          </cell>
          <cell r="B1517" t="str">
            <v>MAST SOLAR PANEL MOUNT SMALL DOUBLE</v>
          </cell>
          <cell r="C1517">
            <v>333.9</v>
          </cell>
          <cell r="D1517">
            <v>375</v>
          </cell>
          <cell r="E1517">
            <v>375</v>
          </cell>
          <cell r="F1517">
            <v>375</v>
          </cell>
          <cell r="G1517">
            <v>375</v>
          </cell>
          <cell r="H1517">
            <v>328.2</v>
          </cell>
          <cell r="I1517">
            <v>39989</v>
          </cell>
        </row>
        <row r="1518">
          <cell r="A1518" t="str">
            <v>MASPBSS</v>
          </cell>
          <cell r="B1518" t="str">
            <v>MAST SOLAR PANEL MOUNT SMALL SINGLE</v>
          </cell>
          <cell r="C1518">
            <v>177</v>
          </cell>
          <cell r="D1518">
            <v>220</v>
          </cell>
          <cell r="E1518">
            <v>220</v>
          </cell>
          <cell r="F1518">
            <v>220</v>
          </cell>
          <cell r="G1518">
            <v>220</v>
          </cell>
          <cell r="H1518">
            <v>167.98099999999999</v>
          </cell>
          <cell r="I1518">
            <v>40279</v>
          </cell>
        </row>
        <row r="1519">
          <cell r="A1519" t="str">
            <v>MASPLU</v>
          </cell>
          <cell r="B1519" t="str">
            <v>PLUG 40mm</v>
          </cell>
          <cell r="C1519">
            <v>5</v>
          </cell>
          <cell r="D1519">
            <v>5</v>
          </cell>
          <cell r="E1519">
            <v>5</v>
          </cell>
          <cell r="F1519">
            <v>5</v>
          </cell>
          <cell r="G1519">
            <v>5</v>
          </cell>
          <cell r="H1519">
            <v>4.67</v>
          </cell>
        </row>
        <row r="1520">
          <cell r="A1520" t="str">
            <v>MASPOBA</v>
          </cell>
          <cell r="B1520" t="str">
            <v>PORTABLE MAST BASEPLATE ANCHOR ROD</v>
          </cell>
          <cell r="C1520">
            <v>20</v>
          </cell>
          <cell r="D1520">
            <v>20</v>
          </cell>
          <cell r="E1520">
            <v>20</v>
          </cell>
          <cell r="F1520">
            <v>20</v>
          </cell>
          <cell r="G1520">
            <v>20</v>
          </cell>
          <cell r="H1520">
            <v>0</v>
          </cell>
        </row>
        <row r="1521">
          <cell r="A1521" t="str">
            <v>MASPOBAG</v>
          </cell>
          <cell r="B1521" t="str">
            <v>PORTABLE MAST BAG</v>
          </cell>
          <cell r="C1521">
            <v>115</v>
          </cell>
          <cell r="D1521">
            <v>115</v>
          </cell>
          <cell r="E1521">
            <v>115</v>
          </cell>
          <cell r="F1521">
            <v>115</v>
          </cell>
          <cell r="G1521">
            <v>115</v>
          </cell>
          <cell r="H1521">
            <v>0</v>
          </cell>
        </row>
        <row r="1522">
          <cell r="A1522" t="str">
            <v>MASPOBP</v>
          </cell>
          <cell r="B1522" t="str">
            <v>PORTABLE MAST BASEPLATE ASSEMBLY</v>
          </cell>
          <cell r="C1522">
            <v>515</v>
          </cell>
          <cell r="D1522">
            <v>515</v>
          </cell>
          <cell r="E1522">
            <v>515</v>
          </cell>
          <cell r="F1522">
            <v>515</v>
          </cell>
          <cell r="G1522">
            <v>515</v>
          </cell>
          <cell r="H1522">
            <v>0</v>
          </cell>
        </row>
        <row r="1523">
          <cell r="A1523" t="str">
            <v>MASPOCI</v>
          </cell>
          <cell r="B1523" t="str">
            <v>PORTABLE MAST CROSS ARM INSERT</v>
          </cell>
          <cell r="C1523">
            <v>75</v>
          </cell>
          <cell r="D1523">
            <v>75</v>
          </cell>
          <cell r="E1523">
            <v>75</v>
          </cell>
          <cell r="F1523">
            <v>75</v>
          </cell>
          <cell r="G1523">
            <v>75</v>
          </cell>
          <cell r="H1523">
            <v>0</v>
          </cell>
        </row>
        <row r="1524">
          <cell r="A1524" t="str">
            <v>MASPOEB</v>
          </cell>
          <cell r="B1524" t="str">
            <v>PORTABLE MAST EYEBOLT (M8 X 130mm)</v>
          </cell>
          <cell r="C1524">
            <v>7</v>
          </cell>
          <cell r="D1524">
            <v>7</v>
          </cell>
          <cell r="E1524">
            <v>7</v>
          </cell>
          <cell r="F1524">
            <v>7</v>
          </cell>
          <cell r="G1524">
            <v>7</v>
          </cell>
          <cell r="H1524">
            <v>0</v>
          </cell>
        </row>
        <row r="1525">
          <cell r="A1525" t="str">
            <v>MASPOG10</v>
          </cell>
          <cell r="B1525" t="str">
            <v>PORTABLE MAST GUY-WIRE SET (10M)</v>
          </cell>
          <cell r="C1525">
            <v>195</v>
          </cell>
          <cell r="D1525">
            <v>195</v>
          </cell>
          <cell r="E1525">
            <v>195</v>
          </cell>
          <cell r="F1525">
            <v>195</v>
          </cell>
          <cell r="G1525">
            <v>195</v>
          </cell>
          <cell r="H1525">
            <v>0</v>
          </cell>
        </row>
        <row r="1526">
          <cell r="A1526" t="str">
            <v>MASPOG4</v>
          </cell>
          <cell r="B1526" t="str">
            <v>PORTABLE MAST GUY-WIRE SET (4M)</v>
          </cell>
          <cell r="C1526">
            <v>150</v>
          </cell>
          <cell r="D1526">
            <v>150</v>
          </cell>
          <cell r="E1526">
            <v>150</v>
          </cell>
          <cell r="F1526">
            <v>150</v>
          </cell>
          <cell r="G1526">
            <v>150</v>
          </cell>
          <cell r="H1526">
            <v>0</v>
          </cell>
        </row>
        <row r="1527">
          <cell r="A1527" t="str">
            <v>MASPOG6</v>
          </cell>
          <cell r="B1527" t="str">
            <v>PORTABLE MAST GUY-WIRE SET (6M)</v>
          </cell>
          <cell r="C1527">
            <v>175</v>
          </cell>
          <cell r="D1527">
            <v>175</v>
          </cell>
          <cell r="E1527">
            <v>175</v>
          </cell>
          <cell r="F1527">
            <v>175</v>
          </cell>
          <cell r="G1527">
            <v>175</v>
          </cell>
          <cell r="H1527">
            <v>0</v>
          </cell>
        </row>
        <row r="1528">
          <cell r="A1528" t="str">
            <v>MASPOGF</v>
          </cell>
          <cell r="B1528" t="str">
            <v>PORTABLE MAST GUY-WIRE FLANGE</v>
          </cell>
          <cell r="C1528">
            <v>50</v>
          </cell>
          <cell r="D1528">
            <v>50</v>
          </cell>
          <cell r="E1528">
            <v>50</v>
          </cell>
          <cell r="F1528">
            <v>50</v>
          </cell>
          <cell r="G1528">
            <v>50</v>
          </cell>
          <cell r="H1528">
            <v>0</v>
          </cell>
        </row>
        <row r="1529">
          <cell r="A1529" t="str">
            <v>MASPOLC</v>
          </cell>
          <cell r="B1529" t="str">
            <v>PORTABLE MAST LONG CROSS ARM</v>
          </cell>
          <cell r="C1529">
            <v>80</v>
          </cell>
          <cell r="D1529">
            <v>80</v>
          </cell>
          <cell r="E1529">
            <v>80</v>
          </cell>
          <cell r="F1529">
            <v>80</v>
          </cell>
          <cell r="G1529">
            <v>80</v>
          </cell>
          <cell r="H1529">
            <v>0</v>
          </cell>
        </row>
        <row r="1530">
          <cell r="A1530" t="str">
            <v>MASPOMB</v>
          </cell>
          <cell r="B1530" t="str">
            <v>PORTABLE MAST MOUNTING BLOCK SET</v>
          </cell>
          <cell r="C1530">
            <v>75</v>
          </cell>
          <cell r="D1530">
            <v>75</v>
          </cell>
          <cell r="E1530">
            <v>75</v>
          </cell>
          <cell r="F1530">
            <v>75</v>
          </cell>
          <cell r="G1530">
            <v>75</v>
          </cell>
          <cell r="H1530">
            <v>53.49</v>
          </cell>
        </row>
        <row r="1531">
          <cell r="A1531" t="str">
            <v>MASPOMF</v>
          </cell>
          <cell r="B1531" t="str">
            <v>PORTABLE MAST FASTENER KIT</v>
          </cell>
          <cell r="C1531">
            <v>0</v>
          </cell>
          <cell r="D1531">
            <v>0</v>
          </cell>
          <cell r="E1531">
            <v>0</v>
          </cell>
          <cell r="F1531">
            <v>0</v>
          </cell>
          <cell r="G1531">
            <v>0</v>
          </cell>
          <cell r="H1531">
            <v>0</v>
          </cell>
        </row>
        <row r="1532">
          <cell r="A1532" t="str">
            <v>MASPOSL</v>
          </cell>
          <cell r="B1532" t="str">
            <v>PORTABLE MAST SOLAR PANEL MOUNT - LARGE</v>
          </cell>
          <cell r="C1532">
            <v>375</v>
          </cell>
          <cell r="D1532">
            <v>375</v>
          </cell>
          <cell r="E1532">
            <v>375</v>
          </cell>
          <cell r="F1532">
            <v>375</v>
          </cell>
          <cell r="G1532">
            <v>375</v>
          </cell>
          <cell r="H1532">
            <v>375.25</v>
          </cell>
        </row>
        <row r="1533">
          <cell r="A1533" t="str">
            <v>MASPOSM</v>
          </cell>
          <cell r="B1533" t="str">
            <v>PORTABLE MAST SOLAR PANEL MOUNT - STANDA</v>
          </cell>
          <cell r="C1533">
            <v>195</v>
          </cell>
          <cell r="D1533">
            <v>210</v>
          </cell>
          <cell r="E1533">
            <v>210</v>
          </cell>
          <cell r="F1533">
            <v>210</v>
          </cell>
          <cell r="G1533">
            <v>210</v>
          </cell>
          <cell r="H1533">
            <v>113</v>
          </cell>
        </row>
        <row r="1534">
          <cell r="A1534" t="str">
            <v>MASPOTJ</v>
          </cell>
          <cell r="B1534" t="str">
            <v>PORTABLE MAST TUBE SECTION JOINER</v>
          </cell>
          <cell r="C1534">
            <v>50</v>
          </cell>
          <cell r="D1534">
            <v>50</v>
          </cell>
          <cell r="E1534">
            <v>50</v>
          </cell>
          <cell r="F1534">
            <v>50</v>
          </cell>
          <cell r="G1534">
            <v>50</v>
          </cell>
          <cell r="H1534">
            <v>0</v>
          </cell>
        </row>
        <row r="1535">
          <cell r="A1535" t="str">
            <v>MASPOTU</v>
          </cell>
          <cell r="B1535" t="str">
            <v>PORTABLE MAST TUBE SECTION</v>
          </cell>
          <cell r="C1535">
            <v>55</v>
          </cell>
          <cell r="D1535">
            <v>55</v>
          </cell>
          <cell r="E1535">
            <v>55</v>
          </cell>
          <cell r="F1535">
            <v>55</v>
          </cell>
          <cell r="G1535">
            <v>55</v>
          </cell>
          <cell r="H1535">
            <v>0</v>
          </cell>
        </row>
        <row r="1536">
          <cell r="A1536" t="str">
            <v>MASPSPI</v>
          </cell>
          <cell r="B1536" t="str">
            <v>SMALL SOLAR PANEL MOUNT - PACIFIC</v>
          </cell>
          <cell r="C1536">
            <v>135.44999999999999</v>
          </cell>
          <cell r="D1536">
            <v>167.7</v>
          </cell>
          <cell r="E1536">
            <v>167.7</v>
          </cell>
          <cell r="F1536">
            <v>167.7</v>
          </cell>
          <cell r="G1536">
            <v>167.7</v>
          </cell>
          <cell r="H1536">
            <v>129</v>
          </cell>
          <cell r="I1536">
            <v>39883</v>
          </cell>
        </row>
        <row r="1537">
          <cell r="A1537" t="str">
            <v>MASRB32</v>
          </cell>
          <cell r="B1537" t="str">
            <v>REDUCING BUSH 40mm x 32mm</v>
          </cell>
          <cell r="C1537">
            <v>6</v>
          </cell>
          <cell r="D1537">
            <v>6</v>
          </cell>
          <cell r="E1537">
            <v>6</v>
          </cell>
          <cell r="F1537">
            <v>6</v>
          </cell>
          <cell r="G1537">
            <v>6</v>
          </cell>
          <cell r="H1537">
            <v>5.2350000000000003</v>
          </cell>
        </row>
        <row r="1538">
          <cell r="A1538" t="str">
            <v>MASRE25</v>
          </cell>
          <cell r="B1538" t="str">
            <v>REDUCING SOCKET 40mm x 25mm</v>
          </cell>
          <cell r="C1538">
            <v>7</v>
          </cell>
          <cell r="D1538">
            <v>8.5</v>
          </cell>
          <cell r="E1538">
            <v>8.5</v>
          </cell>
          <cell r="F1538">
            <v>8.5</v>
          </cell>
          <cell r="G1538">
            <v>8.5</v>
          </cell>
          <cell r="H1538">
            <v>6.5</v>
          </cell>
        </row>
        <row r="1539">
          <cell r="A1539" t="str">
            <v>MASRN20</v>
          </cell>
          <cell r="B1539" t="str">
            <v>REDUCING NIPPLE 40mm TO 20mm</v>
          </cell>
          <cell r="C1539">
            <v>8</v>
          </cell>
          <cell r="D1539">
            <v>8</v>
          </cell>
          <cell r="E1539">
            <v>8</v>
          </cell>
          <cell r="F1539">
            <v>8</v>
          </cell>
          <cell r="G1539">
            <v>8</v>
          </cell>
          <cell r="H1539">
            <v>10.234999999999999</v>
          </cell>
        </row>
        <row r="1540">
          <cell r="A1540" t="str">
            <v>MASRN25</v>
          </cell>
          <cell r="B1540" t="str">
            <v>REDUCING NIPPLE 40mm TO 25mm</v>
          </cell>
          <cell r="C1540">
            <v>8</v>
          </cell>
          <cell r="D1540">
            <v>8</v>
          </cell>
          <cell r="E1540">
            <v>8</v>
          </cell>
          <cell r="F1540">
            <v>8</v>
          </cell>
          <cell r="G1540">
            <v>8</v>
          </cell>
          <cell r="H1540">
            <v>6.5</v>
          </cell>
        </row>
        <row r="1541">
          <cell r="A1541" t="str">
            <v>MASSAM1</v>
          </cell>
          <cell r="B1541" t="str">
            <v>LATTICE SADDLE CLAMP 1"</v>
          </cell>
          <cell r="C1541">
            <v>13.5</v>
          </cell>
          <cell r="D1541">
            <v>16.5</v>
          </cell>
          <cell r="E1541">
            <v>16.5</v>
          </cell>
          <cell r="F1541">
            <v>16.5</v>
          </cell>
          <cell r="G1541">
            <v>16.5</v>
          </cell>
          <cell r="H1541">
            <v>16.806999999999999</v>
          </cell>
          <cell r="I1541">
            <v>40200</v>
          </cell>
        </row>
        <row r="1542">
          <cell r="A1542" t="str">
            <v>MASSAM1.5</v>
          </cell>
          <cell r="B1542" t="str">
            <v>SADDLE CLAMP 1 1/2"</v>
          </cell>
          <cell r="C1542">
            <v>20.5</v>
          </cell>
          <cell r="D1542">
            <v>26</v>
          </cell>
          <cell r="E1542">
            <v>26</v>
          </cell>
          <cell r="F1542">
            <v>26</v>
          </cell>
          <cell r="G1542">
            <v>26</v>
          </cell>
          <cell r="H1542">
            <v>19.399999999999999</v>
          </cell>
          <cell r="I1542">
            <v>40200</v>
          </cell>
        </row>
        <row r="1543">
          <cell r="A1543" t="str">
            <v>MASSAM2</v>
          </cell>
          <cell r="B1543" t="str">
            <v>SADDLE MOUNTING 2"</v>
          </cell>
          <cell r="C1543">
            <v>18</v>
          </cell>
          <cell r="D1543">
            <v>22</v>
          </cell>
          <cell r="E1543">
            <v>22</v>
          </cell>
          <cell r="F1543">
            <v>22</v>
          </cell>
          <cell r="G1543">
            <v>22</v>
          </cell>
          <cell r="H1543">
            <v>17.399999999999999</v>
          </cell>
          <cell r="I1543">
            <v>40106</v>
          </cell>
        </row>
        <row r="1544">
          <cell r="A1544" t="str">
            <v>MASSAM3</v>
          </cell>
          <cell r="B1544" t="str">
            <v>SADDLE MOUNTING 3"</v>
          </cell>
          <cell r="C1544">
            <v>21</v>
          </cell>
          <cell r="D1544">
            <v>21</v>
          </cell>
          <cell r="E1544">
            <v>21</v>
          </cell>
          <cell r="F1544">
            <v>21</v>
          </cell>
          <cell r="G1544">
            <v>21</v>
          </cell>
          <cell r="H1544">
            <v>13.93</v>
          </cell>
        </row>
        <row r="1545">
          <cell r="A1545" t="str">
            <v>MASSAM4</v>
          </cell>
          <cell r="B1545" t="str">
            <v>SADDLE MOUNTING 4.5"</v>
          </cell>
          <cell r="C1545">
            <v>24</v>
          </cell>
          <cell r="D1545">
            <v>24</v>
          </cell>
          <cell r="E1545">
            <v>24</v>
          </cell>
          <cell r="F1545">
            <v>24</v>
          </cell>
          <cell r="G1545">
            <v>24</v>
          </cell>
          <cell r="H1545">
            <v>18.82</v>
          </cell>
        </row>
        <row r="1546">
          <cell r="A1546" t="str">
            <v>MASSEAD</v>
          </cell>
          <cell r="B1546" t="str">
            <v>TIER 2 MAST SENSOR ADAPTER</v>
          </cell>
          <cell r="C1546">
            <v>21.45</v>
          </cell>
          <cell r="D1546">
            <v>26.6</v>
          </cell>
          <cell r="E1546">
            <v>26.6</v>
          </cell>
          <cell r="F1546">
            <v>26.6</v>
          </cell>
          <cell r="G1546">
            <v>26.6</v>
          </cell>
          <cell r="H1546">
            <v>22.742999999999999</v>
          </cell>
          <cell r="I1546">
            <v>40059</v>
          </cell>
        </row>
        <row r="1547">
          <cell r="A1547" t="str">
            <v>MASSUPI</v>
          </cell>
          <cell r="B1547" t="str">
            <v>MAST PIVOT SUPPORT</v>
          </cell>
          <cell r="C1547">
            <v>120</v>
          </cell>
          <cell r="D1547">
            <v>120</v>
          </cell>
          <cell r="E1547">
            <v>120</v>
          </cell>
          <cell r="F1547">
            <v>120</v>
          </cell>
          <cell r="G1547">
            <v>120</v>
          </cell>
          <cell r="H1547">
            <v>245.6</v>
          </cell>
        </row>
        <row r="1548">
          <cell r="A1548" t="str">
            <v>MASTERE</v>
          </cell>
          <cell r="B1548" t="str">
            <v>"MAST REDUCING TEE (3-2"")F-M"</v>
          </cell>
          <cell r="C1548">
            <v>110</v>
          </cell>
          <cell r="D1548">
            <v>110</v>
          </cell>
          <cell r="E1548">
            <v>110</v>
          </cell>
          <cell r="F1548">
            <v>110</v>
          </cell>
          <cell r="G1548">
            <v>110</v>
          </cell>
          <cell r="H1548">
            <v>83.8</v>
          </cell>
          <cell r="I1548">
            <v>40241</v>
          </cell>
        </row>
        <row r="1549">
          <cell r="A1549" t="str">
            <v>MASUB08</v>
          </cell>
          <cell r="B1549" t="str">
            <v>UBOLT 1.5" X 5/16"</v>
          </cell>
          <cell r="C1549">
            <v>6</v>
          </cell>
          <cell r="D1549">
            <v>7.35</v>
          </cell>
          <cell r="E1549">
            <v>7.35</v>
          </cell>
          <cell r="F1549">
            <v>7.35</v>
          </cell>
          <cell r="G1549">
            <v>7.35</v>
          </cell>
          <cell r="H1549">
            <v>6</v>
          </cell>
          <cell r="I1549">
            <v>39883</v>
          </cell>
        </row>
        <row r="1550">
          <cell r="A1550" t="str">
            <v>MEA2061</v>
          </cell>
          <cell r="B1550" t="str">
            <v>MEA2061 WATER LEVEL INTERFACE</v>
          </cell>
          <cell r="C1550">
            <v>692</v>
          </cell>
          <cell r="D1550">
            <v>856</v>
          </cell>
          <cell r="E1550">
            <v>856</v>
          </cell>
          <cell r="F1550">
            <v>856</v>
          </cell>
          <cell r="G1550">
            <v>856</v>
          </cell>
          <cell r="H1550">
            <v>656.99</v>
          </cell>
          <cell r="I1550">
            <v>39884</v>
          </cell>
        </row>
        <row r="1551">
          <cell r="A1551" t="str">
            <v>MEA2062</v>
          </cell>
          <cell r="B1551" t="str">
            <v>MEA2062 SDI-12 SMART SENSOR INTERFACE 5V</v>
          </cell>
          <cell r="C1551">
            <v>685</v>
          </cell>
          <cell r="D1551">
            <v>685</v>
          </cell>
          <cell r="E1551">
            <v>685</v>
          </cell>
          <cell r="F1551">
            <v>685</v>
          </cell>
          <cell r="G1551">
            <v>685</v>
          </cell>
          <cell r="H1551">
            <v>865.11599999999999</v>
          </cell>
        </row>
        <row r="1552">
          <cell r="A1552" t="str">
            <v>MEA2062A</v>
          </cell>
          <cell r="B1552" t="str">
            <v>MEA2062 SDI-12 SMART SENSOR INTERFACE 2.</v>
          </cell>
          <cell r="C1552">
            <v>685</v>
          </cell>
          <cell r="D1552">
            <v>685</v>
          </cell>
          <cell r="E1552">
            <v>685</v>
          </cell>
          <cell r="F1552">
            <v>685</v>
          </cell>
          <cell r="G1552">
            <v>685</v>
          </cell>
          <cell r="H1552">
            <v>0</v>
          </cell>
        </row>
        <row r="1553">
          <cell r="A1553" t="str">
            <v>MEA2064</v>
          </cell>
          <cell r="B1553" t="str">
            <v>MEA2064 HI-SPEED SERIAL-RS232 INTERFACE</v>
          </cell>
          <cell r="C1553">
            <v>750</v>
          </cell>
          <cell r="D1553">
            <v>750</v>
          </cell>
          <cell r="E1553">
            <v>750</v>
          </cell>
          <cell r="F1553">
            <v>750</v>
          </cell>
          <cell r="G1553">
            <v>750</v>
          </cell>
          <cell r="H1553">
            <v>0</v>
          </cell>
        </row>
        <row r="1554">
          <cell r="A1554" t="str">
            <v>METER04</v>
          </cell>
          <cell r="B1554" t="str">
            <v>METER  PANEL 0-1 mA DC</v>
          </cell>
          <cell r="C1554">
            <v>82.5</v>
          </cell>
          <cell r="D1554">
            <v>82.5</v>
          </cell>
          <cell r="E1554">
            <v>82.5</v>
          </cell>
          <cell r="F1554">
            <v>82.5</v>
          </cell>
          <cell r="G1554">
            <v>82.5</v>
          </cell>
          <cell r="H1554">
            <v>42</v>
          </cell>
        </row>
        <row r="1555">
          <cell r="A1555" t="str">
            <v>METER08</v>
          </cell>
          <cell r="B1555" t="str">
            <v>METER  0-5 AMP DC</v>
          </cell>
          <cell r="C1555">
            <v>54</v>
          </cell>
          <cell r="D1555">
            <v>54</v>
          </cell>
          <cell r="E1555">
            <v>54</v>
          </cell>
          <cell r="F1555">
            <v>54</v>
          </cell>
          <cell r="G1555">
            <v>54</v>
          </cell>
          <cell r="H1555">
            <v>0</v>
          </cell>
        </row>
        <row r="1556">
          <cell r="A1556" t="str">
            <v>METGEN</v>
          </cell>
          <cell r="B1556" t="str">
            <v>GENERAL MET REPAIRS/SERVICING</v>
          </cell>
          <cell r="C1556">
            <v>0</v>
          </cell>
          <cell r="D1556">
            <v>0</v>
          </cell>
          <cell r="E1556">
            <v>0</v>
          </cell>
          <cell r="F1556">
            <v>0</v>
          </cell>
          <cell r="G1556">
            <v>0</v>
          </cell>
          <cell r="H1556">
            <v>0</v>
          </cell>
        </row>
        <row r="1557">
          <cell r="A1557" t="str">
            <v>MICROEL</v>
          </cell>
          <cell r="B1557" t="str">
            <v>MICROPHONE  ELECTRET 50HZ - 10KHZ</v>
          </cell>
          <cell r="C1557">
            <v>3</v>
          </cell>
          <cell r="D1557">
            <v>3</v>
          </cell>
          <cell r="E1557">
            <v>3</v>
          </cell>
          <cell r="F1557">
            <v>3</v>
          </cell>
          <cell r="G1557">
            <v>3</v>
          </cell>
          <cell r="H1557">
            <v>0</v>
          </cell>
        </row>
        <row r="1558">
          <cell r="A1558" t="str">
            <v>MINICHA</v>
          </cell>
          <cell r="B1558" t="str">
            <v>MINICHARGER</v>
          </cell>
          <cell r="C1558">
            <v>0</v>
          </cell>
          <cell r="D1558">
            <v>0</v>
          </cell>
          <cell r="E1558">
            <v>0</v>
          </cell>
          <cell r="F1558">
            <v>0</v>
          </cell>
          <cell r="G1558">
            <v>0</v>
          </cell>
          <cell r="H1558">
            <v>0</v>
          </cell>
        </row>
        <row r="1559">
          <cell r="A1559" t="str">
            <v>MISC</v>
          </cell>
          <cell r="B1559" t="str">
            <v>MISCELLANEOUS HARDWARE ETC</v>
          </cell>
          <cell r="C1559">
            <v>0</v>
          </cell>
          <cell r="D1559">
            <v>0</v>
          </cell>
          <cell r="E1559">
            <v>0</v>
          </cell>
          <cell r="F1559">
            <v>0</v>
          </cell>
          <cell r="G1559">
            <v>0</v>
          </cell>
          <cell r="H1559">
            <v>790.01800000000003</v>
          </cell>
        </row>
        <row r="1560">
          <cell r="A1560" t="str">
            <v>MOAECON</v>
          </cell>
          <cell r="B1560" t="str">
            <v>MODEM AERIAL CONNECTORS</v>
          </cell>
          <cell r="C1560">
            <v>32</v>
          </cell>
          <cell r="D1560">
            <v>32</v>
          </cell>
          <cell r="E1560">
            <v>32</v>
          </cell>
          <cell r="F1560">
            <v>32</v>
          </cell>
          <cell r="G1560">
            <v>32</v>
          </cell>
          <cell r="H1560">
            <v>8.1609999999999996</v>
          </cell>
        </row>
        <row r="1561">
          <cell r="A1561" t="str">
            <v>MODABSO</v>
          </cell>
          <cell r="B1561" t="str">
            <v>AERIAL BRACKET STAND OFF</v>
          </cell>
          <cell r="C1561">
            <v>27</v>
          </cell>
          <cell r="D1561">
            <v>27</v>
          </cell>
          <cell r="E1561">
            <v>27</v>
          </cell>
          <cell r="F1561">
            <v>27</v>
          </cell>
          <cell r="G1561">
            <v>27</v>
          </cell>
          <cell r="H1561">
            <v>20.399999999999999</v>
          </cell>
          <cell r="I1561">
            <v>40312</v>
          </cell>
        </row>
        <row r="1562">
          <cell r="A1562" t="str">
            <v>MODAEAD</v>
          </cell>
          <cell r="B1562" t="str">
            <v>AERIAL ADAPTOR CABLE</v>
          </cell>
          <cell r="C1562">
            <v>35</v>
          </cell>
          <cell r="D1562">
            <v>40</v>
          </cell>
          <cell r="E1562">
            <v>40</v>
          </cell>
          <cell r="F1562">
            <v>40</v>
          </cell>
          <cell r="G1562">
            <v>40</v>
          </cell>
          <cell r="H1562">
            <v>31.977</v>
          </cell>
          <cell r="I1562">
            <v>39926</v>
          </cell>
        </row>
        <row r="1563">
          <cell r="A1563" t="str">
            <v>MODAEEX</v>
          </cell>
          <cell r="B1563" t="str">
            <v>CABLE. RIGHT ANGLE F/M SMA TO MALE</v>
          </cell>
          <cell r="C1563">
            <v>0</v>
          </cell>
          <cell r="D1563">
            <v>0</v>
          </cell>
          <cell r="E1563">
            <v>0</v>
          </cell>
          <cell r="F1563">
            <v>0</v>
          </cell>
          <cell r="G1563">
            <v>0</v>
          </cell>
          <cell r="H1563">
            <v>0</v>
          </cell>
        </row>
        <row r="1564">
          <cell r="A1564" t="str">
            <v>MODAEMA</v>
          </cell>
          <cell r="B1564" t="str">
            <v>MODEM AERIAL  MAXON C4RC-680 4.5db RADOM</v>
          </cell>
          <cell r="C1564">
            <v>182</v>
          </cell>
          <cell r="D1564">
            <v>182</v>
          </cell>
          <cell r="E1564">
            <v>182</v>
          </cell>
          <cell r="F1564">
            <v>182</v>
          </cell>
          <cell r="G1564">
            <v>182</v>
          </cell>
          <cell r="H1564">
            <v>148</v>
          </cell>
        </row>
        <row r="1565">
          <cell r="A1565" t="str">
            <v>MODAERI</v>
          </cell>
          <cell r="B1565" t="str">
            <v>MODEM AERIAL  COAXIAL 0.5W 3db 900-950MH</v>
          </cell>
          <cell r="C1565">
            <v>121.38</v>
          </cell>
          <cell r="D1565">
            <v>150</v>
          </cell>
          <cell r="E1565">
            <v>150</v>
          </cell>
          <cell r="F1565">
            <v>150</v>
          </cell>
          <cell r="G1565">
            <v>150</v>
          </cell>
          <cell r="H1565">
            <v>115</v>
          </cell>
          <cell r="I1565">
            <v>39883</v>
          </cell>
        </row>
        <row r="1566">
          <cell r="A1566" t="str">
            <v>MODANYD</v>
          </cell>
          <cell r="B1566" t="str">
            <v>ANYDATA I-PORT SERIAL MODEM</v>
          </cell>
          <cell r="C1566">
            <v>500.5</v>
          </cell>
          <cell r="D1566">
            <v>620</v>
          </cell>
          <cell r="E1566">
            <v>620</v>
          </cell>
          <cell r="F1566">
            <v>620</v>
          </cell>
          <cell r="G1566">
            <v>620</v>
          </cell>
          <cell r="H1566">
            <v>488</v>
          </cell>
        </row>
        <row r="1567">
          <cell r="A1567" t="str">
            <v>MODBRHA</v>
          </cell>
          <cell r="B1567" t="str">
            <v>GPRS HARVEST MODEM BRACKET</v>
          </cell>
          <cell r="C1567">
            <v>22</v>
          </cell>
          <cell r="D1567">
            <v>22</v>
          </cell>
          <cell r="E1567">
            <v>22</v>
          </cell>
          <cell r="F1567">
            <v>22</v>
          </cell>
          <cell r="G1567">
            <v>22</v>
          </cell>
          <cell r="H1567">
            <v>13.7</v>
          </cell>
        </row>
        <row r="1568">
          <cell r="A1568" t="str">
            <v>MODBRRA</v>
          </cell>
          <cell r="B1568" t="str">
            <v>AERIAL RIGHT ANGLE BRACKET 21mm HOLE</v>
          </cell>
          <cell r="C1568">
            <v>15</v>
          </cell>
          <cell r="D1568">
            <v>19</v>
          </cell>
          <cell r="E1568">
            <v>19</v>
          </cell>
          <cell r="F1568">
            <v>19</v>
          </cell>
          <cell r="G1568">
            <v>19</v>
          </cell>
          <cell r="H1568">
            <v>14.25</v>
          </cell>
          <cell r="I1568">
            <v>39988</v>
          </cell>
        </row>
        <row r="1569">
          <cell r="A1569" t="str">
            <v>MODCOME</v>
          </cell>
          <cell r="B1569" t="str">
            <v>MODEM  CTL COMET MODEL MD1292AN 12V</v>
          </cell>
          <cell r="C1569">
            <v>300</v>
          </cell>
          <cell r="D1569">
            <v>360</v>
          </cell>
          <cell r="E1569">
            <v>360</v>
          </cell>
          <cell r="F1569">
            <v>360</v>
          </cell>
          <cell r="G1569">
            <v>360</v>
          </cell>
          <cell r="H1569">
            <v>273</v>
          </cell>
          <cell r="I1569">
            <v>39925</v>
          </cell>
        </row>
        <row r="1570">
          <cell r="A1570" t="str">
            <v>MODEM02</v>
          </cell>
          <cell r="B1570" t="str">
            <v>MODEM  GVC 2400 BAUD</v>
          </cell>
          <cell r="C1570">
            <v>336</v>
          </cell>
          <cell r="D1570">
            <v>336</v>
          </cell>
          <cell r="E1570">
            <v>336</v>
          </cell>
          <cell r="F1570">
            <v>336</v>
          </cell>
          <cell r="G1570">
            <v>336</v>
          </cell>
          <cell r="H1570">
            <v>0</v>
          </cell>
        </row>
        <row r="1571">
          <cell r="A1571" t="str">
            <v>MODGPRS</v>
          </cell>
          <cell r="B1571" t="str">
            <v>MODEM  HARVEST GPRS SPE C/W</v>
          </cell>
          <cell r="C1571">
            <v>675</v>
          </cell>
          <cell r="D1571">
            <v>675</v>
          </cell>
          <cell r="E1571">
            <v>675</v>
          </cell>
          <cell r="F1571">
            <v>675</v>
          </cell>
          <cell r="G1571">
            <v>675</v>
          </cell>
          <cell r="H1571">
            <v>524.42100000000005</v>
          </cell>
        </row>
        <row r="1572">
          <cell r="A1572" t="str">
            <v>MODGPRS3</v>
          </cell>
          <cell r="B1572" t="str">
            <v>HARVEST GPRS SPE 900 3G NETWORK</v>
          </cell>
          <cell r="C1572">
            <v>0</v>
          </cell>
          <cell r="D1572">
            <v>0</v>
          </cell>
          <cell r="E1572">
            <v>0</v>
          </cell>
          <cell r="F1572">
            <v>0</v>
          </cell>
          <cell r="G1572">
            <v>0</v>
          </cell>
          <cell r="H1572">
            <v>620</v>
          </cell>
        </row>
        <row r="1573">
          <cell r="A1573" t="str">
            <v>MODHXT</v>
          </cell>
          <cell r="B1573" t="str">
            <v>MODEM HARVEST SPE XT NETWORK</v>
          </cell>
          <cell r="C1573">
            <v>850</v>
          </cell>
          <cell r="D1573">
            <v>975</v>
          </cell>
          <cell r="E1573">
            <v>975</v>
          </cell>
          <cell r="F1573">
            <v>975</v>
          </cell>
          <cell r="G1573">
            <v>975</v>
          </cell>
          <cell r="H1573">
            <v>802.97500000000002</v>
          </cell>
          <cell r="I1573">
            <v>40106</v>
          </cell>
        </row>
        <row r="1574">
          <cell r="A1574" t="str">
            <v>MODICE3</v>
          </cell>
          <cell r="B1574" t="str">
            <v>MODEM  ICE3 GPRS CIRCUIT EXTENDER</v>
          </cell>
          <cell r="C1574">
            <v>905</v>
          </cell>
          <cell r="D1574">
            <v>905</v>
          </cell>
          <cell r="E1574">
            <v>905</v>
          </cell>
          <cell r="F1574">
            <v>905</v>
          </cell>
          <cell r="G1574">
            <v>905</v>
          </cell>
          <cell r="H1574">
            <v>0</v>
          </cell>
        </row>
        <row r="1575">
          <cell r="A1575" t="str">
            <v>MODMAX</v>
          </cell>
          <cell r="B1575" t="str">
            <v>MODEM  MAXON MM5100 CDMA</v>
          </cell>
          <cell r="C1575">
            <v>530</v>
          </cell>
          <cell r="D1575">
            <v>530</v>
          </cell>
          <cell r="E1575">
            <v>530</v>
          </cell>
          <cell r="F1575">
            <v>530</v>
          </cell>
          <cell r="G1575">
            <v>530</v>
          </cell>
          <cell r="H1575">
            <v>346.67</v>
          </cell>
        </row>
        <row r="1576">
          <cell r="A1576" t="str">
            <v>MODMAXS</v>
          </cell>
          <cell r="B1576" t="str">
            <v>MAXSTREAM RF MODEM 900mHZ STAND ALONE</v>
          </cell>
          <cell r="C1576">
            <v>567.79999999999995</v>
          </cell>
          <cell r="D1576">
            <v>710</v>
          </cell>
          <cell r="E1576">
            <v>710</v>
          </cell>
          <cell r="F1576">
            <v>710</v>
          </cell>
          <cell r="G1576">
            <v>710</v>
          </cell>
          <cell r="H1576">
            <v>525</v>
          </cell>
          <cell r="I1576">
            <v>40058</v>
          </cell>
        </row>
        <row r="1577">
          <cell r="A1577" t="str">
            <v>MODNECO</v>
          </cell>
          <cell r="B1577" t="str">
            <v>MODEM  NETCOM MODEL EF9</v>
          </cell>
          <cell r="C1577">
            <v>650</v>
          </cell>
          <cell r="D1577">
            <v>650</v>
          </cell>
          <cell r="E1577">
            <v>650</v>
          </cell>
          <cell r="F1577">
            <v>650</v>
          </cell>
          <cell r="G1577">
            <v>650</v>
          </cell>
          <cell r="H1577">
            <v>0</v>
          </cell>
        </row>
        <row r="1578">
          <cell r="A1578" t="str">
            <v>MODPAC</v>
          </cell>
          <cell r="B1578" t="str">
            <v>MODEM  PACCOM EWH-1200</v>
          </cell>
          <cell r="C1578">
            <v>1034.25</v>
          </cell>
          <cell r="D1578">
            <v>1280.5</v>
          </cell>
          <cell r="E1578">
            <v>1280.5</v>
          </cell>
          <cell r="F1578">
            <v>1280.5</v>
          </cell>
          <cell r="G1578">
            <v>1280.5</v>
          </cell>
          <cell r="H1578">
            <v>0</v>
          </cell>
          <cell r="I1578">
            <v>39883</v>
          </cell>
        </row>
        <row r="1579">
          <cell r="A1579" t="str">
            <v>MODPOWS</v>
          </cell>
          <cell r="B1579" t="str">
            <v>MODEM  POWER SWITCHER WAVECOMM GSM</v>
          </cell>
          <cell r="C1579">
            <v>95</v>
          </cell>
          <cell r="D1579">
            <v>95</v>
          </cell>
          <cell r="E1579">
            <v>95</v>
          </cell>
          <cell r="F1579">
            <v>95</v>
          </cell>
          <cell r="G1579">
            <v>95</v>
          </cell>
          <cell r="H1579">
            <v>8.4619999999999997</v>
          </cell>
        </row>
        <row r="1580">
          <cell r="A1580" t="str">
            <v>MODRATA</v>
          </cell>
          <cell r="B1580" t="str">
            <v>MODEM  HILLTOP RADIO</v>
          </cell>
          <cell r="C1580">
            <v>850</v>
          </cell>
          <cell r="D1580">
            <v>850</v>
          </cell>
          <cell r="E1580">
            <v>850</v>
          </cell>
          <cell r="F1580">
            <v>850</v>
          </cell>
          <cell r="G1580">
            <v>850</v>
          </cell>
          <cell r="H1580">
            <v>636</v>
          </cell>
        </row>
        <row r="1581">
          <cell r="A1581" t="str">
            <v>MODRLC</v>
          </cell>
          <cell r="B1581" t="str">
            <v>MODEM RADIO LINE COMBINER  AQUITEL TO HI</v>
          </cell>
          <cell r="C1581">
            <v>410</v>
          </cell>
          <cell r="D1581">
            <v>410</v>
          </cell>
          <cell r="E1581">
            <v>410</v>
          </cell>
          <cell r="F1581">
            <v>410</v>
          </cell>
          <cell r="G1581">
            <v>410</v>
          </cell>
          <cell r="H1581">
            <v>0</v>
          </cell>
        </row>
        <row r="1582">
          <cell r="A1582" t="str">
            <v>MODWAVE</v>
          </cell>
          <cell r="B1582" t="str">
            <v>MODEM  WAVECOM GSM MODEL WM02-G900</v>
          </cell>
          <cell r="C1582">
            <v>350</v>
          </cell>
          <cell r="D1582">
            <v>375</v>
          </cell>
          <cell r="E1582">
            <v>375</v>
          </cell>
          <cell r="F1582">
            <v>375</v>
          </cell>
          <cell r="G1582">
            <v>375</v>
          </cell>
          <cell r="H1582">
            <v>285</v>
          </cell>
        </row>
        <row r="1583">
          <cell r="A1583" t="str">
            <v>MODXT</v>
          </cell>
          <cell r="B1583" t="str">
            <v>MOSEM HARVEST TELECOM</v>
          </cell>
          <cell r="C1583">
            <v>750</v>
          </cell>
          <cell r="D1583">
            <v>750</v>
          </cell>
          <cell r="E1583">
            <v>750</v>
          </cell>
          <cell r="F1583">
            <v>750</v>
          </cell>
          <cell r="G1583">
            <v>750</v>
          </cell>
          <cell r="H1583">
            <v>702.245</v>
          </cell>
        </row>
        <row r="1584">
          <cell r="A1584" t="str">
            <v>MOTAERI</v>
          </cell>
          <cell r="B1584" t="str">
            <v>MODEM  AERIAL CX-825 COAXIAL 0.5 WAVE</v>
          </cell>
          <cell r="C1584">
            <v>150</v>
          </cell>
          <cell r="D1584">
            <v>150</v>
          </cell>
          <cell r="E1584">
            <v>150</v>
          </cell>
          <cell r="F1584">
            <v>150</v>
          </cell>
          <cell r="G1584">
            <v>150</v>
          </cell>
          <cell r="H1584">
            <v>115.85</v>
          </cell>
          <cell r="I1584">
            <v>40268</v>
          </cell>
        </row>
        <row r="1585">
          <cell r="A1585" t="str">
            <v>MOTBRRA</v>
          </cell>
          <cell r="B1585" t="str">
            <v>AERIAL RIGHT ANGLE BRACKET (13mm HOLE)</v>
          </cell>
          <cell r="C1585">
            <v>14.25</v>
          </cell>
          <cell r="D1585">
            <v>18</v>
          </cell>
          <cell r="E1585">
            <v>18</v>
          </cell>
          <cell r="F1585">
            <v>18</v>
          </cell>
          <cell r="G1585">
            <v>18</v>
          </cell>
          <cell r="H1585">
            <v>7.49</v>
          </cell>
          <cell r="I1585">
            <v>39883</v>
          </cell>
        </row>
        <row r="1586">
          <cell r="A1586" t="str">
            <v>MOTCEDA</v>
          </cell>
          <cell r="B1586" t="str">
            <v>DATA CELLULAR CONNECTOR FOR MOTCEPH</v>
          </cell>
          <cell r="C1586">
            <v>385</v>
          </cell>
          <cell r="D1586">
            <v>385</v>
          </cell>
          <cell r="E1586">
            <v>385</v>
          </cell>
          <cell r="F1586">
            <v>385</v>
          </cell>
          <cell r="G1586">
            <v>385</v>
          </cell>
          <cell r="H1586">
            <v>0</v>
          </cell>
        </row>
        <row r="1587">
          <cell r="A1587" t="str">
            <v>MULTICH</v>
          </cell>
          <cell r="B1587" t="str">
            <v>MULTICHARGER 6 CHANNEL</v>
          </cell>
          <cell r="C1587">
            <v>0</v>
          </cell>
          <cell r="D1587">
            <v>300</v>
          </cell>
          <cell r="E1587">
            <v>300</v>
          </cell>
          <cell r="F1587">
            <v>300</v>
          </cell>
          <cell r="G1587">
            <v>300</v>
          </cell>
          <cell r="H1587">
            <v>0</v>
          </cell>
        </row>
        <row r="1588">
          <cell r="A1588" t="str">
            <v>MULTPCB</v>
          </cell>
          <cell r="B1588" t="str">
            <v>PCB  KAINGA MULTICHARGER</v>
          </cell>
          <cell r="C1588">
            <v>282.51</v>
          </cell>
          <cell r="D1588">
            <v>282.51</v>
          </cell>
          <cell r="E1588">
            <v>282.51</v>
          </cell>
          <cell r="F1588">
            <v>282.51</v>
          </cell>
          <cell r="G1588">
            <v>282.51</v>
          </cell>
          <cell r="H1588">
            <v>0</v>
          </cell>
        </row>
        <row r="1589">
          <cell r="A1589" t="str">
            <v>MUNPENP</v>
          </cell>
          <cell r="B1589" t="str">
            <v>MUNRO PEN POINT FOR #IM175 RECORDER</v>
          </cell>
          <cell r="C1589">
            <v>27.88</v>
          </cell>
          <cell r="D1589">
            <v>27.88</v>
          </cell>
          <cell r="E1589">
            <v>27.88</v>
          </cell>
          <cell r="F1589">
            <v>27.88</v>
          </cell>
          <cell r="G1589">
            <v>27.88</v>
          </cell>
          <cell r="H1589">
            <v>0</v>
          </cell>
        </row>
        <row r="1590">
          <cell r="A1590" t="str">
            <v>NEONBP</v>
          </cell>
          <cell r="B1590" t="str">
            <v>NEON MARINE ALKALINE BATTERY PACK</v>
          </cell>
          <cell r="C1590">
            <v>865</v>
          </cell>
          <cell r="D1590">
            <v>1095</v>
          </cell>
          <cell r="E1590">
            <v>1095</v>
          </cell>
          <cell r="F1590">
            <v>1095</v>
          </cell>
          <cell r="G1590">
            <v>1095</v>
          </cell>
          <cell r="H1590">
            <v>760.71400000000006</v>
          </cell>
        </row>
        <row r="1591">
          <cell r="A1591" t="str">
            <v>NEONMH</v>
          </cell>
          <cell r="B1591" t="str">
            <v>NEON MARINE HOUSING</v>
          </cell>
          <cell r="C1591">
            <v>3850</v>
          </cell>
          <cell r="D1591">
            <v>4745</v>
          </cell>
          <cell r="E1591">
            <v>4745</v>
          </cell>
          <cell r="F1591">
            <v>4745</v>
          </cell>
          <cell r="G1591">
            <v>4745</v>
          </cell>
          <cell r="H1591">
            <v>3650</v>
          </cell>
        </row>
        <row r="1592">
          <cell r="A1592" t="str">
            <v>NETDIDM</v>
          </cell>
          <cell r="B1592" t="str">
            <v>DIDYMO NET FILTER 40 MICRON 100x100mm</v>
          </cell>
          <cell r="C1592">
            <v>1.27</v>
          </cell>
          <cell r="D1592">
            <v>1.6</v>
          </cell>
          <cell r="E1592">
            <v>1.6</v>
          </cell>
          <cell r="F1592">
            <v>1.6</v>
          </cell>
          <cell r="G1592">
            <v>1.6</v>
          </cell>
          <cell r="H1592">
            <v>1.2</v>
          </cell>
          <cell r="I1592">
            <v>39884</v>
          </cell>
        </row>
        <row r="1593">
          <cell r="A1593" t="str">
            <v>NETDIDY</v>
          </cell>
          <cell r="B1593" t="str">
            <v>DIDYMO NET</v>
          </cell>
          <cell r="C1593">
            <v>239</v>
          </cell>
          <cell r="D1593">
            <v>295</v>
          </cell>
          <cell r="E1593">
            <v>295</v>
          </cell>
          <cell r="F1593">
            <v>295</v>
          </cell>
          <cell r="G1593">
            <v>295</v>
          </cell>
          <cell r="H1593">
            <v>227.053</v>
          </cell>
          <cell r="I1593">
            <v>40253</v>
          </cell>
        </row>
        <row r="1594">
          <cell r="A1594" t="str">
            <v>NETDIP</v>
          </cell>
          <cell r="B1594" t="str">
            <v>NET  DIP ON LONG BAMBOO HANDLE</v>
          </cell>
          <cell r="C1594">
            <v>0</v>
          </cell>
          <cell r="D1594">
            <v>150</v>
          </cell>
          <cell r="E1594">
            <v>150</v>
          </cell>
          <cell r="F1594">
            <v>150</v>
          </cell>
          <cell r="G1594">
            <v>150</v>
          </cell>
          <cell r="H1594">
            <v>0</v>
          </cell>
        </row>
        <row r="1595">
          <cell r="A1595" t="str">
            <v>NETKICK</v>
          </cell>
          <cell r="B1595" t="str">
            <v>KICK NET</v>
          </cell>
          <cell r="C1595">
            <v>443</v>
          </cell>
          <cell r="D1595">
            <v>443.3</v>
          </cell>
          <cell r="E1595">
            <v>443.3</v>
          </cell>
          <cell r="F1595">
            <v>443.3</v>
          </cell>
          <cell r="G1595">
            <v>443.3</v>
          </cell>
          <cell r="H1595">
            <v>421.17599999999999</v>
          </cell>
          <cell r="I1595">
            <v>39884</v>
          </cell>
        </row>
        <row r="1596">
          <cell r="A1596" t="str">
            <v>NETSTNE</v>
          </cell>
          <cell r="B1596" t="str">
            <v>NET FOR STOP NET</v>
          </cell>
          <cell r="C1596">
            <v>111.3</v>
          </cell>
          <cell r="D1596">
            <v>137.11000000000001</v>
          </cell>
          <cell r="E1596">
            <v>137.11000000000001</v>
          </cell>
          <cell r="F1596">
            <v>137.11000000000001</v>
          </cell>
          <cell r="G1596">
            <v>137.11000000000001</v>
          </cell>
          <cell r="H1596">
            <v>94.858000000000004</v>
          </cell>
          <cell r="I1596">
            <v>40017</v>
          </cell>
        </row>
        <row r="1597">
          <cell r="A1597" t="str">
            <v>NETSTOP</v>
          </cell>
          <cell r="B1597" t="str">
            <v>STOP NET</v>
          </cell>
          <cell r="C1597">
            <v>225</v>
          </cell>
          <cell r="D1597">
            <v>252.33</v>
          </cell>
          <cell r="E1597">
            <v>252.33</v>
          </cell>
          <cell r="F1597">
            <v>252.33</v>
          </cell>
          <cell r="G1597">
            <v>252.33</v>
          </cell>
          <cell r="H1597">
            <v>207.51</v>
          </cell>
          <cell r="I1597">
            <v>40017</v>
          </cell>
        </row>
        <row r="1598">
          <cell r="A1598" t="str">
            <v>NOTERIR</v>
          </cell>
          <cell r="B1598" t="str">
            <v>RITE IN THE RAIN JOURNAL NOTEBOOK</v>
          </cell>
          <cell r="C1598">
            <v>19.95</v>
          </cell>
          <cell r="D1598">
            <v>19.95</v>
          </cell>
          <cell r="E1598">
            <v>19.95</v>
          </cell>
          <cell r="F1598">
            <v>19.95</v>
          </cell>
          <cell r="G1598">
            <v>19.95</v>
          </cell>
          <cell r="H1598">
            <v>19</v>
          </cell>
        </row>
        <row r="1599">
          <cell r="A1599" t="str">
            <v>NUT-SS05</v>
          </cell>
          <cell r="B1599" t="str">
            <v>NUT M5 S/STEEL HEX</v>
          </cell>
          <cell r="C1599">
            <v>0.3</v>
          </cell>
          <cell r="D1599">
            <v>0.3</v>
          </cell>
          <cell r="E1599">
            <v>0.3</v>
          </cell>
          <cell r="F1599">
            <v>0.3</v>
          </cell>
          <cell r="G1599">
            <v>0.3</v>
          </cell>
          <cell r="H1599">
            <v>8.7999999999999995E-2</v>
          </cell>
        </row>
        <row r="1600">
          <cell r="A1600" t="str">
            <v>NUT-SS05D</v>
          </cell>
          <cell r="B1600" t="str">
            <v>NUT M5 S/STEEL DOME</v>
          </cell>
          <cell r="C1600">
            <v>1.5</v>
          </cell>
          <cell r="D1600">
            <v>1.5</v>
          </cell>
          <cell r="E1600">
            <v>1.5</v>
          </cell>
          <cell r="F1600">
            <v>1.5</v>
          </cell>
          <cell r="G1600">
            <v>1.5</v>
          </cell>
          <cell r="H1600">
            <v>0</v>
          </cell>
        </row>
        <row r="1601">
          <cell r="A1601" t="str">
            <v>NUT-SS06</v>
          </cell>
          <cell r="B1601" t="str">
            <v>NUT M6 S/STEEL HEX</v>
          </cell>
          <cell r="C1601">
            <v>0.3</v>
          </cell>
          <cell r="D1601">
            <v>0.3</v>
          </cell>
          <cell r="E1601">
            <v>0.3</v>
          </cell>
          <cell r="F1601">
            <v>0.3</v>
          </cell>
          <cell r="G1601">
            <v>0.3</v>
          </cell>
          <cell r="H1601">
            <v>0.15</v>
          </cell>
        </row>
        <row r="1602">
          <cell r="A1602" t="str">
            <v>NUT-SS08</v>
          </cell>
          <cell r="B1602" t="str">
            <v>NUT M8 S/STEEL HEX</v>
          </cell>
          <cell r="C1602">
            <v>0.3</v>
          </cell>
          <cell r="D1602">
            <v>0.3</v>
          </cell>
          <cell r="E1602">
            <v>0.3</v>
          </cell>
          <cell r="F1602">
            <v>0.3</v>
          </cell>
          <cell r="G1602">
            <v>0.3</v>
          </cell>
          <cell r="H1602">
            <v>0.22</v>
          </cell>
        </row>
        <row r="1603">
          <cell r="A1603" t="str">
            <v>NUT-SS10</v>
          </cell>
          <cell r="B1603" t="str">
            <v>NUT M10 S/STEEL HEX</v>
          </cell>
          <cell r="C1603">
            <v>0.54</v>
          </cell>
          <cell r="D1603">
            <v>0.54</v>
          </cell>
          <cell r="E1603">
            <v>0.54</v>
          </cell>
          <cell r="F1603">
            <v>0.54</v>
          </cell>
          <cell r="G1603">
            <v>0.54</v>
          </cell>
          <cell r="H1603">
            <v>0.56999999999999995</v>
          </cell>
        </row>
        <row r="1604">
          <cell r="A1604" t="str">
            <v>OBS3</v>
          </cell>
          <cell r="B1604" t="str">
            <v>OBS-3+ TURBIDITY SENSOR</v>
          </cell>
          <cell r="C1604">
            <v>0</v>
          </cell>
          <cell r="D1604">
            <v>0</v>
          </cell>
          <cell r="E1604">
            <v>0</v>
          </cell>
          <cell r="F1604">
            <v>0</v>
          </cell>
          <cell r="G1604">
            <v>0</v>
          </cell>
          <cell r="H1604">
            <v>4095</v>
          </cell>
        </row>
        <row r="1605">
          <cell r="A1605" t="str">
            <v>OBSHOUS</v>
          </cell>
          <cell r="B1605" t="str">
            <v>HOUSING  OBS TURBIDITY SENSOR</v>
          </cell>
          <cell r="C1605">
            <v>225</v>
          </cell>
          <cell r="D1605">
            <v>225</v>
          </cell>
          <cell r="E1605">
            <v>225</v>
          </cell>
          <cell r="F1605">
            <v>225</v>
          </cell>
          <cell r="G1605">
            <v>225</v>
          </cell>
          <cell r="H1605">
            <v>150</v>
          </cell>
        </row>
        <row r="1606">
          <cell r="A1606" t="str">
            <v>OCTFRPL</v>
          </cell>
          <cell r="B1606" t="str">
            <v>OCTAPENT RAINGAUGE FROST PLUG</v>
          </cell>
          <cell r="C1606">
            <v>60</v>
          </cell>
          <cell r="D1606">
            <v>60</v>
          </cell>
          <cell r="E1606">
            <v>60</v>
          </cell>
          <cell r="F1606">
            <v>60</v>
          </cell>
          <cell r="G1606">
            <v>60</v>
          </cell>
          <cell r="H1606">
            <v>0</v>
          </cell>
        </row>
        <row r="1607">
          <cell r="A1607" t="str">
            <v>OCTMERG</v>
          </cell>
          <cell r="B1607" t="str">
            <v>"OCTAPENT RAINGAUGE MEASURE (27 &amp; 50"" M</v>
          </cell>
          <cell r="C1607">
            <v>67</v>
          </cell>
          <cell r="D1607">
            <v>83</v>
          </cell>
          <cell r="E1607">
            <v>83</v>
          </cell>
          <cell r="F1607">
            <v>83</v>
          </cell>
          <cell r="G1607">
            <v>83</v>
          </cell>
          <cell r="H1607">
            <v>0</v>
          </cell>
          <cell r="I1607">
            <v>39883</v>
          </cell>
        </row>
        <row r="1608">
          <cell r="A1608" t="str">
            <v>OCTRGDS</v>
          </cell>
          <cell r="B1608" t="str">
            <v>OCTAPENT RAINGAUGE DIPSTICK 700mm LONG</v>
          </cell>
          <cell r="C1608">
            <v>114.08</v>
          </cell>
          <cell r="D1608">
            <v>141.25</v>
          </cell>
          <cell r="E1608">
            <v>141.25</v>
          </cell>
          <cell r="F1608">
            <v>141.25</v>
          </cell>
          <cell r="G1608">
            <v>141.25</v>
          </cell>
          <cell r="H1608">
            <v>108.655</v>
          </cell>
          <cell r="I1608">
            <v>39883</v>
          </cell>
        </row>
        <row r="1609">
          <cell r="A1609" t="str">
            <v>OPTISO</v>
          </cell>
          <cell r="B1609" t="str">
            <v>RS-232 OPTICAL ISOLATOR #232SPHI4</v>
          </cell>
          <cell r="C1609">
            <v>210</v>
          </cell>
          <cell r="D1609">
            <v>210</v>
          </cell>
          <cell r="E1609">
            <v>210</v>
          </cell>
          <cell r="F1609">
            <v>210</v>
          </cell>
          <cell r="G1609">
            <v>210</v>
          </cell>
          <cell r="H1609">
            <v>161.57900000000001</v>
          </cell>
        </row>
        <row r="1610">
          <cell r="A1610" t="str">
            <v>OSSB1FC</v>
          </cell>
          <cell r="B1610" t="str">
            <v>OSS B1 CURRENT METER FAN CARRIER</v>
          </cell>
          <cell r="C1610">
            <v>375</v>
          </cell>
          <cell r="D1610">
            <v>460</v>
          </cell>
          <cell r="E1610">
            <v>460</v>
          </cell>
          <cell r="F1610">
            <v>460</v>
          </cell>
          <cell r="G1610">
            <v>460</v>
          </cell>
          <cell r="H1610">
            <v>466.49200000000002</v>
          </cell>
          <cell r="I1610">
            <v>39899</v>
          </cell>
        </row>
        <row r="1611">
          <cell r="A1611" t="str">
            <v>OSSBEP1</v>
          </cell>
          <cell r="B1611" t="str">
            <v>OSS CURRENT METER BEARING (4x8x3mm)</v>
          </cell>
          <cell r="C1611">
            <v>15</v>
          </cell>
          <cell r="D1611">
            <v>15</v>
          </cell>
          <cell r="E1611">
            <v>15</v>
          </cell>
          <cell r="F1611">
            <v>15</v>
          </cell>
          <cell r="G1611">
            <v>15</v>
          </cell>
          <cell r="H1611">
            <v>11</v>
          </cell>
        </row>
        <row r="1612">
          <cell r="A1612" t="str">
            <v>OSSCOWA</v>
          </cell>
          <cell r="B1612" t="str">
            <v>OSS CURRENT METER WADING ROD CONNECTOR</v>
          </cell>
          <cell r="C1612">
            <v>168</v>
          </cell>
          <cell r="D1612">
            <v>168</v>
          </cell>
          <cell r="E1612">
            <v>168</v>
          </cell>
          <cell r="F1612">
            <v>168</v>
          </cell>
          <cell r="G1612">
            <v>168</v>
          </cell>
          <cell r="H1612">
            <v>0</v>
          </cell>
        </row>
        <row r="1613">
          <cell r="A1613" t="str">
            <v>OSSCUME</v>
          </cell>
          <cell r="B1613" t="str">
            <v>OSS PC1 CURRENT METER</v>
          </cell>
          <cell r="C1613">
            <v>6250</v>
          </cell>
          <cell r="D1613">
            <v>7395</v>
          </cell>
          <cell r="E1613">
            <v>7395</v>
          </cell>
          <cell r="F1613">
            <v>7395</v>
          </cell>
          <cell r="G1613">
            <v>7395</v>
          </cell>
          <cell r="H1613">
            <v>5918.3540000000003</v>
          </cell>
        </row>
        <row r="1614">
          <cell r="A1614" t="str">
            <v>OSSSHAFT</v>
          </cell>
          <cell r="B1614" t="str">
            <v>OSS CURRENT METER SHAFT</v>
          </cell>
          <cell r="C1614">
            <v>288.75</v>
          </cell>
          <cell r="D1614">
            <v>357.5</v>
          </cell>
          <cell r="E1614">
            <v>357.5</v>
          </cell>
          <cell r="F1614">
            <v>357.5</v>
          </cell>
          <cell r="G1614">
            <v>357.5</v>
          </cell>
          <cell r="H1614">
            <v>0</v>
          </cell>
          <cell r="I1614">
            <v>39883</v>
          </cell>
        </row>
        <row r="1615">
          <cell r="A1615" t="str">
            <v>OTABASE</v>
          </cell>
          <cell r="B1615" t="str">
            <v>OTA RAINGAUGE BASE PVC</v>
          </cell>
          <cell r="C1615">
            <v>210</v>
          </cell>
          <cell r="D1615">
            <v>285</v>
          </cell>
          <cell r="E1615">
            <v>285</v>
          </cell>
          <cell r="F1615">
            <v>285</v>
          </cell>
          <cell r="G1615">
            <v>285</v>
          </cell>
          <cell r="H1615">
            <v>217.3</v>
          </cell>
          <cell r="I1615">
            <v>40200</v>
          </cell>
        </row>
        <row r="1616">
          <cell r="A1616" t="str">
            <v>OTABESC</v>
          </cell>
          <cell r="B1616" t="str">
            <v>OTA RAINGAUGE BEARING SCREWS</v>
          </cell>
          <cell r="C1616">
            <v>75</v>
          </cell>
          <cell r="D1616">
            <v>75</v>
          </cell>
          <cell r="E1616">
            <v>75</v>
          </cell>
          <cell r="F1616">
            <v>75</v>
          </cell>
          <cell r="G1616">
            <v>75</v>
          </cell>
          <cell r="H1616">
            <v>0</v>
          </cell>
        </row>
        <row r="1617">
          <cell r="A1617" t="str">
            <v>OTABOSP</v>
          </cell>
          <cell r="B1617" t="str">
            <v>PCB  OTA SPLITTER</v>
          </cell>
          <cell r="C1617">
            <v>45</v>
          </cell>
          <cell r="D1617">
            <v>45</v>
          </cell>
          <cell r="E1617">
            <v>45</v>
          </cell>
          <cell r="F1617">
            <v>45</v>
          </cell>
          <cell r="G1617">
            <v>45</v>
          </cell>
          <cell r="H1617">
            <v>0</v>
          </cell>
        </row>
        <row r="1618">
          <cell r="A1618" t="str">
            <v>OTABRRL</v>
          </cell>
          <cell r="B1618" t="str">
            <v>OTA BEARING RECEIVER</v>
          </cell>
          <cell r="C1618">
            <v>105</v>
          </cell>
          <cell r="D1618">
            <v>105</v>
          </cell>
          <cell r="E1618">
            <v>105</v>
          </cell>
          <cell r="F1618">
            <v>105</v>
          </cell>
          <cell r="G1618">
            <v>105</v>
          </cell>
          <cell r="H1618">
            <v>0</v>
          </cell>
        </row>
        <row r="1619">
          <cell r="A1619" t="str">
            <v>OTABUAS</v>
          </cell>
          <cell r="B1619" t="str">
            <v>OTA BUCKET ASSEMBLY</v>
          </cell>
          <cell r="C1619">
            <v>345.89</v>
          </cell>
          <cell r="D1619">
            <v>345.89</v>
          </cell>
          <cell r="E1619">
            <v>345.89</v>
          </cell>
          <cell r="F1619">
            <v>345.89</v>
          </cell>
          <cell r="G1619">
            <v>345.89</v>
          </cell>
          <cell r="H1619">
            <v>0</v>
          </cell>
        </row>
        <row r="1620">
          <cell r="A1620" t="str">
            <v>OTABULE</v>
          </cell>
          <cell r="B1620" t="str">
            <v>OTA BULLS EYE LEVEL M16</v>
          </cell>
          <cell r="C1620">
            <v>28.35</v>
          </cell>
          <cell r="D1620">
            <v>35.1</v>
          </cell>
          <cell r="E1620">
            <v>35.1</v>
          </cell>
          <cell r="F1620">
            <v>35.1</v>
          </cell>
          <cell r="G1620">
            <v>35.1</v>
          </cell>
          <cell r="H1620">
            <v>35</v>
          </cell>
          <cell r="I1620">
            <v>39883</v>
          </cell>
        </row>
        <row r="1621">
          <cell r="A1621" t="str">
            <v>OTABUSH</v>
          </cell>
          <cell r="B1621" t="str">
            <v>OTA SHAFT BUSH (OLD HOLE THRU' TYPE)</v>
          </cell>
          <cell r="C1621">
            <v>27</v>
          </cell>
          <cell r="D1621">
            <v>27</v>
          </cell>
          <cell r="E1621">
            <v>27</v>
          </cell>
          <cell r="F1621">
            <v>27</v>
          </cell>
          <cell r="G1621">
            <v>27</v>
          </cell>
          <cell r="H1621">
            <v>0</v>
          </cell>
        </row>
        <row r="1622">
          <cell r="A1622" t="str">
            <v>OTABUSN</v>
          </cell>
          <cell r="B1622" t="str">
            <v>OTA SCREWED BUSH FOR BUCKET SUPPORT.</v>
          </cell>
          <cell r="C1622">
            <v>55.7</v>
          </cell>
          <cell r="D1622">
            <v>55.7</v>
          </cell>
          <cell r="E1622">
            <v>55.7</v>
          </cell>
          <cell r="F1622">
            <v>55.7</v>
          </cell>
          <cell r="G1622">
            <v>55.7</v>
          </cell>
          <cell r="H1622">
            <v>0</v>
          </cell>
        </row>
        <row r="1623">
          <cell r="A1623" t="str">
            <v>OTACOVR</v>
          </cell>
          <cell r="B1623" t="str">
            <v>OTA COVER</v>
          </cell>
          <cell r="C1623">
            <v>285</v>
          </cell>
          <cell r="D1623">
            <v>285</v>
          </cell>
          <cell r="E1623">
            <v>285</v>
          </cell>
          <cell r="F1623">
            <v>285</v>
          </cell>
          <cell r="G1623">
            <v>285</v>
          </cell>
          <cell r="H1623">
            <v>213</v>
          </cell>
        </row>
        <row r="1624">
          <cell r="A1624" t="str">
            <v>OTAFICU</v>
          </cell>
          <cell r="B1624" t="str">
            <v>OTA INLET FILTER</v>
          </cell>
          <cell r="C1624">
            <v>19</v>
          </cell>
          <cell r="D1624">
            <v>19</v>
          </cell>
          <cell r="E1624">
            <v>19</v>
          </cell>
          <cell r="F1624">
            <v>19</v>
          </cell>
          <cell r="G1624">
            <v>19</v>
          </cell>
          <cell r="H1624">
            <v>14.14</v>
          </cell>
          <cell r="I1624">
            <v>40269</v>
          </cell>
        </row>
        <row r="1625">
          <cell r="A1625" t="str">
            <v>OTAFILA</v>
          </cell>
          <cell r="B1625" t="str">
            <v>OTA LARGE FILTER</v>
          </cell>
          <cell r="C1625">
            <v>45</v>
          </cell>
          <cell r="D1625">
            <v>45</v>
          </cell>
          <cell r="E1625">
            <v>45</v>
          </cell>
          <cell r="F1625">
            <v>45</v>
          </cell>
          <cell r="G1625">
            <v>45</v>
          </cell>
          <cell r="H1625">
            <v>36.4</v>
          </cell>
        </row>
        <row r="1626">
          <cell r="A1626" t="str">
            <v>OTAFISF</v>
          </cell>
          <cell r="B1626" t="str">
            <v>OTA OUTLET FILTER (38mm DIA)</v>
          </cell>
          <cell r="C1626">
            <v>10</v>
          </cell>
          <cell r="D1626">
            <v>10</v>
          </cell>
          <cell r="E1626">
            <v>10</v>
          </cell>
          <cell r="F1626">
            <v>10</v>
          </cell>
          <cell r="G1626">
            <v>10</v>
          </cell>
          <cell r="H1626">
            <v>0</v>
          </cell>
        </row>
        <row r="1627">
          <cell r="A1627" t="str">
            <v>OTAFISM</v>
          </cell>
          <cell r="B1627" t="str">
            <v>OTA SMALL FILTER (INLET CUP TYPE)</v>
          </cell>
          <cell r="C1627">
            <v>3</v>
          </cell>
          <cell r="D1627">
            <v>3</v>
          </cell>
          <cell r="E1627">
            <v>3</v>
          </cell>
          <cell r="F1627">
            <v>3</v>
          </cell>
          <cell r="G1627">
            <v>3</v>
          </cell>
          <cell r="H1627">
            <v>0</v>
          </cell>
        </row>
        <row r="1628">
          <cell r="A1628" t="str">
            <v>OTALEMO</v>
          </cell>
          <cell r="B1628" t="str">
            <v>OTA MOUNTING LEGS</v>
          </cell>
          <cell r="C1628">
            <v>15</v>
          </cell>
          <cell r="D1628">
            <v>15</v>
          </cell>
          <cell r="E1628">
            <v>15</v>
          </cell>
          <cell r="F1628">
            <v>15</v>
          </cell>
          <cell r="G1628">
            <v>15</v>
          </cell>
          <cell r="H1628">
            <v>9.36</v>
          </cell>
        </row>
        <row r="1629">
          <cell r="A1629" t="str">
            <v>OTAMAGN</v>
          </cell>
          <cell r="B1629" t="str">
            <v>OTA MAGNET MECHANISM</v>
          </cell>
          <cell r="C1629">
            <v>11.25</v>
          </cell>
          <cell r="D1629">
            <v>11.25</v>
          </cell>
          <cell r="E1629">
            <v>11.25</v>
          </cell>
          <cell r="F1629">
            <v>11.25</v>
          </cell>
          <cell r="G1629">
            <v>11.25</v>
          </cell>
          <cell r="H1629">
            <v>0</v>
          </cell>
        </row>
        <row r="1630">
          <cell r="A1630" t="str">
            <v>OTAPABA</v>
          </cell>
          <cell r="B1630" t="str">
            <v>OTA RAINGAUGE STRIP/PAINT BASE</v>
          </cell>
          <cell r="C1630">
            <v>52.5</v>
          </cell>
          <cell r="D1630">
            <v>65</v>
          </cell>
          <cell r="E1630">
            <v>65</v>
          </cell>
          <cell r="F1630">
            <v>65</v>
          </cell>
          <cell r="G1630">
            <v>65</v>
          </cell>
          <cell r="H1630">
            <v>50</v>
          </cell>
          <cell r="I1630">
            <v>39883</v>
          </cell>
        </row>
        <row r="1631">
          <cell r="A1631" t="str">
            <v>OTAPACO</v>
          </cell>
          <cell r="B1631" t="str">
            <v>OTA RAINGAUGE STRIP/PAINT COVER</v>
          </cell>
          <cell r="C1631">
            <v>110</v>
          </cell>
          <cell r="D1631">
            <v>110</v>
          </cell>
          <cell r="E1631">
            <v>110</v>
          </cell>
          <cell r="F1631">
            <v>110</v>
          </cell>
          <cell r="G1631">
            <v>110</v>
          </cell>
          <cell r="H1631">
            <v>85</v>
          </cell>
        </row>
        <row r="1632">
          <cell r="A1632" t="str">
            <v>OTAPALE</v>
          </cell>
          <cell r="B1632" t="str">
            <v>OTA RAINGAUGE STRIP/PAINT LEGS</v>
          </cell>
          <cell r="C1632">
            <v>12</v>
          </cell>
          <cell r="D1632">
            <v>12</v>
          </cell>
          <cell r="E1632">
            <v>12</v>
          </cell>
          <cell r="F1632">
            <v>12</v>
          </cell>
          <cell r="G1632">
            <v>12</v>
          </cell>
          <cell r="H1632">
            <v>9</v>
          </cell>
        </row>
        <row r="1633">
          <cell r="A1633" t="str">
            <v>OTAPIKI</v>
          </cell>
          <cell r="B1633" t="str">
            <v>OTA PIVOT KIT</v>
          </cell>
          <cell r="C1633">
            <v>420</v>
          </cell>
          <cell r="D1633">
            <v>420</v>
          </cell>
          <cell r="E1633">
            <v>420</v>
          </cell>
          <cell r="F1633">
            <v>420</v>
          </cell>
          <cell r="G1633">
            <v>420</v>
          </cell>
          <cell r="H1633">
            <v>318</v>
          </cell>
        </row>
        <row r="1634">
          <cell r="A1634" t="str">
            <v>OTAREBR</v>
          </cell>
          <cell r="B1634" t="str">
            <v>OTA BEARING RECEIVER (NEW TYPE)</v>
          </cell>
          <cell r="C1634">
            <v>100</v>
          </cell>
          <cell r="D1634">
            <v>100</v>
          </cell>
          <cell r="E1634">
            <v>100</v>
          </cell>
          <cell r="F1634">
            <v>100</v>
          </cell>
          <cell r="G1634">
            <v>100</v>
          </cell>
          <cell r="H1634">
            <v>0</v>
          </cell>
        </row>
        <row r="1635">
          <cell r="A1635" t="str">
            <v>OTASHBN</v>
          </cell>
          <cell r="B1635" t="str">
            <v>OTA BUCKET SHAFT (NEW TYPE)</v>
          </cell>
          <cell r="C1635">
            <v>12.51</v>
          </cell>
          <cell r="D1635">
            <v>12.51</v>
          </cell>
          <cell r="E1635">
            <v>12.51</v>
          </cell>
          <cell r="F1635">
            <v>12.51</v>
          </cell>
          <cell r="G1635">
            <v>12.51</v>
          </cell>
          <cell r="H1635">
            <v>14.82</v>
          </cell>
        </row>
        <row r="1636">
          <cell r="A1636" t="str">
            <v>OTASHBO</v>
          </cell>
          <cell r="B1636" t="str">
            <v>OTA BUCKET SHAFT (OLD WAISTED TYPE)</v>
          </cell>
          <cell r="C1636">
            <v>90.42</v>
          </cell>
          <cell r="D1636">
            <v>90.42</v>
          </cell>
          <cell r="E1636">
            <v>90.42</v>
          </cell>
          <cell r="F1636">
            <v>90.42</v>
          </cell>
          <cell r="G1636">
            <v>90.42</v>
          </cell>
          <cell r="H1636">
            <v>0</v>
          </cell>
        </row>
        <row r="1637">
          <cell r="A1637" t="str">
            <v>OTASPCO</v>
          </cell>
          <cell r="B1637" t="str">
            <v>OTA SPLITTER COMPLETE</v>
          </cell>
          <cell r="C1637">
            <v>130</v>
          </cell>
          <cell r="D1637">
            <v>130</v>
          </cell>
          <cell r="E1637">
            <v>130</v>
          </cell>
          <cell r="F1637">
            <v>130</v>
          </cell>
          <cell r="G1637">
            <v>130</v>
          </cell>
          <cell r="H1637">
            <v>120.577</v>
          </cell>
          <cell r="I1637">
            <v>39882</v>
          </cell>
        </row>
        <row r="1638">
          <cell r="A1638" t="str">
            <v>OTASWRE</v>
          </cell>
          <cell r="B1638" t="str">
            <v>OTA REED SWITCH</v>
          </cell>
          <cell r="C1638">
            <v>25</v>
          </cell>
          <cell r="D1638">
            <v>25</v>
          </cell>
          <cell r="E1638">
            <v>25</v>
          </cell>
          <cell r="F1638">
            <v>25</v>
          </cell>
          <cell r="G1638">
            <v>25</v>
          </cell>
          <cell r="H1638">
            <v>13.4</v>
          </cell>
        </row>
        <row r="1639">
          <cell r="A1639" t="str">
            <v>OTATBR2</v>
          </cell>
          <cell r="B1639" t="str">
            <v>OTA RAINGAUGE 0.2mm (INC CALIBRATION)</v>
          </cell>
          <cell r="C1639">
            <v>1770</v>
          </cell>
          <cell r="D1639">
            <v>1770</v>
          </cell>
          <cell r="E1639">
            <v>1770</v>
          </cell>
          <cell r="F1639">
            <v>1770</v>
          </cell>
          <cell r="G1639">
            <v>1770</v>
          </cell>
          <cell r="H1639">
            <v>715.74</v>
          </cell>
        </row>
        <row r="1640">
          <cell r="A1640" t="str">
            <v>OTATBR2W</v>
          </cell>
          <cell r="B1640" t="str">
            <v>OTA RAINGAUGE 0.2mm - WAISTED VERSION</v>
          </cell>
          <cell r="C1640">
            <v>1850</v>
          </cell>
          <cell r="D1640">
            <v>1850</v>
          </cell>
          <cell r="E1640">
            <v>1850</v>
          </cell>
          <cell r="F1640">
            <v>1850</v>
          </cell>
          <cell r="G1640">
            <v>1850</v>
          </cell>
          <cell r="H1640">
            <v>985.8</v>
          </cell>
        </row>
        <row r="1641">
          <cell r="A1641" t="str">
            <v>OTATBR5</v>
          </cell>
          <cell r="B1641" t="str">
            <v>OTA RAINGAUGE 0.5mm (INC CALIBRATION)</v>
          </cell>
          <cell r="C1641">
            <v>1770</v>
          </cell>
          <cell r="D1641">
            <v>1770</v>
          </cell>
          <cell r="E1641">
            <v>1770</v>
          </cell>
          <cell r="F1641">
            <v>1770</v>
          </cell>
          <cell r="G1641">
            <v>1770</v>
          </cell>
          <cell r="H1641">
            <v>357.87</v>
          </cell>
        </row>
        <row r="1642">
          <cell r="A1642" t="str">
            <v>OTATBR5W</v>
          </cell>
          <cell r="B1642" t="str">
            <v>OTA RAINGAUGE 0.5mm - WAISTED VERSION</v>
          </cell>
          <cell r="C1642">
            <v>1850</v>
          </cell>
          <cell r="D1642">
            <v>1850</v>
          </cell>
          <cell r="E1642">
            <v>1850</v>
          </cell>
          <cell r="F1642">
            <v>1850</v>
          </cell>
          <cell r="G1642">
            <v>1850</v>
          </cell>
          <cell r="H1642">
            <v>994.87900000000002</v>
          </cell>
        </row>
        <row r="1643">
          <cell r="A1643" t="str">
            <v>OTLAXME</v>
          </cell>
          <cell r="B1643" t="str">
            <v>LARGE OTT CURRENT METER AXLE (PT # 28)</v>
          </cell>
          <cell r="C1643">
            <v>650</v>
          </cell>
          <cell r="D1643">
            <v>803</v>
          </cell>
          <cell r="E1643">
            <v>803</v>
          </cell>
          <cell r="F1643">
            <v>803</v>
          </cell>
          <cell r="G1643">
            <v>803</v>
          </cell>
          <cell r="H1643">
            <v>620</v>
          </cell>
          <cell r="I1643">
            <v>39883</v>
          </cell>
        </row>
        <row r="1644">
          <cell r="A1644" t="str">
            <v>OTLBEAR</v>
          </cell>
          <cell r="B1644" t="str">
            <v>LARGE OTT CURRENT METER DEEP GROOVE BALL</v>
          </cell>
          <cell r="C1644">
            <v>61</v>
          </cell>
          <cell r="D1644">
            <v>75</v>
          </cell>
          <cell r="E1644">
            <v>75</v>
          </cell>
          <cell r="F1644">
            <v>75</v>
          </cell>
          <cell r="G1644">
            <v>75</v>
          </cell>
          <cell r="H1644">
            <v>65.150000000000006</v>
          </cell>
          <cell r="I1644">
            <v>39883</v>
          </cell>
        </row>
        <row r="1645">
          <cell r="A1645" t="str">
            <v>OTLBOLO</v>
          </cell>
          <cell r="B1645" t="str">
            <v>LARGE OTT CURRENT METER LOCKING BOLT</v>
          </cell>
          <cell r="C1645">
            <v>25</v>
          </cell>
          <cell r="D1645">
            <v>25</v>
          </cell>
          <cell r="E1645">
            <v>25</v>
          </cell>
          <cell r="F1645">
            <v>25</v>
          </cell>
          <cell r="G1645">
            <v>25</v>
          </cell>
          <cell r="H1645">
            <v>0</v>
          </cell>
        </row>
        <row r="1646">
          <cell r="A1646" t="str">
            <v>OTLBOTH</v>
          </cell>
          <cell r="B1646" t="str">
            <v>LARGE OTT CURRENT METER THREADED BOLT</v>
          </cell>
          <cell r="C1646">
            <v>30</v>
          </cell>
          <cell r="D1646">
            <v>30</v>
          </cell>
          <cell r="E1646">
            <v>30</v>
          </cell>
          <cell r="F1646">
            <v>30</v>
          </cell>
          <cell r="G1646">
            <v>30</v>
          </cell>
          <cell r="H1646">
            <v>0</v>
          </cell>
        </row>
        <row r="1647">
          <cell r="A1647" t="str">
            <v>OTLBUIN</v>
          </cell>
          <cell r="B1647" t="str">
            <v>LARGE OTT CURRENT METER SHORT INSULATING</v>
          </cell>
          <cell r="C1647">
            <v>27.02</v>
          </cell>
          <cell r="D1647">
            <v>27.02</v>
          </cell>
          <cell r="E1647">
            <v>27.02</v>
          </cell>
          <cell r="F1647">
            <v>27.02</v>
          </cell>
          <cell r="G1647">
            <v>27.02</v>
          </cell>
          <cell r="H1647">
            <v>0</v>
          </cell>
        </row>
        <row r="1648">
          <cell r="A1648" t="str">
            <v>OTLBUIS</v>
          </cell>
          <cell r="B1648" t="str">
            <v>LARGE OTT CURRENT METER INSULATING BUSH</v>
          </cell>
          <cell r="C1648">
            <v>27</v>
          </cell>
          <cell r="D1648">
            <v>27</v>
          </cell>
          <cell r="E1648">
            <v>27</v>
          </cell>
          <cell r="F1648">
            <v>27</v>
          </cell>
          <cell r="G1648">
            <v>27</v>
          </cell>
          <cell r="H1648">
            <v>0</v>
          </cell>
        </row>
        <row r="1649">
          <cell r="A1649" t="str">
            <v>OTLCA4M</v>
          </cell>
          <cell r="B1649" t="str">
            <v>LARGE OTT CURRENT METER CONNECTING CABLE</v>
          </cell>
          <cell r="C1649">
            <v>323</v>
          </cell>
          <cell r="D1649">
            <v>404</v>
          </cell>
          <cell r="E1649">
            <v>404</v>
          </cell>
          <cell r="F1649">
            <v>404</v>
          </cell>
          <cell r="G1649">
            <v>404</v>
          </cell>
          <cell r="H1649">
            <v>0</v>
          </cell>
          <cell r="I1649">
            <v>39988</v>
          </cell>
        </row>
        <row r="1650">
          <cell r="A1650" t="str">
            <v>OTLCUME</v>
          </cell>
          <cell r="B1650" t="str">
            <v>LARGE OTT CURRENT METER C-W PROPS 1 &amp; 2</v>
          </cell>
          <cell r="C1650">
            <v>5190</v>
          </cell>
          <cell r="D1650">
            <v>5190</v>
          </cell>
          <cell r="E1650">
            <v>5190</v>
          </cell>
          <cell r="F1650">
            <v>5190</v>
          </cell>
          <cell r="G1650">
            <v>5190</v>
          </cell>
          <cell r="H1650">
            <v>0</v>
          </cell>
        </row>
        <row r="1651">
          <cell r="A1651" t="str">
            <v>OTLHABA</v>
          </cell>
          <cell r="B1651" t="str">
            <v>LARGE OTT CURRENT METER HANGER BAR</v>
          </cell>
          <cell r="C1651">
            <v>312.5</v>
          </cell>
          <cell r="D1651">
            <v>312.5</v>
          </cell>
          <cell r="E1651">
            <v>312.5</v>
          </cell>
          <cell r="F1651">
            <v>312.5</v>
          </cell>
          <cell r="G1651">
            <v>312.5</v>
          </cell>
          <cell r="H1651">
            <v>226</v>
          </cell>
        </row>
        <row r="1652">
          <cell r="A1652" t="str">
            <v>OTLHBSP</v>
          </cell>
          <cell r="B1652" t="str">
            <v>LARGE OTT CURRENT METER HANGAR BAR SHEAR</v>
          </cell>
          <cell r="C1652">
            <v>1</v>
          </cell>
          <cell r="D1652">
            <v>1</v>
          </cell>
          <cell r="E1652">
            <v>1</v>
          </cell>
          <cell r="F1652">
            <v>1</v>
          </cell>
          <cell r="G1652">
            <v>1</v>
          </cell>
          <cell r="H1652">
            <v>0</v>
          </cell>
        </row>
        <row r="1653">
          <cell r="A1653" t="str">
            <v>OTLNUEQ</v>
          </cell>
          <cell r="B1653" t="str">
            <v>LARGE OTT CURRENT METER EQUILISING NUT</v>
          </cell>
          <cell r="C1653">
            <v>30</v>
          </cell>
          <cell r="D1653">
            <v>30</v>
          </cell>
          <cell r="E1653">
            <v>30</v>
          </cell>
          <cell r="F1653">
            <v>30</v>
          </cell>
          <cell r="G1653">
            <v>30</v>
          </cell>
          <cell r="H1653">
            <v>0</v>
          </cell>
        </row>
        <row r="1654">
          <cell r="A1654" t="str">
            <v>OTLNUSE</v>
          </cell>
          <cell r="B1654" t="str">
            <v>LARGE OTT CURRENT METER SEALING NUT</v>
          </cell>
          <cell r="C1654">
            <v>16.82</v>
          </cell>
          <cell r="D1654">
            <v>16.82</v>
          </cell>
          <cell r="E1654">
            <v>16.82</v>
          </cell>
          <cell r="F1654">
            <v>16.82</v>
          </cell>
          <cell r="G1654">
            <v>16.82</v>
          </cell>
          <cell r="H1654">
            <v>0</v>
          </cell>
        </row>
        <row r="1655">
          <cell r="A1655" t="str">
            <v>OTLNUT1</v>
          </cell>
          <cell r="B1655" t="str">
            <v>LARGE OTT CURRENT METER BOOK NUT</v>
          </cell>
          <cell r="C1655">
            <v>108.15</v>
          </cell>
          <cell r="D1655">
            <v>108.15</v>
          </cell>
          <cell r="E1655">
            <v>108.15</v>
          </cell>
          <cell r="F1655">
            <v>108.15</v>
          </cell>
          <cell r="G1655">
            <v>108.15</v>
          </cell>
          <cell r="H1655">
            <v>0</v>
          </cell>
        </row>
        <row r="1656">
          <cell r="A1656" t="str">
            <v>OTLPICO</v>
          </cell>
          <cell r="B1656" t="str">
            <v>LARGE OTT CURRENT METER CONTACT PIN</v>
          </cell>
          <cell r="C1656">
            <v>19.170000000000002</v>
          </cell>
          <cell r="D1656">
            <v>19.170000000000002</v>
          </cell>
          <cell r="E1656">
            <v>19.170000000000002</v>
          </cell>
          <cell r="F1656">
            <v>19.170000000000002</v>
          </cell>
          <cell r="G1656">
            <v>19.170000000000002</v>
          </cell>
          <cell r="H1656">
            <v>0</v>
          </cell>
        </row>
        <row r="1657">
          <cell r="A1657" t="str">
            <v>OTLPLSC</v>
          </cell>
          <cell r="B1657" t="str">
            <v>LARGE OTT CURRENT METER SCREWED PLUG</v>
          </cell>
          <cell r="C1657">
            <v>175.5</v>
          </cell>
          <cell r="D1657">
            <v>175.5</v>
          </cell>
          <cell r="E1657">
            <v>175.5</v>
          </cell>
          <cell r="F1657">
            <v>175.5</v>
          </cell>
          <cell r="G1657">
            <v>175.5</v>
          </cell>
          <cell r="H1657">
            <v>0</v>
          </cell>
        </row>
        <row r="1658">
          <cell r="A1658" t="str">
            <v>OTLPROP</v>
          </cell>
          <cell r="B1658" t="str">
            <v>LARGE OTT CURRENT METER PROPELLOR  PLAST</v>
          </cell>
          <cell r="C1658">
            <v>424.4</v>
          </cell>
          <cell r="D1658">
            <v>525.20000000000005</v>
          </cell>
          <cell r="E1658">
            <v>525.20000000000005</v>
          </cell>
          <cell r="F1658">
            <v>525.20000000000005</v>
          </cell>
          <cell r="G1658">
            <v>525.20000000000005</v>
          </cell>
          <cell r="H1658">
            <v>404</v>
          </cell>
          <cell r="I1658">
            <v>39883</v>
          </cell>
        </row>
        <row r="1659">
          <cell r="A1659" t="str">
            <v>OTLSCPL</v>
          </cell>
          <cell r="B1659" t="str">
            <v>LARGE OTT CURRENT METER INSULATOR PLUG S</v>
          </cell>
          <cell r="C1659">
            <v>120</v>
          </cell>
          <cell r="D1659">
            <v>120</v>
          </cell>
          <cell r="E1659">
            <v>120</v>
          </cell>
          <cell r="F1659">
            <v>120</v>
          </cell>
          <cell r="G1659">
            <v>120</v>
          </cell>
          <cell r="H1659">
            <v>96.9</v>
          </cell>
        </row>
        <row r="1660">
          <cell r="A1660" t="str">
            <v>OTLSLCO</v>
          </cell>
          <cell r="B1660" t="str">
            <v>LARGE OTT CURRENT METER CONTACT SLEEVE</v>
          </cell>
          <cell r="C1660">
            <v>378</v>
          </cell>
          <cell r="D1660">
            <v>468</v>
          </cell>
          <cell r="E1660">
            <v>468</v>
          </cell>
          <cell r="F1660">
            <v>468</v>
          </cell>
          <cell r="G1660">
            <v>468</v>
          </cell>
          <cell r="H1660">
            <v>360</v>
          </cell>
          <cell r="I1660">
            <v>39988</v>
          </cell>
        </row>
        <row r="1661">
          <cell r="A1661" t="str">
            <v>OTLSLIN</v>
          </cell>
          <cell r="B1661" t="str">
            <v>LARGE OTT CURRENT METER INSULATING SLEEV</v>
          </cell>
          <cell r="C1661">
            <v>42</v>
          </cell>
          <cell r="D1661">
            <v>42</v>
          </cell>
          <cell r="E1661">
            <v>42</v>
          </cell>
          <cell r="F1661">
            <v>42</v>
          </cell>
          <cell r="G1661">
            <v>42</v>
          </cell>
          <cell r="H1661">
            <v>0</v>
          </cell>
        </row>
        <row r="1662">
          <cell r="A1662" t="str">
            <v>OTLSLSP</v>
          </cell>
          <cell r="B1662" t="str">
            <v>LARGE OFF CURRENT METER SLEEVE SPACER</v>
          </cell>
          <cell r="C1662">
            <v>54</v>
          </cell>
          <cell r="D1662">
            <v>54</v>
          </cell>
          <cell r="E1662">
            <v>54</v>
          </cell>
          <cell r="F1662">
            <v>54</v>
          </cell>
          <cell r="G1662">
            <v>54</v>
          </cell>
          <cell r="H1662">
            <v>0</v>
          </cell>
        </row>
        <row r="1663">
          <cell r="A1663" t="str">
            <v>OTLSLSQ</v>
          </cell>
          <cell r="B1663" t="str">
            <v>LARGE OTT CURRENT METER SLEEVE SPACER IN</v>
          </cell>
          <cell r="C1663">
            <v>135</v>
          </cell>
          <cell r="D1663">
            <v>135</v>
          </cell>
          <cell r="E1663">
            <v>135</v>
          </cell>
          <cell r="F1663">
            <v>135</v>
          </cell>
          <cell r="G1663">
            <v>135</v>
          </cell>
          <cell r="H1663">
            <v>0</v>
          </cell>
        </row>
        <row r="1664">
          <cell r="A1664" t="str">
            <v>OTLSOSC</v>
          </cell>
          <cell r="B1664" t="str">
            <v>LARGE OTT CURRENT METER SOCKET SCREW</v>
          </cell>
          <cell r="C1664">
            <v>75</v>
          </cell>
          <cell r="D1664">
            <v>75</v>
          </cell>
          <cell r="E1664">
            <v>75</v>
          </cell>
          <cell r="F1664">
            <v>75</v>
          </cell>
          <cell r="G1664">
            <v>75</v>
          </cell>
          <cell r="H1664">
            <v>0</v>
          </cell>
        </row>
        <row r="1665">
          <cell r="A1665" t="str">
            <v>OTLSWMA</v>
          </cell>
          <cell r="B1665" t="str">
            <v>LARGE OTT CURRENT METER MAGNETIC SWITCH</v>
          </cell>
          <cell r="C1665">
            <v>324</v>
          </cell>
          <cell r="D1665">
            <v>324</v>
          </cell>
          <cell r="E1665">
            <v>324</v>
          </cell>
          <cell r="F1665">
            <v>324</v>
          </cell>
          <cell r="G1665">
            <v>324</v>
          </cell>
          <cell r="H1665">
            <v>0</v>
          </cell>
        </row>
        <row r="1666">
          <cell r="A1666" t="str">
            <v>OTLTAFN</v>
          </cell>
          <cell r="B1666" t="str">
            <v>LARGE OTT CURRENT METER TAIL FIN ASSEMBL</v>
          </cell>
          <cell r="C1666">
            <v>395</v>
          </cell>
          <cell r="D1666">
            <v>395</v>
          </cell>
          <cell r="E1666">
            <v>395</v>
          </cell>
          <cell r="F1666">
            <v>395</v>
          </cell>
          <cell r="G1666">
            <v>395</v>
          </cell>
          <cell r="H1666">
            <v>0</v>
          </cell>
          <cell r="I1666">
            <v>39883</v>
          </cell>
        </row>
        <row r="1667">
          <cell r="A1667" t="str">
            <v>OTLTECO</v>
          </cell>
          <cell r="B1667" t="str">
            <v>LARGE OTT CURRENT METER CONTACT TERMINAL</v>
          </cell>
          <cell r="C1667">
            <v>53.82</v>
          </cell>
          <cell r="D1667">
            <v>53.82</v>
          </cell>
          <cell r="E1667">
            <v>53.82</v>
          </cell>
          <cell r="F1667">
            <v>53.82</v>
          </cell>
          <cell r="G1667">
            <v>53.82</v>
          </cell>
          <cell r="H1667">
            <v>0</v>
          </cell>
        </row>
        <row r="1668">
          <cell r="A1668" t="str">
            <v>OTLTFASS</v>
          </cell>
          <cell r="B1668" t="str">
            <v>LARGE OTT TAILFIN ADAPTOR SCREW</v>
          </cell>
          <cell r="C1668">
            <v>21.5</v>
          </cell>
          <cell r="D1668">
            <v>21.5</v>
          </cell>
          <cell r="E1668">
            <v>21.5</v>
          </cell>
          <cell r="F1668">
            <v>21.5</v>
          </cell>
          <cell r="G1668">
            <v>21.5</v>
          </cell>
          <cell r="H1668">
            <v>0</v>
          </cell>
        </row>
        <row r="1669">
          <cell r="A1669" t="str">
            <v>OTLTFSC</v>
          </cell>
          <cell r="B1669" t="str">
            <v>LARGE OTT TAILFIN SCREW</v>
          </cell>
          <cell r="C1669">
            <v>19.5</v>
          </cell>
          <cell r="D1669">
            <v>19.5</v>
          </cell>
          <cell r="E1669">
            <v>19.5</v>
          </cell>
          <cell r="F1669">
            <v>19.5</v>
          </cell>
          <cell r="G1669">
            <v>19.5</v>
          </cell>
          <cell r="H1669">
            <v>0</v>
          </cell>
        </row>
        <row r="1670">
          <cell r="A1670" t="str">
            <v>OTSBEC1</v>
          </cell>
          <cell r="B1670" t="str">
            <v>SMALL OTT CURRENT METER BEARING 8x2.5x2.</v>
          </cell>
          <cell r="C1670">
            <v>42</v>
          </cell>
          <cell r="D1670">
            <v>42</v>
          </cell>
          <cell r="E1670">
            <v>42</v>
          </cell>
          <cell r="F1670">
            <v>42</v>
          </cell>
          <cell r="G1670">
            <v>42</v>
          </cell>
          <cell r="H1670">
            <v>39.229999999999997</v>
          </cell>
        </row>
        <row r="1671">
          <cell r="A1671" t="str">
            <v>OTSBEC2</v>
          </cell>
          <cell r="B1671" t="str">
            <v>SMALL OTT CURRENT METER BEARING 8x4x2mm</v>
          </cell>
          <cell r="C1671">
            <v>50</v>
          </cell>
          <cell r="D1671">
            <v>50</v>
          </cell>
          <cell r="E1671">
            <v>50</v>
          </cell>
          <cell r="F1671">
            <v>50</v>
          </cell>
          <cell r="G1671">
            <v>50</v>
          </cell>
          <cell r="H1671">
            <v>37.5</v>
          </cell>
        </row>
        <row r="1672">
          <cell r="A1672" t="str">
            <v>OTSBLIN</v>
          </cell>
          <cell r="B1672" t="str">
            <v>SMALL OTT CURRENT METER BOX LINER</v>
          </cell>
          <cell r="C1672">
            <v>85</v>
          </cell>
          <cell r="D1672">
            <v>85</v>
          </cell>
          <cell r="E1672">
            <v>85</v>
          </cell>
          <cell r="F1672">
            <v>85</v>
          </cell>
          <cell r="G1672">
            <v>85</v>
          </cell>
          <cell r="H1672">
            <v>0</v>
          </cell>
        </row>
        <row r="1673">
          <cell r="A1673" t="str">
            <v>OTSBOX</v>
          </cell>
          <cell r="B1673" t="str">
            <v>SMALL OTT CURRENT METER BOX</v>
          </cell>
          <cell r="C1673">
            <v>250</v>
          </cell>
          <cell r="D1673">
            <v>250</v>
          </cell>
          <cell r="E1673">
            <v>250</v>
          </cell>
          <cell r="F1673">
            <v>250</v>
          </cell>
          <cell r="G1673">
            <v>250</v>
          </cell>
          <cell r="H1673">
            <v>0</v>
          </cell>
        </row>
        <row r="1674">
          <cell r="A1674" t="str">
            <v>OTSCAAS</v>
          </cell>
          <cell r="B1674" t="str">
            <v>SMALL OTT CURRENT METER CABLE 4M</v>
          </cell>
          <cell r="C1674">
            <v>281</v>
          </cell>
          <cell r="D1674">
            <v>281</v>
          </cell>
          <cell r="E1674">
            <v>281</v>
          </cell>
          <cell r="F1674">
            <v>281</v>
          </cell>
          <cell r="G1674">
            <v>281</v>
          </cell>
          <cell r="H1674">
            <v>216</v>
          </cell>
          <cell r="I1674">
            <v>40257</v>
          </cell>
        </row>
        <row r="1675">
          <cell r="A1675" t="str">
            <v>OTSCLBA</v>
          </cell>
          <cell r="B1675" t="str">
            <v>SMALL OTT CURRENT METER BARREL CLAMP</v>
          </cell>
          <cell r="C1675">
            <v>201.5</v>
          </cell>
          <cell r="D1675">
            <v>201.5</v>
          </cell>
          <cell r="E1675">
            <v>201.5</v>
          </cell>
          <cell r="F1675">
            <v>201.5</v>
          </cell>
          <cell r="G1675">
            <v>201.5</v>
          </cell>
          <cell r="H1675">
            <v>0</v>
          </cell>
        </row>
        <row r="1676">
          <cell r="A1676" t="str">
            <v>OTSCOME</v>
          </cell>
          <cell r="B1676" t="str">
            <v>SMALL OTT CURRENT METER CONTACT MECHANIS</v>
          </cell>
          <cell r="C1676">
            <v>150</v>
          </cell>
          <cell r="D1676">
            <v>150</v>
          </cell>
          <cell r="E1676">
            <v>150</v>
          </cell>
          <cell r="F1676">
            <v>150</v>
          </cell>
          <cell r="G1676">
            <v>150</v>
          </cell>
          <cell r="H1676">
            <v>0</v>
          </cell>
        </row>
        <row r="1677">
          <cell r="A1677" t="str">
            <v>OTSCOWA</v>
          </cell>
          <cell r="B1677" t="str">
            <v>SMALL OTT CURRENT METER WADING ROD CONNE</v>
          </cell>
          <cell r="C1677">
            <v>168</v>
          </cell>
          <cell r="D1677">
            <v>168</v>
          </cell>
          <cell r="E1677">
            <v>168</v>
          </cell>
          <cell r="F1677">
            <v>168</v>
          </cell>
          <cell r="G1677">
            <v>168</v>
          </cell>
          <cell r="H1677">
            <v>0</v>
          </cell>
        </row>
        <row r="1678">
          <cell r="A1678" t="str">
            <v>OTSCUME</v>
          </cell>
          <cell r="B1678" t="str">
            <v>SMALL OTT CURRENT METER C2</v>
          </cell>
          <cell r="C1678">
            <v>8500</v>
          </cell>
          <cell r="D1678">
            <v>10350</v>
          </cell>
          <cell r="E1678">
            <v>10350</v>
          </cell>
          <cell r="F1678">
            <v>10350</v>
          </cell>
          <cell r="G1678">
            <v>10350</v>
          </cell>
          <cell r="H1678">
            <v>5871</v>
          </cell>
          <cell r="I1678">
            <v>40028</v>
          </cell>
        </row>
        <row r="1679">
          <cell r="A1679" t="str">
            <v>OTSINCA</v>
          </cell>
          <cell r="B1679" t="str">
            <v>SMALL OTT CURRENT METER CABLE INSULATORS</v>
          </cell>
          <cell r="C1679">
            <v>5.43</v>
          </cell>
          <cell r="D1679">
            <v>5.43</v>
          </cell>
          <cell r="E1679">
            <v>5.43</v>
          </cell>
          <cell r="F1679">
            <v>5.43</v>
          </cell>
          <cell r="G1679">
            <v>5.43</v>
          </cell>
          <cell r="H1679">
            <v>0</v>
          </cell>
        </row>
        <row r="1680">
          <cell r="A1680" t="str">
            <v>OTSINTH</v>
          </cell>
          <cell r="B1680" t="str">
            <v>SMALL OTT CURRENT METER THREADED INSULAT</v>
          </cell>
          <cell r="C1680">
            <v>8.7799999999999994</v>
          </cell>
          <cell r="D1680">
            <v>8.7799999999999994</v>
          </cell>
          <cell r="E1680">
            <v>8.7799999999999994</v>
          </cell>
          <cell r="F1680">
            <v>8.7799999999999994</v>
          </cell>
          <cell r="G1680">
            <v>8.7799999999999994</v>
          </cell>
          <cell r="H1680">
            <v>0</v>
          </cell>
        </row>
        <row r="1681">
          <cell r="A1681" t="str">
            <v>OTSKUNU</v>
          </cell>
          <cell r="B1681" t="str">
            <v>SMALL OTT CURRENT METER KNURLED NUT</v>
          </cell>
          <cell r="C1681">
            <v>63</v>
          </cell>
          <cell r="D1681">
            <v>63</v>
          </cell>
          <cell r="E1681">
            <v>63</v>
          </cell>
          <cell r="F1681">
            <v>63</v>
          </cell>
          <cell r="G1681">
            <v>63</v>
          </cell>
          <cell r="H1681">
            <v>42.3</v>
          </cell>
        </row>
        <row r="1682">
          <cell r="A1682" t="str">
            <v>OTSLOPI</v>
          </cell>
          <cell r="B1682" t="str">
            <v>SMALL OTT CURRENT METER LOCKING PIECE</v>
          </cell>
          <cell r="C1682">
            <v>105</v>
          </cell>
          <cell r="D1682">
            <v>105</v>
          </cell>
          <cell r="E1682">
            <v>105</v>
          </cell>
          <cell r="F1682">
            <v>105</v>
          </cell>
          <cell r="G1682">
            <v>105</v>
          </cell>
          <cell r="H1682">
            <v>0</v>
          </cell>
        </row>
        <row r="1683">
          <cell r="A1683" t="str">
            <v>OTSLOSC</v>
          </cell>
          <cell r="B1683" t="str">
            <v>SMALL OTT CURRENT METER LOCKING SCREW</v>
          </cell>
          <cell r="C1683">
            <v>5.2</v>
          </cell>
          <cell r="D1683">
            <v>6.43</v>
          </cell>
          <cell r="E1683">
            <v>6.43</v>
          </cell>
          <cell r="F1683">
            <v>6.43</v>
          </cell>
          <cell r="G1683">
            <v>6.43</v>
          </cell>
          <cell r="H1683">
            <v>20</v>
          </cell>
        </row>
        <row r="1684">
          <cell r="A1684" t="str">
            <v>OTSPRN1</v>
          </cell>
          <cell r="B1684" t="str">
            <v>SMALL OTT C/METER PROP 1  #1.50m</v>
          </cell>
          <cell r="C1684">
            <v>1050</v>
          </cell>
          <cell r="D1684">
            <v>1296.3</v>
          </cell>
          <cell r="E1684">
            <v>1296.3</v>
          </cell>
          <cell r="F1684">
            <v>1296.3</v>
          </cell>
          <cell r="G1684">
            <v>1296.3</v>
          </cell>
          <cell r="H1684">
            <v>1096</v>
          </cell>
          <cell r="I1684">
            <v>40078</v>
          </cell>
        </row>
        <row r="1685">
          <cell r="A1685" t="str">
            <v>OTSPRN3</v>
          </cell>
          <cell r="B1685" t="str">
            <v>SMALL OTT CURRENT METER PROPELLOR #3.50m</v>
          </cell>
          <cell r="C1685">
            <v>1410</v>
          </cell>
          <cell r="D1685">
            <v>1410</v>
          </cell>
          <cell r="E1685">
            <v>1410</v>
          </cell>
          <cell r="F1685">
            <v>1410</v>
          </cell>
          <cell r="G1685">
            <v>1410</v>
          </cell>
          <cell r="H1685">
            <v>1084</v>
          </cell>
          <cell r="I1685">
            <v>40252</v>
          </cell>
        </row>
        <row r="1686">
          <cell r="A1686" t="str">
            <v>OTSSCAL</v>
          </cell>
          <cell r="B1686" t="str">
            <v>SMALL OTT CURRENT METER SCALER</v>
          </cell>
          <cell r="C1686">
            <v>448.88</v>
          </cell>
          <cell r="D1686">
            <v>448.88</v>
          </cell>
          <cell r="E1686">
            <v>448.88</v>
          </cell>
          <cell r="F1686">
            <v>448.88</v>
          </cell>
          <cell r="G1686">
            <v>448.88</v>
          </cell>
          <cell r="H1686">
            <v>0</v>
          </cell>
        </row>
        <row r="1687">
          <cell r="A1687" t="str">
            <v>OTSSHC2</v>
          </cell>
          <cell r="B1687" t="str">
            <v>SMALL OTT CURRENT METER SPINDLE ONLY</v>
          </cell>
          <cell r="C1687">
            <v>75</v>
          </cell>
          <cell r="D1687">
            <v>75</v>
          </cell>
          <cell r="E1687">
            <v>75</v>
          </cell>
          <cell r="F1687">
            <v>75</v>
          </cell>
          <cell r="G1687">
            <v>75</v>
          </cell>
          <cell r="H1687">
            <v>0</v>
          </cell>
        </row>
        <row r="1688">
          <cell r="A1688" t="str">
            <v>OTSSPC1</v>
          </cell>
          <cell r="B1688" t="str">
            <v>SMALL OTT CURRENT METER SPINDLE</v>
          </cell>
          <cell r="C1688">
            <v>220.8</v>
          </cell>
          <cell r="D1688">
            <v>220.8</v>
          </cell>
          <cell r="E1688">
            <v>220.8</v>
          </cell>
          <cell r="F1688">
            <v>220.8</v>
          </cell>
          <cell r="G1688">
            <v>220.8</v>
          </cell>
          <cell r="H1688">
            <v>0</v>
          </cell>
        </row>
        <row r="1689">
          <cell r="A1689" t="str">
            <v>OTSSPC2</v>
          </cell>
          <cell r="B1689" t="str">
            <v>SMALL OTT CURRENT METER REINFORCED SPIND</v>
          </cell>
          <cell r="C1689">
            <v>265</v>
          </cell>
          <cell r="D1689">
            <v>328</v>
          </cell>
          <cell r="E1689">
            <v>328</v>
          </cell>
          <cell r="F1689">
            <v>328</v>
          </cell>
          <cell r="G1689">
            <v>328</v>
          </cell>
          <cell r="H1689">
            <v>0</v>
          </cell>
          <cell r="I1689">
            <v>39883</v>
          </cell>
        </row>
        <row r="1690">
          <cell r="A1690" t="str">
            <v>OTSSWMA</v>
          </cell>
          <cell r="B1690" t="str">
            <v>SMALL OTT CURRENT METER MAGNETIC SWITCH</v>
          </cell>
          <cell r="C1690">
            <v>326</v>
          </cell>
          <cell r="D1690">
            <v>326</v>
          </cell>
          <cell r="E1690">
            <v>326</v>
          </cell>
          <cell r="F1690">
            <v>326</v>
          </cell>
          <cell r="G1690">
            <v>326</v>
          </cell>
          <cell r="H1690">
            <v>350</v>
          </cell>
        </row>
        <row r="1691">
          <cell r="A1691" t="str">
            <v>OTSWRSO</v>
          </cell>
          <cell r="B1691" t="str">
            <v>SMALL OTT CURRENT METER SOCKET WRENCH</v>
          </cell>
          <cell r="C1691">
            <v>80</v>
          </cell>
          <cell r="D1691">
            <v>80</v>
          </cell>
          <cell r="E1691">
            <v>80</v>
          </cell>
          <cell r="F1691">
            <v>80</v>
          </cell>
          <cell r="G1691">
            <v>80</v>
          </cell>
          <cell r="H1691">
            <v>64.599999999999994</v>
          </cell>
        </row>
        <row r="1692">
          <cell r="A1692" t="str">
            <v>OTTOIL</v>
          </cell>
          <cell r="B1692" t="str">
            <v>OTT OIL (100ml BOTTLE)</v>
          </cell>
          <cell r="C1692">
            <v>8.5</v>
          </cell>
          <cell r="D1692">
            <v>8.5</v>
          </cell>
          <cell r="E1692">
            <v>8.5</v>
          </cell>
          <cell r="F1692">
            <v>8.5</v>
          </cell>
          <cell r="G1692">
            <v>8.5</v>
          </cell>
          <cell r="H1692">
            <v>0</v>
          </cell>
          <cell r="I1692">
            <v>40235</v>
          </cell>
        </row>
        <row r="1693">
          <cell r="A1693" t="str">
            <v>OUTWORK</v>
          </cell>
          <cell r="B1693" t="str">
            <v>OUTWORK</v>
          </cell>
          <cell r="C1693">
            <v>0</v>
          </cell>
          <cell r="D1693">
            <v>0</v>
          </cell>
          <cell r="E1693">
            <v>0</v>
          </cell>
          <cell r="F1693">
            <v>0</v>
          </cell>
          <cell r="G1693">
            <v>0</v>
          </cell>
          <cell r="H1693">
            <v>35</v>
          </cell>
        </row>
        <row r="1694">
          <cell r="A1694" t="str">
            <v>OXYPOL</v>
          </cell>
          <cell r="B1694" t="str">
            <v>OXYGUARD POLARIS PORTABLE DO METER</v>
          </cell>
          <cell r="C1694">
            <v>1795</v>
          </cell>
          <cell r="D1694">
            <v>1795</v>
          </cell>
          <cell r="E1694">
            <v>1795</v>
          </cell>
          <cell r="F1694">
            <v>1795</v>
          </cell>
          <cell r="G1694">
            <v>1795</v>
          </cell>
          <cell r="H1694">
            <v>1738.3720000000001</v>
          </cell>
        </row>
        <row r="1695">
          <cell r="A1695" t="str">
            <v>PANEVAP</v>
          </cell>
          <cell r="B1695" t="str">
            <v>EVAPORATION PAN</v>
          </cell>
          <cell r="C1695">
            <v>750</v>
          </cell>
          <cell r="D1695">
            <v>1125</v>
          </cell>
          <cell r="E1695">
            <v>1125</v>
          </cell>
          <cell r="F1695">
            <v>1125</v>
          </cell>
          <cell r="G1695">
            <v>1125</v>
          </cell>
          <cell r="H1695">
            <v>792.66700000000003</v>
          </cell>
          <cell r="I1695">
            <v>39843</v>
          </cell>
        </row>
        <row r="1696">
          <cell r="A1696" t="str">
            <v>PANEVDS</v>
          </cell>
          <cell r="B1696" t="str">
            <v>DIPSTICK PAN EVAPORIMETER.</v>
          </cell>
          <cell r="C1696">
            <v>103.55</v>
          </cell>
          <cell r="D1696">
            <v>103.55</v>
          </cell>
          <cell r="E1696">
            <v>103.55</v>
          </cell>
          <cell r="F1696">
            <v>103.55</v>
          </cell>
          <cell r="G1696">
            <v>103.55</v>
          </cell>
          <cell r="H1696">
            <v>64</v>
          </cell>
        </row>
        <row r="1697">
          <cell r="A1697" t="str">
            <v>PANEVMC</v>
          </cell>
          <cell r="B1697" t="str">
            <v>EVAPORATION PAN MEASURING CAN</v>
          </cell>
          <cell r="C1697">
            <v>278.25</v>
          </cell>
          <cell r="D1697">
            <v>344.5</v>
          </cell>
          <cell r="E1697">
            <v>344.5</v>
          </cell>
          <cell r="F1697">
            <v>344.5</v>
          </cell>
          <cell r="G1697">
            <v>344.5</v>
          </cell>
          <cell r="H1697">
            <v>252.667</v>
          </cell>
          <cell r="I1697">
            <v>39843</v>
          </cell>
        </row>
        <row r="1698">
          <cell r="A1698" t="str">
            <v>PANEVPA</v>
          </cell>
          <cell r="B1698" t="str">
            <v>INHIBITOR  ALGAE 30ml IN 50ml JARS</v>
          </cell>
          <cell r="C1698">
            <v>6.03</v>
          </cell>
          <cell r="D1698">
            <v>6.03</v>
          </cell>
          <cell r="E1698">
            <v>6.03</v>
          </cell>
          <cell r="F1698">
            <v>6.03</v>
          </cell>
          <cell r="G1698">
            <v>6.03</v>
          </cell>
          <cell r="H1698">
            <v>1.137</v>
          </cell>
        </row>
        <row r="1699">
          <cell r="A1699" t="str">
            <v>PANEVSW</v>
          </cell>
          <cell r="B1699" t="str">
            <v>EVAPORATION PAN STILLINGWELL</v>
          </cell>
          <cell r="C1699">
            <v>320</v>
          </cell>
          <cell r="D1699">
            <v>320</v>
          </cell>
          <cell r="E1699">
            <v>320</v>
          </cell>
          <cell r="F1699">
            <v>320</v>
          </cell>
          <cell r="G1699">
            <v>320</v>
          </cell>
          <cell r="H1699">
            <v>242.667</v>
          </cell>
          <cell r="I1699">
            <v>40212</v>
          </cell>
        </row>
        <row r="1700">
          <cell r="A1700" t="str">
            <v>PARAPS2</v>
          </cell>
          <cell r="B1700" t="str">
            <v>PARASCIENTIFIC PS2 LOGGER (SECOND HAND)</v>
          </cell>
          <cell r="C1700">
            <v>1625</v>
          </cell>
          <cell r="D1700">
            <v>1625</v>
          </cell>
          <cell r="E1700">
            <v>1625</v>
          </cell>
          <cell r="F1700">
            <v>1625</v>
          </cell>
          <cell r="G1700">
            <v>1625</v>
          </cell>
          <cell r="H1700">
            <v>0</v>
          </cell>
        </row>
        <row r="1701">
          <cell r="A1701" t="str">
            <v>PARAPSN</v>
          </cell>
          <cell r="B1701" t="str">
            <v>PAROSCIENTIFIC PS2 SENSOR (NEW)</v>
          </cell>
          <cell r="C1701">
            <v>10970</v>
          </cell>
          <cell r="D1701">
            <v>10970</v>
          </cell>
          <cell r="E1701">
            <v>10970</v>
          </cell>
          <cell r="F1701">
            <v>10970</v>
          </cell>
          <cell r="G1701">
            <v>10970</v>
          </cell>
          <cell r="H1701">
            <v>9208.24</v>
          </cell>
        </row>
        <row r="1702">
          <cell r="A1702" t="str">
            <v>PARBSA</v>
          </cell>
          <cell r="B1702" t="str">
            <v>PARANI SD100 BLUETOOTH SERIAL ADAPTER</v>
          </cell>
          <cell r="C1702">
            <v>220</v>
          </cell>
          <cell r="D1702">
            <v>240</v>
          </cell>
          <cell r="E1702">
            <v>240</v>
          </cell>
          <cell r="F1702">
            <v>240</v>
          </cell>
          <cell r="G1702">
            <v>240</v>
          </cell>
          <cell r="H1702">
            <v>164.38499999999999</v>
          </cell>
          <cell r="I1702">
            <v>39988</v>
          </cell>
        </row>
        <row r="1703">
          <cell r="A1703" t="str">
            <v>PARODIG6</v>
          </cell>
          <cell r="B1703" t="str">
            <v>PAROSCIENTIFIC DIGIQUARTZ 6000</v>
          </cell>
          <cell r="C1703">
            <v>0</v>
          </cell>
          <cell r="D1703">
            <v>0</v>
          </cell>
          <cell r="E1703">
            <v>0</v>
          </cell>
          <cell r="F1703">
            <v>0</v>
          </cell>
          <cell r="G1703">
            <v>0</v>
          </cell>
          <cell r="H1703">
            <v>5531.25</v>
          </cell>
        </row>
        <row r="1704">
          <cell r="A1704" t="str">
            <v>PCIPAQ</v>
          </cell>
          <cell r="B1704" t="str">
            <v>HP IPAQ 212 POCKET PC</v>
          </cell>
          <cell r="C1704">
            <v>894.6</v>
          </cell>
          <cell r="D1704">
            <v>1107.5999999999999</v>
          </cell>
          <cell r="E1704">
            <v>1107.5999999999999</v>
          </cell>
          <cell r="F1704">
            <v>1107.5999999999999</v>
          </cell>
          <cell r="G1704">
            <v>1107.5999999999999</v>
          </cell>
          <cell r="H1704">
            <v>600</v>
          </cell>
          <cell r="I1704">
            <v>39882</v>
          </cell>
        </row>
        <row r="1705">
          <cell r="A1705" t="str">
            <v>PCIPAQB</v>
          </cell>
          <cell r="B1705" t="str">
            <v>HP IPAQ EXTENDED BATTERY</v>
          </cell>
          <cell r="C1705">
            <v>69.3</v>
          </cell>
          <cell r="D1705">
            <v>85.8</v>
          </cell>
          <cell r="E1705">
            <v>85.8</v>
          </cell>
          <cell r="F1705">
            <v>85.8</v>
          </cell>
          <cell r="G1705">
            <v>85.8</v>
          </cell>
          <cell r="H1705">
            <v>100</v>
          </cell>
          <cell r="I1705">
            <v>39882</v>
          </cell>
        </row>
        <row r="1706">
          <cell r="A1706" t="str">
            <v>PCIPAQM</v>
          </cell>
          <cell r="B1706" t="str">
            <v>HP IPAQ MEMORY CARD 2GB SD</v>
          </cell>
          <cell r="C1706">
            <v>0</v>
          </cell>
          <cell r="D1706">
            <v>0</v>
          </cell>
          <cell r="E1706">
            <v>0</v>
          </cell>
          <cell r="F1706">
            <v>0</v>
          </cell>
          <cell r="G1706">
            <v>0</v>
          </cell>
          <cell r="H1706">
            <v>100</v>
          </cell>
        </row>
        <row r="1707">
          <cell r="A1707" t="str">
            <v>PCMCIA</v>
          </cell>
          <cell r="B1707" t="str">
            <v>MEMORY CARDS 256K TYPE 1 S RAM</v>
          </cell>
          <cell r="C1707">
            <v>347</v>
          </cell>
          <cell r="D1707">
            <v>429.39</v>
          </cell>
          <cell r="E1707">
            <v>429.39</v>
          </cell>
          <cell r="F1707">
            <v>429.39</v>
          </cell>
          <cell r="G1707">
            <v>429.39</v>
          </cell>
          <cell r="H1707">
            <v>0</v>
          </cell>
          <cell r="I1707">
            <v>39884</v>
          </cell>
        </row>
        <row r="1708">
          <cell r="A1708" t="str">
            <v>PENPFBK</v>
          </cell>
          <cell r="B1708" t="str">
            <v>PEN  PLOTTER FELT BLACK</v>
          </cell>
          <cell r="C1708">
            <v>50</v>
          </cell>
          <cell r="D1708">
            <v>50</v>
          </cell>
          <cell r="E1708">
            <v>50</v>
          </cell>
          <cell r="F1708">
            <v>50</v>
          </cell>
          <cell r="G1708">
            <v>50</v>
          </cell>
          <cell r="H1708">
            <v>0</v>
          </cell>
        </row>
        <row r="1709">
          <cell r="A1709" t="str">
            <v>PENPFBL</v>
          </cell>
          <cell r="B1709" t="str">
            <v>PEN  PLOTTER FELT BLUE</v>
          </cell>
          <cell r="C1709">
            <v>6.6</v>
          </cell>
          <cell r="D1709">
            <v>6.6</v>
          </cell>
          <cell r="E1709">
            <v>6.6</v>
          </cell>
          <cell r="F1709">
            <v>6.6</v>
          </cell>
          <cell r="G1709">
            <v>6.6</v>
          </cell>
          <cell r="H1709">
            <v>0</v>
          </cell>
        </row>
        <row r="1710">
          <cell r="A1710" t="str">
            <v>PENPFGR</v>
          </cell>
          <cell r="B1710" t="str">
            <v>PEN  PLOTTER FELT GREEN</v>
          </cell>
          <cell r="C1710">
            <v>6.6</v>
          </cell>
          <cell r="D1710">
            <v>6.6</v>
          </cell>
          <cell r="E1710">
            <v>6.6</v>
          </cell>
          <cell r="F1710">
            <v>6.6</v>
          </cell>
          <cell r="G1710">
            <v>6.6</v>
          </cell>
          <cell r="H1710">
            <v>0</v>
          </cell>
        </row>
        <row r="1711">
          <cell r="A1711" t="str">
            <v>PENPFRE</v>
          </cell>
          <cell r="B1711" t="str">
            <v>PEN  PLOTTER FELT RED</v>
          </cell>
          <cell r="C1711">
            <v>6.6</v>
          </cell>
          <cell r="D1711">
            <v>6.6</v>
          </cell>
          <cell r="E1711">
            <v>6.6</v>
          </cell>
          <cell r="F1711">
            <v>6.6</v>
          </cell>
          <cell r="G1711">
            <v>6.6</v>
          </cell>
          <cell r="H1711">
            <v>0</v>
          </cell>
        </row>
        <row r="1712">
          <cell r="A1712" t="str">
            <v>PERIMAN</v>
          </cell>
          <cell r="B1712" t="str">
            <v>PERIPHYTON STREAM MANUAL</v>
          </cell>
          <cell r="C1712">
            <v>70</v>
          </cell>
          <cell r="D1712">
            <v>70</v>
          </cell>
          <cell r="E1712">
            <v>70</v>
          </cell>
          <cell r="F1712">
            <v>70</v>
          </cell>
          <cell r="G1712">
            <v>70</v>
          </cell>
          <cell r="H1712">
            <v>0</v>
          </cell>
        </row>
        <row r="1713">
          <cell r="A1713" t="str">
            <v>PICL40</v>
          </cell>
          <cell r="B1713" t="str">
            <v>PIPE CLAMP 40mm</v>
          </cell>
          <cell r="C1713">
            <v>30</v>
          </cell>
          <cell r="D1713">
            <v>30</v>
          </cell>
          <cell r="E1713">
            <v>30</v>
          </cell>
          <cell r="F1713">
            <v>30</v>
          </cell>
          <cell r="G1713">
            <v>30</v>
          </cell>
          <cell r="H1713">
            <v>21.52</v>
          </cell>
          <cell r="I1713">
            <v>39868</v>
          </cell>
        </row>
        <row r="1714">
          <cell r="A1714" t="str">
            <v>PINBENMK</v>
          </cell>
          <cell r="B1714" t="str">
            <v>BENCHMARK PIN</v>
          </cell>
          <cell r="C1714">
            <v>45</v>
          </cell>
          <cell r="D1714">
            <v>45</v>
          </cell>
          <cell r="E1714">
            <v>45</v>
          </cell>
          <cell r="F1714">
            <v>45</v>
          </cell>
          <cell r="G1714">
            <v>45</v>
          </cell>
          <cell r="H1714">
            <v>0</v>
          </cell>
        </row>
        <row r="1715">
          <cell r="A1715" t="str">
            <v>PINSHCL</v>
          </cell>
          <cell r="B1715" t="str">
            <v>PIN  ALUMINIUM SHEAR CLIP</v>
          </cell>
          <cell r="C1715">
            <v>2.1</v>
          </cell>
          <cell r="D1715">
            <v>2.6</v>
          </cell>
          <cell r="E1715">
            <v>2.6</v>
          </cell>
          <cell r="F1715">
            <v>2.6</v>
          </cell>
          <cell r="G1715">
            <v>2.6</v>
          </cell>
          <cell r="H1715">
            <v>1.99</v>
          </cell>
          <cell r="I1715">
            <v>39883</v>
          </cell>
        </row>
        <row r="1716">
          <cell r="A1716" t="str">
            <v>PINSHEA</v>
          </cell>
          <cell r="B1716" t="str">
            <v>PIN  ALUMINIUM SHEAR</v>
          </cell>
          <cell r="C1716">
            <v>2.63</v>
          </cell>
          <cell r="D1716">
            <v>3.25</v>
          </cell>
          <cell r="E1716">
            <v>3.25</v>
          </cell>
          <cell r="F1716">
            <v>3.25</v>
          </cell>
          <cell r="G1716">
            <v>3.25</v>
          </cell>
          <cell r="H1716">
            <v>2.5</v>
          </cell>
          <cell r="I1716">
            <v>39883</v>
          </cell>
        </row>
        <row r="1717">
          <cell r="A1717" t="str">
            <v>PIPBE20</v>
          </cell>
          <cell r="B1717" t="str">
            <v>BEND BSP GALV M&amp;F 20mm</v>
          </cell>
          <cell r="C1717">
            <v>8</v>
          </cell>
          <cell r="D1717">
            <v>8</v>
          </cell>
          <cell r="E1717">
            <v>8</v>
          </cell>
          <cell r="F1717">
            <v>8</v>
          </cell>
          <cell r="G1717">
            <v>8</v>
          </cell>
          <cell r="H1717">
            <v>2.12</v>
          </cell>
        </row>
        <row r="1718">
          <cell r="A1718" t="str">
            <v>PIPGA20</v>
          </cell>
          <cell r="B1718" t="str">
            <v>PIPE BSP GALV 20mm THREADED ENDS (6.5M)</v>
          </cell>
          <cell r="C1718">
            <v>40</v>
          </cell>
          <cell r="D1718">
            <v>40</v>
          </cell>
          <cell r="E1718">
            <v>40</v>
          </cell>
          <cell r="F1718">
            <v>40</v>
          </cell>
          <cell r="G1718">
            <v>40</v>
          </cell>
          <cell r="H1718">
            <v>37.65</v>
          </cell>
        </row>
        <row r="1719">
          <cell r="A1719" t="str">
            <v>PIPPV32</v>
          </cell>
          <cell r="B1719" t="str">
            <v>PVC PRESSURE PIPE 32mm SOCKET ONE END</v>
          </cell>
          <cell r="C1719">
            <v>75</v>
          </cell>
          <cell r="D1719">
            <v>92</v>
          </cell>
          <cell r="E1719">
            <v>92</v>
          </cell>
          <cell r="F1719">
            <v>92</v>
          </cell>
          <cell r="G1719">
            <v>92</v>
          </cell>
          <cell r="H1719">
            <v>70.5</v>
          </cell>
        </row>
        <row r="1720">
          <cell r="A1720" t="str">
            <v>PIPPVCE</v>
          </cell>
          <cell r="B1720" t="str">
            <v>PVC PRESURE PIPE CERMENT 250ml</v>
          </cell>
          <cell r="C1720">
            <v>7.5</v>
          </cell>
          <cell r="D1720">
            <v>7.5</v>
          </cell>
          <cell r="E1720">
            <v>7.5</v>
          </cell>
          <cell r="F1720">
            <v>7.5</v>
          </cell>
          <cell r="G1720">
            <v>7.5</v>
          </cell>
          <cell r="H1720">
            <v>7.92</v>
          </cell>
        </row>
        <row r="1721">
          <cell r="A1721" t="str">
            <v>PLATE-APO51</v>
          </cell>
          <cell r="B1721" t="str">
            <v>MOUNTING PLATE AP051 450x260x4mm</v>
          </cell>
          <cell r="C1721">
            <v>17</v>
          </cell>
          <cell r="D1721">
            <v>17</v>
          </cell>
          <cell r="E1721">
            <v>17</v>
          </cell>
          <cell r="F1721">
            <v>17</v>
          </cell>
          <cell r="G1721">
            <v>17</v>
          </cell>
          <cell r="H1721">
            <v>24.19</v>
          </cell>
        </row>
        <row r="1722">
          <cell r="A1722" t="str">
            <v>PLBMCM</v>
          </cell>
          <cell r="B1722" t="str">
            <v>MCMURDO FASTFIND MAX G PLB</v>
          </cell>
          <cell r="C1722">
            <v>800</v>
          </cell>
          <cell r="D1722">
            <v>800</v>
          </cell>
          <cell r="E1722">
            <v>800</v>
          </cell>
          <cell r="F1722">
            <v>800</v>
          </cell>
          <cell r="G1722">
            <v>800</v>
          </cell>
          <cell r="H1722">
            <v>615</v>
          </cell>
        </row>
        <row r="1723">
          <cell r="A1723" t="str">
            <v>POECAHA</v>
          </cell>
          <cell r="B1723" t="str">
            <v>POEM CABLE HARNESS ASSEMBLY</v>
          </cell>
          <cell r="C1723">
            <v>35.729999999999997</v>
          </cell>
          <cell r="D1723">
            <v>35.729999999999997</v>
          </cell>
          <cell r="E1723">
            <v>35.729999999999997</v>
          </cell>
          <cell r="F1723">
            <v>35.729999999999997</v>
          </cell>
          <cell r="G1723">
            <v>35.729999999999997</v>
          </cell>
          <cell r="H1723">
            <v>0</v>
          </cell>
        </row>
        <row r="1724">
          <cell r="A1724" t="str">
            <v>POECOMP</v>
          </cell>
          <cell r="B1724" t="str">
            <v>POEM COMPLETE MK I</v>
          </cell>
          <cell r="C1724">
            <v>12500</v>
          </cell>
          <cell r="D1724">
            <v>12500</v>
          </cell>
          <cell r="E1724">
            <v>12500</v>
          </cell>
          <cell r="F1724">
            <v>12500</v>
          </cell>
          <cell r="G1724">
            <v>12500</v>
          </cell>
          <cell r="H1724">
            <v>0</v>
          </cell>
        </row>
        <row r="1725">
          <cell r="A1725" t="str">
            <v>POEMICR</v>
          </cell>
          <cell r="B1725" t="str">
            <v>POEM INTERFACE MICRO</v>
          </cell>
          <cell r="C1725">
            <v>100</v>
          </cell>
          <cell r="D1725">
            <v>100</v>
          </cell>
          <cell r="E1725">
            <v>100</v>
          </cell>
          <cell r="F1725">
            <v>100</v>
          </cell>
          <cell r="G1725">
            <v>100</v>
          </cell>
          <cell r="H1725">
            <v>0</v>
          </cell>
        </row>
        <row r="1726">
          <cell r="A1726" t="str">
            <v>POT-63P5K</v>
          </cell>
          <cell r="B1726" t="str">
            <v>POTENTIOMETER SPECTROL SERIES 63P 5 K</v>
          </cell>
          <cell r="C1726">
            <v>2.8</v>
          </cell>
          <cell r="D1726">
            <v>2.8</v>
          </cell>
          <cell r="E1726">
            <v>2.8</v>
          </cell>
          <cell r="F1726">
            <v>2.8</v>
          </cell>
          <cell r="G1726">
            <v>2.8</v>
          </cell>
          <cell r="H1726">
            <v>0</v>
          </cell>
        </row>
        <row r="1727">
          <cell r="A1727" t="str">
            <v>POTBOU1</v>
          </cell>
          <cell r="B1727" t="str">
            <v>POTENTIOMETER  BOURNS 3006P 1K</v>
          </cell>
          <cell r="C1727">
            <v>8</v>
          </cell>
          <cell r="D1727">
            <v>8</v>
          </cell>
          <cell r="E1727">
            <v>8</v>
          </cell>
          <cell r="F1727">
            <v>8</v>
          </cell>
          <cell r="G1727">
            <v>8</v>
          </cell>
          <cell r="H1727">
            <v>0</v>
          </cell>
        </row>
        <row r="1728">
          <cell r="A1728" t="str">
            <v>POTBOU1F</v>
          </cell>
          <cell r="B1728" t="str">
            <v>POTENTIOMETER BOURNS 1K FINGER ADJ</v>
          </cell>
          <cell r="C1728">
            <v>7</v>
          </cell>
          <cell r="D1728">
            <v>7</v>
          </cell>
          <cell r="E1728">
            <v>7</v>
          </cell>
          <cell r="F1728">
            <v>7</v>
          </cell>
          <cell r="G1728">
            <v>7</v>
          </cell>
          <cell r="H1728">
            <v>5.81</v>
          </cell>
        </row>
        <row r="1729">
          <cell r="A1729" t="str">
            <v>POTBOU5</v>
          </cell>
          <cell r="B1729" t="str">
            <v>POTENTIOMETER  BOURNS 3006P 5K</v>
          </cell>
          <cell r="C1729">
            <v>8</v>
          </cell>
          <cell r="D1729">
            <v>8</v>
          </cell>
          <cell r="E1729">
            <v>8</v>
          </cell>
          <cell r="F1729">
            <v>8</v>
          </cell>
          <cell r="G1729">
            <v>8</v>
          </cell>
          <cell r="H1729">
            <v>0</v>
          </cell>
        </row>
        <row r="1730">
          <cell r="A1730" t="str">
            <v>PSIAPWR</v>
          </cell>
          <cell r="B1730" t="str">
            <v>POWER SUPPLY ADAPTER</v>
          </cell>
          <cell r="C1730">
            <v>0</v>
          </cell>
          <cell r="D1730">
            <v>0</v>
          </cell>
          <cell r="E1730">
            <v>0</v>
          </cell>
          <cell r="F1730">
            <v>0</v>
          </cell>
          <cell r="G1730">
            <v>0</v>
          </cell>
          <cell r="H1730">
            <v>0</v>
          </cell>
        </row>
        <row r="1731">
          <cell r="A1731" t="str">
            <v>PSICARD1</v>
          </cell>
          <cell r="B1731" t="str">
            <v>PSION  SOLID STATE DISK  FLASH  1MB</v>
          </cell>
          <cell r="C1731">
            <v>270</v>
          </cell>
          <cell r="D1731">
            <v>270</v>
          </cell>
          <cell r="E1731">
            <v>270</v>
          </cell>
          <cell r="F1731">
            <v>270</v>
          </cell>
          <cell r="G1731">
            <v>270</v>
          </cell>
          <cell r="H1731">
            <v>0</v>
          </cell>
        </row>
        <row r="1732">
          <cell r="A1732" t="str">
            <v>PSICASE</v>
          </cell>
          <cell r="B1732" t="str">
            <v>PSION  CASE</v>
          </cell>
          <cell r="C1732">
            <v>12.24</v>
          </cell>
          <cell r="D1732">
            <v>12.24</v>
          </cell>
          <cell r="E1732">
            <v>12.24</v>
          </cell>
          <cell r="F1732">
            <v>12.24</v>
          </cell>
          <cell r="G1732">
            <v>12.24</v>
          </cell>
          <cell r="H1732">
            <v>0</v>
          </cell>
        </row>
        <row r="1733">
          <cell r="A1733" t="str">
            <v>PSIDP12</v>
          </cell>
          <cell r="B1733" t="str">
            <v>PSION DATA PACK 128KB</v>
          </cell>
          <cell r="C1733">
            <v>0</v>
          </cell>
          <cell r="D1733">
            <v>0</v>
          </cell>
          <cell r="E1733">
            <v>0</v>
          </cell>
          <cell r="F1733">
            <v>0</v>
          </cell>
          <cell r="G1733">
            <v>0</v>
          </cell>
          <cell r="H1733">
            <v>0</v>
          </cell>
        </row>
        <row r="1734">
          <cell r="A1734" t="str">
            <v>PSILAUV</v>
          </cell>
          <cell r="B1734" t="str">
            <v>PSION LAMP FORMATTER</v>
          </cell>
          <cell r="C1734">
            <v>0.01</v>
          </cell>
          <cell r="D1734">
            <v>0.01</v>
          </cell>
          <cell r="E1734">
            <v>0.01</v>
          </cell>
          <cell r="F1734">
            <v>0.01</v>
          </cell>
          <cell r="G1734">
            <v>0.01</v>
          </cell>
          <cell r="H1734">
            <v>0</v>
          </cell>
        </row>
        <row r="1735">
          <cell r="A1735" t="str">
            <v>PSILOG</v>
          </cell>
          <cell r="B1735" t="str">
            <v>PSILOG SOFTWARE (PSION TO UNIDATA SOFTWA</v>
          </cell>
          <cell r="C1735">
            <v>525</v>
          </cell>
          <cell r="D1735">
            <v>525</v>
          </cell>
          <cell r="E1735">
            <v>525</v>
          </cell>
          <cell r="F1735">
            <v>525</v>
          </cell>
          <cell r="G1735">
            <v>525</v>
          </cell>
          <cell r="H1735">
            <v>0</v>
          </cell>
        </row>
        <row r="1736">
          <cell r="A1736" t="str">
            <v>PSIPWRS</v>
          </cell>
          <cell r="B1736" t="str">
            <v>PSION  POWER SUPPLY 240V TO 10.5DC</v>
          </cell>
          <cell r="C1736">
            <v>38</v>
          </cell>
          <cell r="D1736">
            <v>38</v>
          </cell>
          <cell r="E1736">
            <v>38</v>
          </cell>
          <cell r="F1736">
            <v>38</v>
          </cell>
          <cell r="G1736">
            <v>38</v>
          </cell>
          <cell r="H1736">
            <v>0</v>
          </cell>
        </row>
        <row r="1737">
          <cell r="A1737" t="str">
            <v>PSIWORK</v>
          </cell>
          <cell r="B1737" t="str">
            <v>PSION WORKBOOK MX MODEL WA030</v>
          </cell>
          <cell r="C1737">
            <v>1470</v>
          </cell>
          <cell r="D1737">
            <v>1470</v>
          </cell>
          <cell r="E1737">
            <v>1470</v>
          </cell>
          <cell r="F1737">
            <v>1470</v>
          </cell>
          <cell r="G1737">
            <v>1470</v>
          </cell>
          <cell r="H1737">
            <v>0</v>
          </cell>
        </row>
        <row r="1738">
          <cell r="A1738" t="str">
            <v>PSPROBE</v>
          </cell>
          <cell r="B1738" t="str">
            <v>PLATINUM TIPPED SOIL PROBE</v>
          </cell>
          <cell r="C1738">
            <v>105</v>
          </cell>
          <cell r="D1738">
            <v>105</v>
          </cell>
          <cell r="E1738">
            <v>105</v>
          </cell>
          <cell r="F1738">
            <v>105</v>
          </cell>
          <cell r="G1738">
            <v>105</v>
          </cell>
          <cell r="H1738">
            <v>94.581000000000003</v>
          </cell>
        </row>
        <row r="1739">
          <cell r="A1739" t="str">
            <v>PUMPMAR</v>
          </cell>
          <cell r="B1739" t="str">
            <v>MARCH PUMP #893-09</v>
          </cell>
          <cell r="C1739">
            <v>518</v>
          </cell>
          <cell r="D1739">
            <v>640</v>
          </cell>
          <cell r="E1739">
            <v>640</v>
          </cell>
          <cell r="F1739">
            <v>640</v>
          </cell>
          <cell r="G1739">
            <v>640</v>
          </cell>
          <cell r="H1739">
            <v>505</v>
          </cell>
          <cell r="I1739">
            <v>39884</v>
          </cell>
        </row>
        <row r="1740">
          <cell r="A1740" t="str">
            <v>PUMPP05</v>
          </cell>
          <cell r="B1740" t="str">
            <v>PUMPPRO SENSOR 6150 5m (old version)</v>
          </cell>
          <cell r="C1740">
            <v>3800</v>
          </cell>
          <cell r="D1740">
            <v>3800</v>
          </cell>
          <cell r="E1740">
            <v>3800</v>
          </cell>
          <cell r="F1740">
            <v>3800</v>
          </cell>
          <cell r="G1740">
            <v>3800</v>
          </cell>
          <cell r="H1740">
            <v>3460.0309999999999</v>
          </cell>
        </row>
        <row r="1741">
          <cell r="A1741" t="str">
            <v>PUMPP05A</v>
          </cell>
          <cell r="B1741" t="str">
            <v>PUMPPRO SENSOR  6150A 5M (modified)</v>
          </cell>
          <cell r="C1741">
            <v>3928</v>
          </cell>
          <cell r="D1741">
            <v>3950</v>
          </cell>
          <cell r="E1741">
            <v>3950</v>
          </cell>
          <cell r="F1741">
            <v>3950</v>
          </cell>
          <cell r="G1741">
            <v>3950</v>
          </cell>
          <cell r="H1741">
            <v>3558.4690000000001</v>
          </cell>
          <cell r="I1741">
            <v>39988</v>
          </cell>
        </row>
        <row r="1742">
          <cell r="A1742" t="str">
            <v>PUMPP10</v>
          </cell>
          <cell r="B1742" t="str">
            <v>PUMPPRO SENSOR 6150 10m (old version)</v>
          </cell>
          <cell r="C1742">
            <v>3714</v>
          </cell>
          <cell r="D1742">
            <v>3800</v>
          </cell>
          <cell r="E1742">
            <v>3800</v>
          </cell>
          <cell r="F1742">
            <v>3800</v>
          </cell>
          <cell r="G1742">
            <v>3800</v>
          </cell>
          <cell r="H1742">
            <v>3076.6019999999999</v>
          </cell>
          <cell r="I1742">
            <v>39883</v>
          </cell>
        </row>
        <row r="1743">
          <cell r="A1743" t="str">
            <v>PUMPP10A</v>
          </cell>
          <cell r="B1743" t="str">
            <v>PUMPPRO SENSOR 6150A 10m (modified)</v>
          </cell>
          <cell r="C1743">
            <v>5155</v>
          </cell>
          <cell r="D1743">
            <v>5155</v>
          </cell>
          <cell r="E1743">
            <v>5155</v>
          </cell>
          <cell r="F1743">
            <v>5155</v>
          </cell>
          <cell r="G1743">
            <v>5155</v>
          </cell>
          <cell r="H1743">
            <v>3967.67</v>
          </cell>
          <cell r="I1743">
            <v>40292</v>
          </cell>
        </row>
        <row r="1744">
          <cell r="A1744" t="str">
            <v>PUMPP20</v>
          </cell>
          <cell r="B1744" t="str">
            <v>PUMPPRO SENSOR 6150 20m (old version)</v>
          </cell>
          <cell r="C1744">
            <v>3800</v>
          </cell>
          <cell r="D1744">
            <v>3800</v>
          </cell>
          <cell r="E1744">
            <v>3800</v>
          </cell>
          <cell r="F1744">
            <v>3800</v>
          </cell>
          <cell r="G1744">
            <v>3800</v>
          </cell>
          <cell r="H1744">
            <v>2854.41</v>
          </cell>
        </row>
        <row r="1745">
          <cell r="A1745" t="str">
            <v>PUMPP20A</v>
          </cell>
          <cell r="B1745" t="str">
            <v>PUMPPRO SENSOR 6150A 20m (modified)</v>
          </cell>
          <cell r="C1745">
            <v>3950</v>
          </cell>
          <cell r="D1745">
            <v>4150</v>
          </cell>
          <cell r="E1745">
            <v>4150</v>
          </cell>
          <cell r="F1745">
            <v>4150</v>
          </cell>
          <cell r="G1745">
            <v>4150</v>
          </cell>
          <cell r="H1745">
            <v>1E-3</v>
          </cell>
        </row>
        <row r="1746">
          <cell r="A1746" t="str">
            <v>PUMPP35A</v>
          </cell>
          <cell r="B1746" t="str">
            <v>PUMPPRO SENSOR 6150 35m (modified)</v>
          </cell>
          <cell r="C1746">
            <v>5155</v>
          </cell>
          <cell r="D1746">
            <v>5155</v>
          </cell>
          <cell r="E1746">
            <v>5155</v>
          </cell>
          <cell r="F1746">
            <v>5155</v>
          </cell>
          <cell r="G1746">
            <v>5155</v>
          </cell>
          <cell r="H1746">
            <v>3967.67</v>
          </cell>
          <cell r="I1746">
            <v>40292</v>
          </cell>
        </row>
        <row r="1747">
          <cell r="A1747" t="str">
            <v>PUMPP70A</v>
          </cell>
          <cell r="B1747" t="str">
            <v>PUMPPRO SENSOR  6150A 70M (modified)</v>
          </cell>
          <cell r="C1747">
            <v>3950</v>
          </cell>
          <cell r="D1747">
            <v>4300</v>
          </cell>
          <cell r="E1747">
            <v>4300</v>
          </cell>
          <cell r="F1747">
            <v>4300</v>
          </cell>
          <cell r="G1747">
            <v>4300</v>
          </cell>
          <cell r="H1747">
            <v>3701.299</v>
          </cell>
        </row>
        <row r="1748">
          <cell r="A1748" t="str">
            <v>PUMPPA10S</v>
          </cell>
          <cell r="B1748" t="str">
            <v>PUMPPRO PANEL ASSY - 10m RANGE</v>
          </cell>
          <cell r="C1748">
            <v>5560</v>
          </cell>
          <cell r="D1748">
            <v>6995</v>
          </cell>
          <cell r="E1748">
            <v>6995</v>
          </cell>
          <cell r="F1748">
            <v>6995</v>
          </cell>
          <cell r="G1748">
            <v>6995</v>
          </cell>
          <cell r="H1748">
            <v>5167.7349999999997</v>
          </cell>
        </row>
        <row r="1749">
          <cell r="A1749" t="str">
            <v>PUMPPA5S</v>
          </cell>
          <cell r="B1749" t="str">
            <v>PUMPPRO PANEL ASSY - 5m RANGE</v>
          </cell>
          <cell r="C1749">
            <v>5560</v>
          </cell>
          <cell r="D1749">
            <v>6995</v>
          </cell>
          <cell r="E1749">
            <v>6995</v>
          </cell>
          <cell r="F1749">
            <v>6995</v>
          </cell>
          <cell r="G1749">
            <v>6995</v>
          </cell>
          <cell r="H1749">
            <v>4627.2049999999999</v>
          </cell>
          <cell r="I1749">
            <v>39882</v>
          </cell>
        </row>
        <row r="1750">
          <cell r="A1750" t="str">
            <v>PVC50</v>
          </cell>
          <cell r="B1750" t="str">
            <v>PVC SHEET 2000 x 1000 X 50mm</v>
          </cell>
          <cell r="C1750">
            <v>2063.25</v>
          </cell>
          <cell r="D1750">
            <v>2554.5</v>
          </cell>
          <cell r="E1750">
            <v>2554.5</v>
          </cell>
          <cell r="F1750">
            <v>2554.5</v>
          </cell>
          <cell r="G1750">
            <v>2554.5</v>
          </cell>
          <cell r="H1750">
            <v>1965</v>
          </cell>
          <cell r="I1750">
            <v>39882</v>
          </cell>
        </row>
        <row r="1751">
          <cell r="A1751" t="str">
            <v>PYGBRCL</v>
          </cell>
          <cell r="B1751" t="str">
            <v>PYGMY CURRENT METER PIVOT BEARING</v>
          </cell>
          <cell r="C1751">
            <v>66</v>
          </cell>
          <cell r="D1751">
            <v>81</v>
          </cell>
          <cell r="E1751">
            <v>81</v>
          </cell>
          <cell r="F1751">
            <v>81</v>
          </cell>
          <cell r="G1751">
            <v>81</v>
          </cell>
          <cell r="H1751">
            <v>104.627</v>
          </cell>
          <cell r="I1751">
            <v>39883</v>
          </cell>
        </row>
        <row r="1752">
          <cell r="A1752" t="str">
            <v>PYGBRCU</v>
          </cell>
          <cell r="B1752" t="str">
            <v>PYGMY CURRENT METER CUP BEARING UPPER</v>
          </cell>
          <cell r="C1752">
            <v>65</v>
          </cell>
          <cell r="D1752">
            <v>65</v>
          </cell>
          <cell r="E1752">
            <v>65</v>
          </cell>
          <cell r="F1752">
            <v>65</v>
          </cell>
          <cell r="G1752">
            <v>65</v>
          </cell>
          <cell r="H1752">
            <v>45.119</v>
          </cell>
        </row>
        <row r="1753">
          <cell r="A1753" t="str">
            <v>PYGBUWH</v>
          </cell>
          <cell r="B1753" t="str">
            <v>PYGMY CURRENT METER BUCKET WHEEL</v>
          </cell>
          <cell r="C1753">
            <v>365</v>
          </cell>
          <cell r="D1753">
            <v>365</v>
          </cell>
          <cell r="E1753">
            <v>365</v>
          </cell>
          <cell r="F1753">
            <v>365</v>
          </cell>
          <cell r="G1753">
            <v>365</v>
          </cell>
          <cell r="H1753">
            <v>0</v>
          </cell>
        </row>
        <row r="1754">
          <cell r="A1754" t="str">
            <v>PYGCACO</v>
          </cell>
          <cell r="B1754" t="str">
            <v>PYGMY CURRENT METER CONTACT CHAMBER CAP</v>
          </cell>
          <cell r="C1754">
            <v>25.92</v>
          </cell>
          <cell r="D1754">
            <v>25.92</v>
          </cell>
          <cell r="E1754">
            <v>25.92</v>
          </cell>
          <cell r="F1754">
            <v>25.92</v>
          </cell>
          <cell r="G1754">
            <v>25.92</v>
          </cell>
          <cell r="H1754">
            <v>0</v>
          </cell>
        </row>
        <row r="1755">
          <cell r="A1755" t="str">
            <v>PYGCHLS</v>
          </cell>
          <cell r="B1755" t="str">
            <v>Pygmy Chamber Locking Screw</v>
          </cell>
          <cell r="C1755">
            <v>16</v>
          </cell>
          <cell r="D1755">
            <v>20</v>
          </cell>
          <cell r="E1755">
            <v>20</v>
          </cell>
          <cell r="F1755">
            <v>20</v>
          </cell>
          <cell r="G1755">
            <v>20</v>
          </cell>
          <cell r="H1755">
            <v>18.788</v>
          </cell>
          <cell r="I1755">
            <v>40031</v>
          </cell>
        </row>
        <row r="1756">
          <cell r="A1756" t="str">
            <v>PYGCHNZ</v>
          </cell>
          <cell r="B1756" t="str">
            <v>PYGMY CURRENT METER CONTACT CHAMBER (NZ</v>
          </cell>
          <cell r="C1756">
            <v>55</v>
          </cell>
          <cell r="D1756">
            <v>55</v>
          </cell>
          <cell r="E1756">
            <v>55</v>
          </cell>
          <cell r="F1756">
            <v>55</v>
          </cell>
          <cell r="G1756">
            <v>55</v>
          </cell>
          <cell r="H1756">
            <v>44.6</v>
          </cell>
        </row>
        <row r="1757">
          <cell r="A1757" t="str">
            <v>PYGCUMM</v>
          </cell>
          <cell r="B1757" t="str">
            <v>PYGMY CURRENT METER - MH VERSION</v>
          </cell>
          <cell r="C1757">
            <v>1495</v>
          </cell>
          <cell r="D1757">
            <v>1495</v>
          </cell>
          <cell r="E1757">
            <v>1495</v>
          </cell>
          <cell r="F1757">
            <v>1495</v>
          </cell>
          <cell r="G1757">
            <v>1495</v>
          </cell>
          <cell r="H1757">
            <v>845</v>
          </cell>
        </row>
        <row r="1758">
          <cell r="A1758" t="str">
            <v>PYGCUMR</v>
          </cell>
          <cell r="B1758" t="str">
            <v>PYGMY CURRENT METER RS VERSION</v>
          </cell>
          <cell r="C1758">
            <v>1950</v>
          </cell>
          <cell r="D1758">
            <v>1950</v>
          </cell>
          <cell r="E1758">
            <v>1950</v>
          </cell>
          <cell r="F1758">
            <v>1950</v>
          </cell>
          <cell r="G1758">
            <v>1950</v>
          </cell>
          <cell r="H1758">
            <v>843.75</v>
          </cell>
        </row>
        <row r="1759">
          <cell r="A1759" t="str">
            <v>PYGCUMS</v>
          </cell>
          <cell r="B1759" t="str">
            <v>PYGMY CURRENT METER STD VERSION</v>
          </cell>
          <cell r="C1759">
            <v>1950</v>
          </cell>
          <cell r="D1759">
            <v>1950</v>
          </cell>
          <cell r="E1759">
            <v>1950</v>
          </cell>
          <cell r="F1759">
            <v>1950</v>
          </cell>
          <cell r="G1759">
            <v>1950</v>
          </cell>
          <cell r="H1759">
            <v>0</v>
          </cell>
        </row>
        <row r="1760">
          <cell r="A1760" t="str">
            <v>PYGDIG</v>
          </cell>
          <cell r="B1760" t="str">
            <v>625DD0N Digital Pygmy Meter kit</v>
          </cell>
          <cell r="C1760">
            <v>0</v>
          </cell>
          <cell r="D1760">
            <v>0</v>
          </cell>
          <cell r="E1760">
            <v>0</v>
          </cell>
          <cell r="F1760">
            <v>0</v>
          </cell>
          <cell r="G1760">
            <v>0</v>
          </cell>
          <cell r="H1760">
            <v>3097.1219999999998</v>
          </cell>
          <cell r="I1760">
            <v>39365</v>
          </cell>
        </row>
        <row r="1761">
          <cell r="A1761" t="str">
            <v>PYGHUBW</v>
          </cell>
          <cell r="B1761" t="str">
            <v>PYGMY CURRENT METER BUCKET HUB</v>
          </cell>
          <cell r="C1761">
            <v>145</v>
          </cell>
          <cell r="D1761">
            <v>145</v>
          </cell>
          <cell r="E1761">
            <v>145</v>
          </cell>
          <cell r="F1761">
            <v>145</v>
          </cell>
          <cell r="G1761">
            <v>145</v>
          </cell>
          <cell r="H1761">
            <v>100</v>
          </cell>
        </row>
        <row r="1762">
          <cell r="A1762" t="str">
            <v>PYGMHCK</v>
          </cell>
          <cell r="B1762" t="str">
            <v>PYGMY MAGNETIC HEAD CONVERSION KIT</v>
          </cell>
          <cell r="C1762">
            <v>375</v>
          </cell>
          <cell r="D1762">
            <v>450</v>
          </cell>
          <cell r="E1762">
            <v>450</v>
          </cell>
          <cell r="F1762">
            <v>450</v>
          </cell>
          <cell r="G1762">
            <v>450</v>
          </cell>
          <cell r="H1762">
            <v>348.327</v>
          </cell>
        </row>
        <row r="1763">
          <cell r="A1763" t="str">
            <v>PYGPIRE</v>
          </cell>
          <cell r="B1763" t="str">
            <v>PYGMY PIVOT RECONDITIONED</v>
          </cell>
          <cell r="C1763">
            <v>12</v>
          </cell>
          <cell r="D1763">
            <v>12</v>
          </cell>
          <cell r="E1763">
            <v>12</v>
          </cell>
          <cell r="F1763">
            <v>12</v>
          </cell>
          <cell r="G1763">
            <v>12</v>
          </cell>
          <cell r="H1763">
            <v>8</v>
          </cell>
        </row>
        <row r="1764">
          <cell r="A1764" t="str">
            <v>PYGPIST</v>
          </cell>
          <cell r="B1764" t="str">
            <v>PYGMY CURRENT METER PIVOT ASSEMBLY</v>
          </cell>
          <cell r="C1764">
            <v>65</v>
          </cell>
          <cell r="D1764">
            <v>65</v>
          </cell>
          <cell r="E1764">
            <v>65</v>
          </cell>
          <cell r="F1764">
            <v>65</v>
          </cell>
          <cell r="G1764">
            <v>65</v>
          </cell>
          <cell r="H1764">
            <v>37.956000000000003</v>
          </cell>
        </row>
        <row r="1765">
          <cell r="A1765" t="str">
            <v>PYGPIVTR</v>
          </cell>
          <cell r="B1765" t="str">
            <v>PYGMY CURRENT METER TRAVELLING PIVOT</v>
          </cell>
          <cell r="C1765">
            <v>22.96</v>
          </cell>
          <cell r="D1765">
            <v>29</v>
          </cell>
          <cell r="E1765">
            <v>29</v>
          </cell>
          <cell r="F1765">
            <v>29</v>
          </cell>
          <cell r="G1765">
            <v>29</v>
          </cell>
          <cell r="H1765">
            <v>6.8250000000000002</v>
          </cell>
          <cell r="I1765">
            <v>39883</v>
          </cell>
        </row>
        <row r="1766">
          <cell r="A1766" t="str">
            <v>PYGPOBI</v>
          </cell>
          <cell r="B1766" t="str">
            <v>PYGMY CURRENT METER BINDING POST</v>
          </cell>
          <cell r="C1766">
            <v>49</v>
          </cell>
          <cell r="D1766">
            <v>60</v>
          </cell>
          <cell r="E1766">
            <v>60</v>
          </cell>
          <cell r="F1766">
            <v>60</v>
          </cell>
          <cell r="G1766">
            <v>60</v>
          </cell>
          <cell r="H1766">
            <v>39.811</v>
          </cell>
          <cell r="I1766">
            <v>39883</v>
          </cell>
        </row>
        <row r="1767">
          <cell r="A1767" t="str">
            <v>PYGSCSP</v>
          </cell>
          <cell r="B1767" t="str">
            <v>PYGMY CURRENT METER PIVOT SET SCREW</v>
          </cell>
          <cell r="C1767">
            <v>9.8699999999999992</v>
          </cell>
          <cell r="D1767">
            <v>9.8699999999999992</v>
          </cell>
          <cell r="E1767">
            <v>9.8699999999999992</v>
          </cell>
          <cell r="F1767">
            <v>9.8699999999999992</v>
          </cell>
          <cell r="G1767">
            <v>9.8699999999999992</v>
          </cell>
          <cell r="H1767">
            <v>3.0289999999999999</v>
          </cell>
        </row>
        <row r="1768">
          <cell r="A1768" t="str">
            <v>PYGSHAF</v>
          </cell>
          <cell r="B1768" t="str">
            <v>PYGMY CURRENT METER SHAFT</v>
          </cell>
          <cell r="C1768">
            <v>75</v>
          </cell>
          <cell r="D1768">
            <v>75</v>
          </cell>
          <cell r="E1768">
            <v>75</v>
          </cell>
          <cell r="F1768">
            <v>75</v>
          </cell>
          <cell r="G1768">
            <v>75</v>
          </cell>
          <cell r="H1768">
            <v>0</v>
          </cell>
        </row>
        <row r="1769">
          <cell r="A1769" t="str">
            <v>PYGSHRS</v>
          </cell>
          <cell r="B1769" t="str">
            <v>PYGMY CURRENT METER SHAFT REED SWITCH</v>
          </cell>
          <cell r="C1769">
            <v>91</v>
          </cell>
          <cell r="D1769">
            <v>112</v>
          </cell>
          <cell r="E1769">
            <v>112</v>
          </cell>
          <cell r="F1769">
            <v>112</v>
          </cell>
          <cell r="G1769">
            <v>112</v>
          </cell>
          <cell r="H1769">
            <v>0</v>
          </cell>
          <cell r="I1769">
            <v>39883</v>
          </cell>
        </row>
        <row r="1770">
          <cell r="A1770" t="str">
            <v>PYGSSPL</v>
          </cell>
          <cell r="B1770" t="str">
            <v>PYGMY CURRENT METER PIVOT LOCK-NUT SET S</v>
          </cell>
          <cell r="C1770">
            <v>8.3000000000000007</v>
          </cell>
          <cell r="D1770">
            <v>10.24</v>
          </cell>
          <cell r="E1770">
            <v>10.24</v>
          </cell>
          <cell r="F1770">
            <v>10.24</v>
          </cell>
          <cell r="G1770">
            <v>10.24</v>
          </cell>
          <cell r="H1770">
            <v>12.48</v>
          </cell>
          <cell r="I1770">
            <v>39883</v>
          </cell>
        </row>
        <row r="1771">
          <cell r="A1771" t="str">
            <v>PYGYOKE</v>
          </cell>
          <cell r="B1771" t="str">
            <v>PYGMY CURRENT METER YOKE</v>
          </cell>
          <cell r="C1771">
            <v>350.5</v>
          </cell>
          <cell r="D1771">
            <v>350.5</v>
          </cell>
          <cell r="E1771">
            <v>350.5</v>
          </cell>
          <cell r="F1771">
            <v>350.5</v>
          </cell>
          <cell r="G1771">
            <v>350.5</v>
          </cell>
          <cell r="H1771">
            <v>0</v>
          </cell>
        </row>
        <row r="1772">
          <cell r="A1772" t="str">
            <v>PYRLISH</v>
          </cell>
          <cell r="B1772" t="str">
            <v>PYRANOMETER LICOR SHIELD</v>
          </cell>
          <cell r="C1772">
            <v>47.25</v>
          </cell>
          <cell r="D1772">
            <v>58.5</v>
          </cell>
          <cell r="E1772">
            <v>58.5</v>
          </cell>
          <cell r="F1772">
            <v>58.5</v>
          </cell>
          <cell r="G1772">
            <v>58.5</v>
          </cell>
          <cell r="H1772">
            <v>45</v>
          </cell>
          <cell r="I1772">
            <v>39988</v>
          </cell>
        </row>
        <row r="1773">
          <cell r="A1773" t="str">
            <v>PYRPSPSH</v>
          </cell>
          <cell r="B1773" t="str">
            <v>PYRONOMETER  REFLECTOR SHIELD (EPPLEY)</v>
          </cell>
          <cell r="C1773">
            <v>35</v>
          </cell>
          <cell r="D1773">
            <v>35</v>
          </cell>
          <cell r="E1773">
            <v>35</v>
          </cell>
          <cell r="F1773">
            <v>35</v>
          </cell>
          <cell r="G1773">
            <v>35</v>
          </cell>
          <cell r="H1773">
            <v>0</v>
          </cell>
        </row>
        <row r="1774">
          <cell r="A1774" t="str">
            <v>QBOAT</v>
          </cell>
          <cell r="B1774" t="str">
            <v>Q-BOAT 1800 ADCP BOAT</v>
          </cell>
          <cell r="C1774">
            <v>0</v>
          </cell>
          <cell r="D1774">
            <v>0</v>
          </cell>
          <cell r="E1774">
            <v>0</v>
          </cell>
          <cell r="F1774">
            <v>0</v>
          </cell>
          <cell r="G1774">
            <v>0</v>
          </cell>
          <cell r="H1774">
            <v>6531.9690000000001</v>
          </cell>
        </row>
        <row r="1775">
          <cell r="A1775" t="str">
            <v>QBOATB</v>
          </cell>
          <cell r="B1775" t="str">
            <v>Q-BOAT 1800 BATTERY</v>
          </cell>
          <cell r="C1775">
            <v>0</v>
          </cell>
          <cell r="D1775">
            <v>0</v>
          </cell>
          <cell r="E1775">
            <v>0</v>
          </cell>
          <cell r="F1775">
            <v>0</v>
          </cell>
          <cell r="G1775">
            <v>0</v>
          </cell>
          <cell r="H1775">
            <v>365.99599999999998</v>
          </cell>
        </row>
        <row r="1776">
          <cell r="A1776" t="str">
            <v>QBOATR</v>
          </cell>
          <cell r="B1776" t="str">
            <v>Q-BOAT 1800 REMOTE CONTROL SYSTEM</v>
          </cell>
          <cell r="C1776">
            <v>0</v>
          </cell>
          <cell r="D1776">
            <v>0</v>
          </cell>
          <cell r="E1776">
            <v>0</v>
          </cell>
          <cell r="F1776">
            <v>0</v>
          </cell>
          <cell r="G1776">
            <v>0</v>
          </cell>
          <cell r="H1776">
            <v>809.30700000000002</v>
          </cell>
        </row>
        <row r="1777">
          <cell r="A1777" t="str">
            <v>RAD08TR</v>
          </cell>
          <cell r="B1777" t="str">
            <v>RADIATION SHIELD ASSEMBLY TIE ROD</v>
          </cell>
          <cell r="C1777">
            <v>4.5</v>
          </cell>
          <cell r="D1777">
            <v>4.5</v>
          </cell>
          <cell r="E1777">
            <v>4.5</v>
          </cell>
          <cell r="F1777">
            <v>4.5</v>
          </cell>
          <cell r="G1777">
            <v>4.5</v>
          </cell>
          <cell r="H1777">
            <v>6.3220000000000001</v>
          </cell>
        </row>
        <row r="1778">
          <cell r="A1778" t="str">
            <v>RADCR18</v>
          </cell>
          <cell r="B1778" t="str">
            <v>RADIO  TAIT T198 CRADLE</v>
          </cell>
          <cell r="C1778">
            <v>143</v>
          </cell>
          <cell r="D1778">
            <v>143</v>
          </cell>
          <cell r="E1778">
            <v>143</v>
          </cell>
          <cell r="F1778">
            <v>143</v>
          </cell>
          <cell r="G1778">
            <v>143</v>
          </cell>
          <cell r="H1778">
            <v>0</v>
          </cell>
        </row>
        <row r="1779">
          <cell r="A1779" t="str">
            <v>RADLGSP</v>
          </cell>
          <cell r="B1779" t="str">
            <v>RADIATION SHIELD LONG SPACER</v>
          </cell>
          <cell r="C1779">
            <v>2</v>
          </cell>
          <cell r="D1779">
            <v>2</v>
          </cell>
          <cell r="E1779">
            <v>2</v>
          </cell>
          <cell r="F1779">
            <v>2</v>
          </cell>
          <cell r="G1779">
            <v>2</v>
          </cell>
          <cell r="H1779">
            <v>1.524</v>
          </cell>
        </row>
        <row r="1780">
          <cell r="A1780" t="str">
            <v>RADLILU</v>
          </cell>
          <cell r="B1780" t="str">
            <v>RADIATION SHIELD LID</v>
          </cell>
          <cell r="C1780">
            <v>7</v>
          </cell>
          <cell r="D1780">
            <v>7</v>
          </cell>
          <cell r="E1780">
            <v>7</v>
          </cell>
          <cell r="F1780">
            <v>7</v>
          </cell>
          <cell r="G1780">
            <v>7</v>
          </cell>
          <cell r="H1780">
            <v>5.2670000000000003</v>
          </cell>
        </row>
        <row r="1781">
          <cell r="A1781" t="str">
            <v>RADRILU</v>
          </cell>
          <cell r="B1781" t="str">
            <v>RADIATION SHIELD RING</v>
          </cell>
          <cell r="C1781">
            <v>6.12</v>
          </cell>
          <cell r="D1781">
            <v>7.6</v>
          </cell>
          <cell r="E1781">
            <v>7.6</v>
          </cell>
          <cell r="F1781">
            <v>7.6</v>
          </cell>
          <cell r="G1781">
            <v>7.6</v>
          </cell>
          <cell r="H1781">
            <v>7.7969999999999997</v>
          </cell>
          <cell r="I1781">
            <v>39988</v>
          </cell>
        </row>
        <row r="1782">
          <cell r="A1782" t="str">
            <v>RADSEMP</v>
          </cell>
          <cell r="B1782" t="str">
            <v>RADIATION SENSOR MOUNTING PLATE</v>
          </cell>
          <cell r="C1782">
            <v>50.5</v>
          </cell>
          <cell r="D1782">
            <v>62.5</v>
          </cell>
          <cell r="E1782">
            <v>62.5</v>
          </cell>
          <cell r="F1782">
            <v>62.5</v>
          </cell>
          <cell r="G1782">
            <v>62.5</v>
          </cell>
          <cell r="H1782">
            <v>48.25</v>
          </cell>
        </row>
        <row r="1783">
          <cell r="A1783" t="str">
            <v>RADSH08</v>
          </cell>
          <cell r="B1783" t="str">
            <v>RADIATION SHIELD (LM34 &amp; 107 SERIES TEMP</v>
          </cell>
          <cell r="C1783">
            <v>116</v>
          </cell>
          <cell r="D1783">
            <v>134</v>
          </cell>
          <cell r="E1783">
            <v>134</v>
          </cell>
          <cell r="F1783">
            <v>134</v>
          </cell>
          <cell r="G1783">
            <v>134</v>
          </cell>
          <cell r="H1783">
            <v>106.20099999999999</v>
          </cell>
          <cell r="I1783">
            <v>40031</v>
          </cell>
        </row>
        <row r="1784">
          <cell r="A1784" t="str">
            <v>RADSH20</v>
          </cell>
          <cell r="B1784" t="str">
            <v>RADIATION SHIELD (HMP35 &amp; 45D SENSOR)</v>
          </cell>
          <cell r="C1784">
            <v>250</v>
          </cell>
          <cell r="D1784">
            <v>250</v>
          </cell>
          <cell r="E1784">
            <v>250</v>
          </cell>
          <cell r="F1784">
            <v>250</v>
          </cell>
          <cell r="G1784">
            <v>250</v>
          </cell>
          <cell r="H1784">
            <v>197.00800000000001</v>
          </cell>
        </row>
        <row r="1785">
          <cell r="A1785" t="str">
            <v>RADSHBR</v>
          </cell>
          <cell r="B1785" t="str">
            <v>BRACKETS.FOR MOUNTING RADIATION SCREENS.</v>
          </cell>
          <cell r="C1785">
            <v>36</v>
          </cell>
          <cell r="D1785">
            <v>44.21</v>
          </cell>
          <cell r="E1785">
            <v>44.21</v>
          </cell>
          <cell r="F1785">
            <v>44.21</v>
          </cell>
          <cell r="G1785">
            <v>44.21</v>
          </cell>
          <cell r="H1785">
            <v>37.130000000000003</v>
          </cell>
          <cell r="I1785">
            <v>40031</v>
          </cell>
        </row>
        <row r="1786">
          <cell r="A1786" t="str">
            <v>RADSHCE</v>
          </cell>
          <cell r="B1786" t="str">
            <v>RADIATION SHIELD END CUPS</v>
          </cell>
          <cell r="C1786">
            <v>11.96</v>
          </cell>
          <cell r="D1786">
            <v>11.96</v>
          </cell>
          <cell r="E1786">
            <v>11.96</v>
          </cell>
          <cell r="F1786">
            <v>11.96</v>
          </cell>
          <cell r="G1786">
            <v>11.96</v>
          </cell>
          <cell r="H1786">
            <v>0</v>
          </cell>
        </row>
        <row r="1787">
          <cell r="A1787" t="str">
            <v>RADSHSP</v>
          </cell>
          <cell r="B1787" t="str">
            <v>RADIATION SHIELD SPACERS</v>
          </cell>
          <cell r="C1787">
            <v>2.25</v>
          </cell>
          <cell r="D1787">
            <v>2.25</v>
          </cell>
          <cell r="E1787">
            <v>2.25</v>
          </cell>
          <cell r="F1787">
            <v>2.25</v>
          </cell>
          <cell r="G1787">
            <v>2.25</v>
          </cell>
          <cell r="H1787">
            <v>1.35</v>
          </cell>
        </row>
        <row r="1788">
          <cell r="A1788" t="str">
            <v>RADSPT2</v>
          </cell>
          <cell r="B1788" t="str">
            <v>RADIO  TAIT T198 SPEAKER</v>
          </cell>
          <cell r="C1788">
            <v>39</v>
          </cell>
          <cell r="D1788">
            <v>39</v>
          </cell>
          <cell r="E1788">
            <v>39</v>
          </cell>
          <cell r="F1788">
            <v>39</v>
          </cell>
          <cell r="G1788">
            <v>39</v>
          </cell>
          <cell r="H1788">
            <v>0</v>
          </cell>
        </row>
        <row r="1789">
          <cell r="A1789" t="str">
            <v>RADT8105</v>
          </cell>
          <cell r="B1789" t="str">
            <v>RADIO  TAIT A BAND 12.5 KHz TM8105-A4A00</v>
          </cell>
          <cell r="C1789">
            <v>1610</v>
          </cell>
          <cell r="D1789">
            <v>1610</v>
          </cell>
          <cell r="E1789">
            <v>1610</v>
          </cell>
          <cell r="F1789">
            <v>1610</v>
          </cell>
          <cell r="G1789">
            <v>1610</v>
          </cell>
          <cell r="H1789">
            <v>0</v>
          </cell>
        </row>
        <row r="1790">
          <cell r="A1790" t="str">
            <v>RADT8110</v>
          </cell>
          <cell r="B1790" t="str">
            <v>TAIT TM8110 TRANSCEIVERS</v>
          </cell>
          <cell r="C1790">
            <v>1450</v>
          </cell>
          <cell r="D1790">
            <v>1450</v>
          </cell>
          <cell r="E1790">
            <v>1450</v>
          </cell>
          <cell r="F1790">
            <v>1450</v>
          </cell>
          <cell r="G1790">
            <v>1450</v>
          </cell>
          <cell r="H1790">
            <v>1088</v>
          </cell>
        </row>
        <row r="1791">
          <cell r="A1791" t="str">
            <v>RADTB232</v>
          </cell>
          <cell r="B1791" t="str">
            <v>TAIT TM8000 RS232 BOARD TMAA01-02</v>
          </cell>
          <cell r="C1791">
            <v>65</v>
          </cell>
          <cell r="D1791">
            <v>65</v>
          </cell>
          <cell r="E1791">
            <v>65</v>
          </cell>
          <cell r="F1791">
            <v>65</v>
          </cell>
          <cell r="G1791">
            <v>65</v>
          </cell>
          <cell r="H1791">
            <v>48</v>
          </cell>
        </row>
        <row r="1792">
          <cell r="A1792" t="str">
            <v>RADTHDK</v>
          </cell>
          <cell r="B1792" t="str">
            <v>TAIT RADIO HARDWARE DEVELOPERS KIT</v>
          </cell>
          <cell r="C1792">
            <v>0</v>
          </cell>
          <cell r="D1792">
            <v>0</v>
          </cell>
          <cell r="E1792">
            <v>0</v>
          </cell>
          <cell r="F1792">
            <v>0</v>
          </cell>
          <cell r="G1792">
            <v>0</v>
          </cell>
          <cell r="H1792">
            <v>0</v>
          </cell>
        </row>
        <row r="1793">
          <cell r="A1793" t="str">
            <v>REELEF</v>
          </cell>
          <cell r="B1793" t="str">
            <v>ELECTRIC FENCE REEL 50 x 180mm GREY</v>
          </cell>
          <cell r="C1793">
            <v>43.5</v>
          </cell>
          <cell r="D1793">
            <v>43.5</v>
          </cell>
          <cell r="E1793">
            <v>43.5</v>
          </cell>
          <cell r="F1793">
            <v>43.5</v>
          </cell>
          <cell r="G1793">
            <v>43.5</v>
          </cell>
          <cell r="H1793">
            <v>32.799999999999997</v>
          </cell>
        </row>
        <row r="1794">
          <cell r="A1794" t="str">
            <v>REGAERO</v>
          </cell>
          <cell r="B1794" t="str">
            <v>AEROGEN 4TB12 REGULATOR</v>
          </cell>
          <cell r="C1794">
            <v>445</v>
          </cell>
          <cell r="D1794">
            <v>445</v>
          </cell>
          <cell r="E1794">
            <v>445</v>
          </cell>
          <cell r="F1794">
            <v>445</v>
          </cell>
          <cell r="G1794">
            <v>445</v>
          </cell>
          <cell r="H1794">
            <v>400.82</v>
          </cell>
        </row>
        <row r="1795">
          <cell r="A1795" t="str">
            <v>RELBA05</v>
          </cell>
          <cell r="B1795" t="str">
            <v>RELAY BASE P2RF-05E</v>
          </cell>
          <cell r="C1795">
            <v>22</v>
          </cell>
          <cell r="D1795">
            <v>22</v>
          </cell>
          <cell r="E1795">
            <v>22</v>
          </cell>
          <cell r="F1795">
            <v>22</v>
          </cell>
          <cell r="G1795">
            <v>22</v>
          </cell>
          <cell r="H1795">
            <v>12.086</v>
          </cell>
        </row>
        <row r="1796">
          <cell r="A1796" t="str">
            <v>RELBA08</v>
          </cell>
          <cell r="B1796" t="str">
            <v>RELAY BASE P2RF-08E</v>
          </cell>
          <cell r="C1796">
            <v>30</v>
          </cell>
          <cell r="D1796">
            <v>30</v>
          </cell>
          <cell r="E1796">
            <v>30</v>
          </cell>
          <cell r="F1796">
            <v>30</v>
          </cell>
          <cell r="G1796">
            <v>30</v>
          </cell>
          <cell r="H1796">
            <v>15.79</v>
          </cell>
        </row>
        <row r="1797">
          <cell r="A1797" t="str">
            <v>RELDP012</v>
          </cell>
          <cell r="B1797" t="str">
            <v>RELAY DOUBLE POLE COIL 12VDC</v>
          </cell>
          <cell r="C1797">
            <v>42</v>
          </cell>
          <cell r="D1797">
            <v>42</v>
          </cell>
          <cell r="E1797">
            <v>42</v>
          </cell>
          <cell r="F1797">
            <v>42</v>
          </cell>
          <cell r="G1797">
            <v>42</v>
          </cell>
          <cell r="H1797">
            <v>22.81</v>
          </cell>
        </row>
        <row r="1798">
          <cell r="A1798" t="str">
            <v>RELOM12</v>
          </cell>
          <cell r="B1798" t="str">
            <v>RELAY  DPDT 12 Vdc 2A</v>
          </cell>
          <cell r="C1798">
            <v>9.8000000000000007</v>
          </cell>
          <cell r="D1798">
            <v>9.8000000000000007</v>
          </cell>
          <cell r="E1798">
            <v>9.8000000000000007</v>
          </cell>
          <cell r="F1798">
            <v>9.8000000000000007</v>
          </cell>
          <cell r="G1798">
            <v>9.8000000000000007</v>
          </cell>
          <cell r="H1798">
            <v>6.0229999999999997</v>
          </cell>
        </row>
        <row r="1799">
          <cell r="A1799" t="str">
            <v>RELOM20</v>
          </cell>
          <cell r="B1799" t="str">
            <v>RELAY  DPDT 12vdc</v>
          </cell>
          <cell r="C1799">
            <v>5.88</v>
          </cell>
          <cell r="D1799">
            <v>7.28</v>
          </cell>
          <cell r="E1799">
            <v>7.28</v>
          </cell>
          <cell r="F1799">
            <v>7.28</v>
          </cell>
          <cell r="G1799">
            <v>7.28</v>
          </cell>
          <cell r="H1799">
            <v>5.6</v>
          </cell>
          <cell r="I1799">
            <v>39883</v>
          </cell>
        </row>
        <row r="1800">
          <cell r="A1800" t="str">
            <v>RELOM26</v>
          </cell>
          <cell r="B1800" t="str">
            <v>RELAY OMI-SS-206D</v>
          </cell>
          <cell r="C1800">
            <v>6</v>
          </cell>
          <cell r="D1800">
            <v>6</v>
          </cell>
          <cell r="E1800">
            <v>6</v>
          </cell>
          <cell r="F1800">
            <v>6</v>
          </cell>
          <cell r="G1800">
            <v>6</v>
          </cell>
          <cell r="H1800">
            <v>0</v>
          </cell>
        </row>
        <row r="1801">
          <cell r="A1801" t="str">
            <v>RELRS12</v>
          </cell>
          <cell r="B1801" t="str">
            <v>RELAY  DPDT 12V 1.25A #RY-12WK</v>
          </cell>
          <cell r="C1801">
            <v>28.8</v>
          </cell>
          <cell r="D1801">
            <v>28.8</v>
          </cell>
          <cell r="E1801">
            <v>28.8</v>
          </cell>
          <cell r="F1801">
            <v>28.8</v>
          </cell>
          <cell r="G1801">
            <v>28.8</v>
          </cell>
          <cell r="H1801">
            <v>1.25</v>
          </cell>
        </row>
        <row r="1802">
          <cell r="A1802" t="str">
            <v>RELRY12</v>
          </cell>
          <cell r="B1802" t="str">
            <v>RELAY  2P PHILIPS RY12</v>
          </cell>
          <cell r="C1802">
            <v>11.94</v>
          </cell>
          <cell r="D1802">
            <v>11.94</v>
          </cell>
          <cell r="E1802">
            <v>11.94</v>
          </cell>
          <cell r="F1802">
            <v>11.94</v>
          </cell>
          <cell r="G1802">
            <v>11.94</v>
          </cell>
          <cell r="H1802">
            <v>2.2309999999999999</v>
          </cell>
        </row>
        <row r="1803">
          <cell r="A1803" t="str">
            <v>RELSHRP</v>
          </cell>
          <cell r="B1803" t="str">
            <v>RELAY  SHRACK RP418012</v>
          </cell>
          <cell r="C1803">
            <v>7</v>
          </cell>
          <cell r="D1803">
            <v>8.75</v>
          </cell>
          <cell r="E1803">
            <v>8.75</v>
          </cell>
          <cell r="F1803">
            <v>8.75</v>
          </cell>
          <cell r="G1803">
            <v>8.75</v>
          </cell>
          <cell r="H1803">
            <v>3.8029999999999999</v>
          </cell>
        </row>
        <row r="1804">
          <cell r="A1804" t="str">
            <v>RELSP012</v>
          </cell>
          <cell r="B1804" t="str">
            <v>RELAY SINGLE POLE COIL 12VDC</v>
          </cell>
          <cell r="C1804">
            <v>27</v>
          </cell>
          <cell r="D1804">
            <v>27</v>
          </cell>
          <cell r="E1804">
            <v>27</v>
          </cell>
          <cell r="F1804">
            <v>27</v>
          </cell>
          <cell r="G1804">
            <v>27</v>
          </cell>
          <cell r="H1804">
            <v>16.071000000000002</v>
          </cell>
        </row>
        <row r="1805">
          <cell r="A1805" t="str">
            <v>RELSP024</v>
          </cell>
          <cell r="B1805" t="str">
            <v>RELAY SINGLE POLE COIL 24VDC</v>
          </cell>
          <cell r="C1805">
            <v>27</v>
          </cell>
          <cell r="D1805">
            <v>27</v>
          </cell>
          <cell r="E1805">
            <v>27</v>
          </cell>
          <cell r="F1805">
            <v>27</v>
          </cell>
          <cell r="G1805">
            <v>27</v>
          </cell>
          <cell r="H1805">
            <v>15.31</v>
          </cell>
        </row>
        <row r="1806">
          <cell r="A1806" t="str">
            <v>RELSP240</v>
          </cell>
          <cell r="B1806" t="str">
            <v>RELAY SINGLE POLE COIL 240VAC</v>
          </cell>
          <cell r="C1806">
            <v>45</v>
          </cell>
          <cell r="D1806">
            <v>45</v>
          </cell>
          <cell r="E1806">
            <v>45</v>
          </cell>
          <cell r="F1806">
            <v>45</v>
          </cell>
          <cell r="G1806">
            <v>45</v>
          </cell>
          <cell r="H1806">
            <v>24.09</v>
          </cell>
        </row>
        <row r="1807">
          <cell r="A1807" t="str">
            <v>RELSS12</v>
          </cell>
          <cell r="B1807" t="str">
            <v>RELAY  NAIS AQZ202 12V SOLID STATE</v>
          </cell>
          <cell r="C1807">
            <v>48</v>
          </cell>
          <cell r="D1807">
            <v>48</v>
          </cell>
          <cell r="E1807">
            <v>48</v>
          </cell>
          <cell r="F1807">
            <v>48</v>
          </cell>
          <cell r="G1807">
            <v>48</v>
          </cell>
          <cell r="H1807">
            <v>43.17</v>
          </cell>
        </row>
        <row r="1808">
          <cell r="A1808" t="str">
            <v>RELSSCO</v>
          </cell>
          <cell r="B1808" t="str">
            <v>RELAY  CONTINENTAL SOLID STATE 12A DC</v>
          </cell>
          <cell r="C1808">
            <v>95.55</v>
          </cell>
          <cell r="D1808">
            <v>118.3</v>
          </cell>
          <cell r="E1808">
            <v>118.3</v>
          </cell>
          <cell r="F1808">
            <v>118.3</v>
          </cell>
          <cell r="G1808">
            <v>118.3</v>
          </cell>
          <cell r="H1808">
            <v>0</v>
          </cell>
          <cell r="I1808">
            <v>39883</v>
          </cell>
        </row>
        <row r="1809">
          <cell r="A1809" t="str">
            <v>RES-000000</v>
          </cell>
          <cell r="B1809" t="str">
            <v>RESISTOR ZERO OHM</v>
          </cell>
          <cell r="C1809">
            <v>0.15</v>
          </cell>
          <cell r="D1809">
            <v>0.15</v>
          </cell>
          <cell r="E1809">
            <v>0.15</v>
          </cell>
          <cell r="F1809">
            <v>0.15</v>
          </cell>
          <cell r="G1809">
            <v>0.15</v>
          </cell>
          <cell r="H1809">
            <v>0.06</v>
          </cell>
        </row>
        <row r="1810">
          <cell r="A1810" t="str">
            <v>RES-000015</v>
          </cell>
          <cell r="B1810" t="str">
            <v>RESISTOR  0.15 OHM 2W 5%</v>
          </cell>
          <cell r="C1810">
            <v>4.5</v>
          </cell>
          <cell r="D1810">
            <v>4.5</v>
          </cell>
          <cell r="E1810">
            <v>4.5</v>
          </cell>
          <cell r="F1810">
            <v>4.5</v>
          </cell>
          <cell r="G1810">
            <v>4.5</v>
          </cell>
          <cell r="H1810">
            <v>0.52</v>
          </cell>
        </row>
        <row r="1811">
          <cell r="A1811" t="str">
            <v>RES-00101</v>
          </cell>
          <cell r="B1811" t="str">
            <v>RESISTOR 10 OHM 0.6W 1%</v>
          </cell>
          <cell r="C1811">
            <v>0.15</v>
          </cell>
          <cell r="D1811">
            <v>0.15</v>
          </cell>
          <cell r="E1811">
            <v>0.15</v>
          </cell>
          <cell r="F1811">
            <v>0.15</v>
          </cell>
          <cell r="G1811">
            <v>0.15</v>
          </cell>
          <cell r="H1811">
            <v>0</v>
          </cell>
        </row>
        <row r="1812">
          <cell r="A1812" t="str">
            <v>RES-00123</v>
          </cell>
          <cell r="B1812" t="str">
            <v>RESISTOR 1.2 Ohm 5W 5%</v>
          </cell>
          <cell r="C1812">
            <v>0.15</v>
          </cell>
          <cell r="D1812">
            <v>0.15</v>
          </cell>
          <cell r="E1812">
            <v>0.15</v>
          </cell>
          <cell r="F1812">
            <v>0.15</v>
          </cell>
          <cell r="G1812">
            <v>0.15</v>
          </cell>
          <cell r="H1812">
            <v>0</v>
          </cell>
        </row>
        <row r="1813">
          <cell r="A1813" t="str">
            <v>RES-0124</v>
          </cell>
          <cell r="B1813" t="str">
            <v>RESISTOR 124 OHM 0.25W 0.1%</v>
          </cell>
          <cell r="C1813">
            <v>5</v>
          </cell>
          <cell r="D1813">
            <v>5</v>
          </cell>
          <cell r="E1813">
            <v>5</v>
          </cell>
          <cell r="F1813">
            <v>5</v>
          </cell>
          <cell r="G1813">
            <v>5</v>
          </cell>
          <cell r="H1813">
            <v>2.3170000000000002</v>
          </cell>
        </row>
        <row r="1814">
          <cell r="A1814" t="str">
            <v>RES-01801</v>
          </cell>
          <cell r="B1814" t="str">
            <v>RESISTOR 180 OHM 0.6W 1%</v>
          </cell>
          <cell r="C1814">
            <v>0.15</v>
          </cell>
          <cell r="D1814">
            <v>0.15</v>
          </cell>
          <cell r="E1814">
            <v>0.15</v>
          </cell>
          <cell r="F1814">
            <v>0.15</v>
          </cell>
          <cell r="G1814">
            <v>0.15</v>
          </cell>
          <cell r="H1814">
            <v>0.17</v>
          </cell>
        </row>
        <row r="1815">
          <cell r="A1815" t="str">
            <v>RES-0470</v>
          </cell>
          <cell r="B1815" t="str">
            <v>RESISTOR 470 OHM 0.5W 5%</v>
          </cell>
          <cell r="C1815">
            <v>0.15</v>
          </cell>
          <cell r="D1815">
            <v>0.15</v>
          </cell>
          <cell r="E1815">
            <v>0.15</v>
          </cell>
          <cell r="F1815">
            <v>0.15</v>
          </cell>
          <cell r="G1815">
            <v>0.15</v>
          </cell>
          <cell r="H1815">
            <v>0.1</v>
          </cell>
        </row>
        <row r="1816">
          <cell r="A1816" t="str">
            <v>RES-100K.6W</v>
          </cell>
          <cell r="B1816" t="str">
            <v>RESISTOR 100K OHM 0.6W 1%</v>
          </cell>
          <cell r="C1816">
            <v>0.17</v>
          </cell>
          <cell r="D1816">
            <v>0.17</v>
          </cell>
          <cell r="E1816">
            <v>0.17</v>
          </cell>
          <cell r="F1816">
            <v>0.17</v>
          </cell>
          <cell r="G1816">
            <v>0.17</v>
          </cell>
          <cell r="H1816">
            <v>0</v>
          </cell>
        </row>
        <row r="1817">
          <cell r="A1817" t="str">
            <v>RES-100K2W</v>
          </cell>
          <cell r="B1817" t="str">
            <v>RESISTOR 100K OHM  2W</v>
          </cell>
          <cell r="C1817">
            <v>2.25</v>
          </cell>
          <cell r="D1817">
            <v>2.25</v>
          </cell>
          <cell r="E1817">
            <v>2.25</v>
          </cell>
          <cell r="F1817">
            <v>2.25</v>
          </cell>
          <cell r="G1817">
            <v>2.25</v>
          </cell>
          <cell r="H1817">
            <v>1.71</v>
          </cell>
          <cell r="I1817">
            <v>40252</v>
          </cell>
        </row>
        <row r="1818">
          <cell r="A1818" t="str">
            <v>RES-10K.6W</v>
          </cell>
          <cell r="B1818" t="str">
            <v>RESISTOR 10K OHM 0.6W 1%</v>
          </cell>
          <cell r="C1818">
            <v>0.15</v>
          </cell>
          <cell r="D1818">
            <v>0.15</v>
          </cell>
          <cell r="E1818">
            <v>0.15</v>
          </cell>
          <cell r="F1818">
            <v>0.15</v>
          </cell>
          <cell r="G1818">
            <v>0.15</v>
          </cell>
          <cell r="H1818">
            <v>0.14000000000000001</v>
          </cell>
        </row>
        <row r="1819">
          <cell r="A1819" t="str">
            <v>RES-120K.6W</v>
          </cell>
          <cell r="B1819" t="str">
            <v>RESISTOR 120K OHM 0.6W 1%</v>
          </cell>
          <cell r="C1819">
            <v>0.15</v>
          </cell>
          <cell r="D1819">
            <v>0.15</v>
          </cell>
          <cell r="E1819">
            <v>0.15</v>
          </cell>
          <cell r="F1819">
            <v>0.15</v>
          </cell>
          <cell r="G1819">
            <v>0.15</v>
          </cell>
          <cell r="H1819">
            <v>0</v>
          </cell>
        </row>
        <row r="1820">
          <cell r="A1820" t="str">
            <v>RES-12K.6W</v>
          </cell>
          <cell r="B1820" t="str">
            <v>RESISTOR 12K OHM 0.6W 1%</v>
          </cell>
          <cell r="C1820">
            <v>0.15</v>
          </cell>
          <cell r="D1820">
            <v>0.15</v>
          </cell>
          <cell r="E1820">
            <v>0.15</v>
          </cell>
          <cell r="F1820">
            <v>0.15</v>
          </cell>
          <cell r="G1820">
            <v>0.15</v>
          </cell>
          <cell r="H1820">
            <v>0</v>
          </cell>
        </row>
        <row r="1821">
          <cell r="A1821" t="str">
            <v>RES-1K.6W</v>
          </cell>
          <cell r="B1821" t="str">
            <v>RESISTOR 1K OHM 0.6W 1%   F</v>
          </cell>
          <cell r="C1821">
            <v>0.25</v>
          </cell>
          <cell r="D1821">
            <v>0.25</v>
          </cell>
          <cell r="E1821">
            <v>0.25</v>
          </cell>
          <cell r="F1821">
            <v>0.25</v>
          </cell>
          <cell r="G1821">
            <v>0.25</v>
          </cell>
          <cell r="H1821">
            <v>0</v>
          </cell>
        </row>
        <row r="1822">
          <cell r="A1822" t="str">
            <v>RES-1K8.6W</v>
          </cell>
          <cell r="B1822" t="str">
            <v>RESISTOR 1K8 OHM 0.6W 1%</v>
          </cell>
          <cell r="C1822">
            <v>0.15</v>
          </cell>
          <cell r="D1822">
            <v>0.15</v>
          </cell>
          <cell r="E1822">
            <v>0.15</v>
          </cell>
          <cell r="F1822">
            <v>0.15</v>
          </cell>
          <cell r="G1822">
            <v>0.15</v>
          </cell>
          <cell r="H1822">
            <v>0</v>
          </cell>
        </row>
        <row r="1823">
          <cell r="A1823" t="str">
            <v>RES-1M.5W</v>
          </cell>
          <cell r="B1823" t="str">
            <v>RESISTOR 1 MEG OHM 0.5W 5%</v>
          </cell>
          <cell r="C1823">
            <v>0.15</v>
          </cell>
          <cell r="D1823">
            <v>0.15</v>
          </cell>
          <cell r="E1823">
            <v>0.15</v>
          </cell>
          <cell r="F1823">
            <v>0.15</v>
          </cell>
          <cell r="G1823">
            <v>0.15</v>
          </cell>
          <cell r="H1823">
            <v>0</v>
          </cell>
        </row>
        <row r="1824">
          <cell r="A1824" t="str">
            <v>RES-20K</v>
          </cell>
          <cell r="B1824" t="str">
            <v>RESISTOR 20K OHM 0.6W 1%</v>
          </cell>
          <cell r="C1824">
            <v>0.15</v>
          </cell>
          <cell r="D1824">
            <v>0.15</v>
          </cell>
          <cell r="E1824">
            <v>0.15</v>
          </cell>
          <cell r="F1824">
            <v>0.15</v>
          </cell>
          <cell r="G1824">
            <v>0.15</v>
          </cell>
          <cell r="H1824">
            <v>0.12</v>
          </cell>
        </row>
        <row r="1825">
          <cell r="A1825" t="str">
            <v>RES-24K</v>
          </cell>
          <cell r="B1825" t="str">
            <v>RESISTOR 24K OHM 0.6W 1%</v>
          </cell>
          <cell r="C1825">
            <v>2.75</v>
          </cell>
          <cell r="D1825">
            <v>2.75</v>
          </cell>
          <cell r="E1825">
            <v>2.75</v>
          </cell>
          <cell r="F1825">
            <v>2.75</v>
          </cell>
          <cell r="G1825">
            <v>2.75</v>
          </cell>
          <cell r="H1825">
            <v>2.1</v>
          </cell>
          <cell r="I1825">
            <v>40299</v>
          </cell>
        </row>
        <row r="1826">
          <cell r="A1826" t="str">
            <v>RES-300K</v>
          </cell>
          <cell r="B1826" t="str">
            <v>RESISTOR 300K OHM 0.6W 1%</v>
          </cell>
          <cell r="C1826">
            <v>0.15</v>
          </cell>
          <cell r="D1826">
            <v>0.15</v>
          </cell>
          <cell r="E1826">
            <v>0.15</v>
          </cell>
          <cell r="F1826">
            <v>0.15</v>
          </cell>
          <cell r="G1826">
            <v>0.15</v>
          </cell>
          <cell r="H1826">
            <v>0.28699999999999998</v>
          </cell>
        </row>
        <row r="1827">
          <cell r="A1827" t="str">
            <v>RES0055W</v>
          </cell>
          <cell r="B1827" t="str">
            <v>RESISTOR 0.05R 5W</v>
          </cell>
          <cell r="C1827">
            <v>6.5</v>
          </cell>
          <cell r="D1827">
            <v>7</v>
          </cell>
          <cell r="E1827">
            <v>7</v>
          </cell>
          <cell r="F1827">
            <v>7</v>
          </cell>
          <cell r="G1827">
            <v>7</v>
          </cell>
          <cell r="H1827">
            <v>6</v>
          </cell>
        </row>
        <row r="1828">
          <cell r="A1828" t="str">
            <v>RES100K01</v>
          </cell>
          <cell r="B1828" t="str">
            <v>RESISTOR 100K 0.1%</v>
          </cell>
          <cell r="C1828">
            <v>5.95</v>
          </cell>
          <cell r="D1828">
            <v>5.95</v>
          </cell>
          <cell r="E1828">
            <v>5.95</v>
          </cell>
          <cell r="F1828">
            <v>5.95</v>
          </cell>
          <cell r="G1828">
            <v>5.95</v>
          </cell>
          <cell r="H1828">
            <v>3.3250000000000002</v>
          </cell>
        </row>
        <row r="1829">
          <cell r="A1829" t="str">
            <v>RES10K01</v>
          </cell>
          <cell r="B1829" t="str">
            <v>RESISTOR  10K OHM  0.1%</v>
          </cell>
          <cell r="C1829">
            <v>5</v>
          </cell>
          <cell r="D1829">
            <v>5</v>
          </cell>
          <cell r="E1829">
            <v>5</v>
          </cell>
          <cell r="F1829">
            <v>5</v>
          </cell>
          <cell r="G1829">
            <v>5</v>
          </cell>
          <cell r="H1829">
            <v>3.46</v>
          </cell>
        </row>
        <row r="1830">
          <cell r="A1830" t="str">
            <v>RES14701</v>
          </cell>
          <cell r="B1830" t="str">
            <v>RESISTOR  147 OHM  0.1%</v>
          </cell>
          <cell r="C1830">
            <v>5</v>
          </cell>
          <cell r="D1830">
            <v>5</v>
          </cell>
          <cell r="E1830">
            <v>5</v>
          </cell>
          <cell r="F1830">
            <v>5</v>
          </cell>
          <cell r="G1830">
            <v>5</v>
          </cell>
          <cell r="H1830">
            <v>1.86</v>
          </cell>
        </row>
        <row r="1831">
          <cell r="A1831" t="str">
            <v>RES1K01</v>
          </cell>
          <cell r="B1831" t="str">
            <v>RESISTOR  1K OHM  0.1%</v>
          </cell>
          <cell r="C1831">
            <v>5.45</v>
          </cell>
          <cell r="D1831">
            <v>5.45</v>
          </cell>
          <cell r="E1831">
            <v>5.45</v>
          </cell>
          <cell r="F1831">
            <v>5.45</v>
          </cell>
          <cell r="G1831">
            <v>5.45</v>
          </cell>
          <cell r="H1831">
            <v>3</v>
          </cell>
        </row>
        <row r="1832">
          <cell r="A1832" t="str">
            <v>RES25001</v>
          </cell>
          <cell r="B1832" t="str">
            <v>RESISTOR  250ohm 0.1% WIREBOUND</v>
          </cell>
          <cell r="C1832">
            <v>17</v>
          </cell>
          <cell r="D1832">
            <v>17</v>
          </cell>
          <cell r="E1832">
            <v>17</v>
          </cell>
          <cell r="F1832">
            <v>17</v>
          </cell>
          <cell r="G1832">
            <v>17</v>
          </cell>
          <cell r="H1832">
            <v>0.28000000000000003</v>
          </cell>
        </row>
        <row r="1833">
          <cell r="A1833" t="str">
            <v>RESR047</v>
          </cell>
          <cell r="B1833" t="str">
            <v>RESISTOR  SBL40R047J 4W 5%</v>
          </cell>
          <cell r="C1833">
            <v>8</v>
          </cell>
          <cell r="D1833">
            <v>8</v>
          </cell>
          <cell r="E1833">
            <v>8</v>
          </cell>
          <cell r="F1833">
            <v>8</v>
          </cell>
          <cell r="G1833">
            <v>8</v>
          </cell>
          <cell r="H1833">
            <v>4.5999999999999996</v>
          </cell>
        </row>
        <row r="1834">
          <cell r="A1834" t="str">
            <v>RFC015A</v>
          </cell>
          <cell r="B1834" t="str">
            <v>RFC INDUCTOR 1.5uH</v>
          </cell>
          <cell r="C1834">
            <v>6.24</v>
          </cell>
          <cell r="D1834">
            <v>6.24</v>
          </cell>
          <cell r="E1834">
            <v>6.24</v>
          </cell>
          <cell r="F1834">
            <v>6.24</v>
          </cell>
          <cell r="G1834">
            <v>6.24</v>
          </cell>
          <cell r="H1834">
            <v>0</v>
          </cell>
        </row>
        <row r="1835">
          <cell r="A1835" t="str">
            <v>RGADPLA</v>
          </cell>
          <cell r="B1835" t="str">
            <v>RAINGAUGE MOUNTING ADAPTER PLATE</v>
          </cell>
          <cell r="C1835">
            <v>55</v>
          </cell>
          <cell r="D1835">
            <v>55</v>
          </cell>
          <cell r="E1835">
            <v>55</v>
          </cell>
          <cell r="F1835">
            <v>55</v>
          </cell>
          <cell r="G1835">
            <v>55</v>
          </cell>
          <cell r="H1835">
            <v>42.5</v>
          </cell>
        </row>
        <row r="1836">
          <cell r="A1836" t="str">
            <v>RGDAMA5</v>
          </cell>
          <cell r="B1836" t="str">
            <v>RAIN GAUGE DAILY MANUAL 5 INCH</v>
          </cell>
          <cell r="C1836">
            <v>200</v>
          </cell>
          <cell r="D1836">
            <v>200</v>
          </cell>
          <cell r="E1836">
            <v>200</v>
          </cell>
          <cell r="F1836">
            <v>200</v>
          </cell>
          <cell r="G1836">
            <v>200</v>
          </cell>
          <cell r="H1836">
            <v>152.80000000000001</v>
          </cell>
          <cell r="I1836">
            <v>40312</v>
          </cell>
        </row>
        <row r="1837">
          <cell r="A1837" t="str">
            <v>RGFDCAL</v>
          </cell>
          <cell r="B1837" t="str">
            <v>RAIN GAUGE FIELD CALIBRATOR</v>
          </cell>
          <cell r="C1837">
            <v>1050</v>
          </cell>
          <cell r="D1837">
            <v>1050</v>
          </cell>
          <cell r="E1837">
            <v>1050</v>
          </cell>
          <cell r="F1837">
            <v>1050</v>
          </cell>
          <cell r="G1837">
            <v>1050</v>
          </cell>
          <cell r="H1837">
            <v>660</v>
          </cell>
          <cell r="I1837">
            <v>40278</v>
          </cell>
        </row>
        <row r="1838">
          <cell r="A1838" t="str">
            <v>RGME10G</v>
          </cell>
          <cell r="B1838" t="str">
            <v>RAINGAUGE GLASS MEASURE 10mm</v>
          </cell>
          <cell r="C1838">
            <v>75</v>
          </cell>
          <cell r="D1838">
            <v>89</v>
          </cell>
          <cell r="E1838">
            <v>89</v>
          </cell>
          <cell r="F1838">
            <v>89</v>
          </cell>
          <cell r="G1838">
            <v>89</v>
          </cell>
          <cell r="H1838">
            <v>60.893000000000001</v>
          </cell>
        </row>
        <row r="1839">
          <cell r="A1839" t="str">
            <v>RGMP050</v>
          </cell>
          <cell r="B1839" t="str">
            <v>RAINGAUGE POLYCARB MEASURE 50mm</v>
          </cell>
          <cell r="C1839">
            <v>70</v>
          </cell>
          <cell r="D1839">
            <v>87</v>
          </cell>
          <cell r="E1839">
            <v>87</v>
          </cell>
          <cell r="F1839">
            <v>87</v>
          </cell>
          <cell r="G1839">
            <v>87</v>
          </cell>
          <cell r="H1839">
            <v>72.400000000000006</v>
          </cell>
          <cell r="I1839">
            <v>39883</v>
          </cell>
        </row>
        <row r="1840">
          <cell r="A1840" t="str">
            <v>RGN1000</v>
          </cell>
          <cell r="B1840" t="str">
            <v>RAINGAUGE NYLEX 1000</v>
          </cell>
          <cell r="C1840">
            <v>39</v>
          </cell>
          <cell r="D1840">
            <v>39</v>
          </cell>
          <cell r="E1840">
            <v>39</v>
          </cell>
          <cell r="F1840">
            <v>39</v>
          </cell>
          <cell r="G1840">
            <v>39</v>
          </cell>
          <cell r="H1840">
            <v>29.64</v>
          </cell>
        </row>
        <row r="1841">
          <cell r="A1841" t="str">
            <v>RGNRING</v>
          </cell>
          <cell r="B1841" t="str">
            <v>RAINGAUGE SPLIT RING FOR RGN1000</v>
          </cell>
          <cell r="C1841">
            <v>18</v>
          </cell>
          <cell r="D1841">
            <v>18</v>
          </cell>
          <cell r="E1841">
            <v>18</v>
          </cell>
          <cell r="F1841">
            <v>18</v>
          </cell>
          <cell r="G1841">
            <v>18</v>
          </cell>
          <cell r="H1841">
            <v>0</v>
          </cell>
        </row>
        <row r="1842">
          <cell r="A1842" t="str">
            <v>RGPEGWO</v>
          </cell>
          <cell r="B1842" t="str">
            <v>RAINGUAGE MOUNTING PEG FOR NYLEX RAINGUA</v>
          </cell>
          <cell r="C1842">
            <v>10.5</v>
          </cell>
          <cell r="D1842">
            <v>13</v>
          </cell>
          <cell r="E1842">
            <v>13</v>
          </cell>
          <cell r="F1842">
            <v>13</v>
          </cell>
          <cell r="G1842">
            <v>13</v>
          </cell>
          <cell r="H1842">
            <v>0</v>
          </cell>
          <cell r="I1842">
            <v>39883</v>
          </cell>
        </row>
        <row r="1843">
          <cell r="A1843" t="str">
            <v>RGSPOON</v>
          </cell>
          <cell r="B1843" t="str">
            <v>RAIN COLLECTOR PRONAMIC TIPPING TEASPOON</v>
          </cell>
          <cell r="C1843">
            <v>99</v>
          </cell>
          <cell r="D1843">
            <v>99</v>
          </cell>
          <cell r="E1843">
            <v>99</v>
          </cell>
          <cell r="F1843">
            <v>99</v>
          </cell>
          <cell r="G1843">
            <v>99</v>
          </cell>
          <cell r="H1843">
            <v>68</v>
          </cell>
        </row>
        <row r="1844">
          <cell r="A1844" t="str">
            <v>RHTEMPS</v>
          </cell>
          <cell r="B1844" t="str">
            <v>RH/TEMP SENSOR (PIN VERSION)</v>
          </cell>
          <cell r="C1844">
            <v>100</v>
          </cell>
          <cell r="D1844">
            <v>100</v>
          </cell>
          <cell r="E1844">
            <v>100</v>
          </cell>
          <cell r="F1844">
            <v>100</v>
          </cell>
          <cell r="G1844">
            <v>100</v>
          </cell>
          <cell r="H1844">
            <v>84.94</v>
          </cell>
        </row>
        <row r="1845">
          <cell r="A1845" t="str">
            <v>RIGADNE</v>
          </cell>
          <cell r="B1845" t="str">
            <v>RIG NEEDLE ADAPTOR</v>
          </cell>
          <cell r="C1845">
            <v>36</v>
          </cell>
          <cell r="D1845">
            <v>36</v>
          </cell>
          <cell r="E1845">
            <v>36</v>
          </cell>
          <cell r="F1845">
            <v>36</v>
          </cell>
          <cell r="G1845">
            <v>36</v>
          </cell>
          <cell r="H1845">
            <v>0</v>
          </cell>
        </row>
        <row r="1846">
          <cell r="A1846" t="str">
            <v>RIGBACL</v>
          </cell>
          <cell r="B1846" t="str">
            <v>RIG BATTERY CLAMP</v>
          </cell>
          <cell r="C1846">
            <v>12</v>
          </cell>
          <cell r="D1846">
            <v>12</v>
          </cell>
          <cell r="E1846">
            <v>12</v>
          </cell>
          <cell r="F1846">
            <v>12</v>
          </cell>
          <cell r="G1846">
            <v>12</v>
          </cell>
          <cell r="H1846">
            <v>0</v>
          </cell>
        </row>
        <row r="1847">
          <cell r="A1847" t="str">
            <v>RIGBAPL</v>
          </cell>
          <cell r="B1847" t="str">
            <v>RIG BASEPLATE</v>
          </cell>
          <cell r="C1847">
            <v>198</v>
          </cell>
          <cell r="D1847">
            <v>198</v>
          </cell>
          <cell r="E1847">
            <v>198</v>
          </cell>
          <cell r="F1847">
            <v>198</v>
          </cell>
          <cell r="G1847">
            <v>198</v>
          </cell>
          <cell r="H1847">
            <v>0</v>
          </cell>
        </row>
        <row r="1848">
          <cell r="A1848" t="str">
            <v>RIGCOCH</v>
          </cell>
          <cell r="B1848" t="str">
            <v>RIG CONTACT CHAMBER</v>
          </cell>
          <cell r="C1848">
            <v>154</v>
          </cell>
          <cell r="D1848">
            <v>154</v>
          </cell>
          <cell r="E1848">
            <v>154</v>
          </cell>
          <cell r="F1848">
            <v>154</v>
          </cell>
          <cell r="G1848">
            <v>154</v>
          </cell>
          <cell r="H1848">
            <v>0</v>
          </cell>
        </row>
        <row r="1849">
          <cell r="A1849" t="str">
            <v>RIGCOLFU</v>
          </cell>
          <cell r="B1849" t="str">
            <v>RIG FUNNEL COLLAR</v>
          </cell>
          <cell r="C1849">
            <v>15</v>
          </cell>
          <cell r="D1849">
            <v>15</v>
          </cell>
          <cell r="E1849">
            <v>15</v>
          </cell>
          <cell r="F1849">
            <v>15</v>
          </cell>
          <cell r="G1849">
            <v>15</v>
          </cell>
          <cell r="H1849">
            <v>0</v>
          </cell>
        </row>
        <row r="1850">
          <cell r="A1850" t="str">
            <v>RIGCOMP</v>
          </cell>
          <cell r="B1850" t="str">
            <v>RAINFALL INTENSITY GAUGE COMPLETE</v>
          </cell>
          <cell r="C1850">
            <v>1110</v>
          </cell>
          <cell r="D1850">
            <v>1110</v>
          </cell>
          <cell r="E1850">
            <v>1110</v>
          </cell>
          <cell r="F1850">
            <v>1110</v>
          </cell>
          <cell r="G1850">
            <v>1110</v>
          </cell>
          <cell r="H1850">
            <v>0</v>
          </cell>
        </row>
        <row r="1851">
          <cell r="A1851" t="str">
            <v>RIGCOVE</v>
          </cell>
          <cell r="B1851" t="str">
            <v>RIG COVER FUNNEL ASSEMBLY</v>
          </cell>
          <cell r="C1851">
            <v>135</v>
          </cell>
          <cell r="D1851">
            <v>135</v>
          </cell>
          <cell r="E1851">
            <v>135</v>
          </cell>
          <cell r="F1851">
            <v>135</v>
          </cell>
          <cell r="G1851">
            <v>135</v>
          </cell>
          <cell r="H1851">
            <v>0</v>
          </cell>
        </row>
        <row r="1852">
          <cell r="A1852" t="str">
            <v>RIGLOBR</v>
          </cell>
          <cell r="B1852" t="str">
            <v>RIG LOGGER BRACKET</v>
          </cell>
          <cell r="C1852">
            <v>22.5</v>
          </cell>
          <cell r="D1852">
            <v>22.5</v>
          </cell>
          <cell r="E1852">
            <v>22.5</v>
          </cell>
          <cell r="F1852">
            <v>22.5</v>
          </cell>
          <cell r="G1852">
            <v>22.5</v>
          </cell>
          <cell r="H1852">
            <v>0</v>
          </cell>
        </row>
        <row r="1853">
          <cell r="A1853" t="str">
            <v>RIGOTFI</v>
          </cell>
          <cell r="B1853" t="str">
            <v>RIG OUTLET TUBE AND FILTER</v>
          </cell>
          <cell r="C1853">
            <v>7.5</v>
          </cell>
          <cell r="D1853">
            <v>7.5</v>
          </cell>
          <cell r="E1853">
            <v>7.5</v>
          </cell>
          <cell r="F1853">
            <v>7.5</v>
          </cell>
          <cell r="G1853">
            <v>7.5</v>
          </cell>
          <cell r="H1853">
            <v>0</v>
          </cell>
        </row>
        <row r="1854">
          <cell r="A1854" t="str">
            <v>RIGPCB</v>
          </cell>
          <cell r="B1854" t="str">
            <v>PCB  RAINFALL INTENSITY GUAGE (RIG)</v>
          </cell>
          <cell r="C1854">
            <v>105</v>
          </cell>
          <cell r="D1854">
            <v>105</v>
          </cell>
          <cell r="E1854">
            <v>105</v>
          </cell>
          <cell r="F1854">
            <v>105</v>
          </cell>
          <cell r="G1854">
            <v>105</v>
          </cell>
          <cell r="H1854">
            <v>0</v>
          </cell>
        </row>
        <row r="1855">
          <cell r="A1855" t="str">
            <v>RIGRING</v>
          </cell>
          <cell r="B1855" t="str">
            <v>RAINGAUGE SPLIT RING</v>
          </cell>
          <cell r="C1855">
            <v>183</v>
          </cell>
          <cell r="D1855">
            <v>225</v>
          </cell>
          <cell r="E1855">
            <v>225</v>
          </cell>
          <cell r="F1855">
            <v>225</v>
          </cell>
          <cell r="G1855">
            <v>225</v>
          </cell>
          <cell r="H1855">
            <v>173.40899999999999</v>
          </cell>
          <cell r="I1855">
            <v>39883</v>
          </cell>
        </row>
        <row r="1856">
          <cell r="A1856" t="str">
            <v>RIKPEBL</v>
          </cell>
          <cell r="B1856" t="str">
            <v>PEN CARTRIDGE BLACK (RIKANEKI RO-304 REC</v>
          </cell>
          <cell r="C1856">
            <v>67</v>
          </cell>
          <cell r="D1856">
            <v>67</v>
          </cell>
          <cell r="E1856">
            <v>67</v>
          </cell>
          <cell r="F1856">
            <v>67</v>
          </cell>
          <cell r="G1856">
            <v>67</v>
          </cell>
          <cell r="H1856">
            <v>0</v>
          </cell>
        </row>
        <row r="1857">
          <cell r="A1857" t="str">
            <v>RIKPEBR</v>
          </cell>
          <cell r="B1857" t="str">
            <v>PEN CARTRIDGE BROWN (RIKANEKI RO-304 REC</v>
          </cell>
          <cell r="C1857">
            <v>67</v>
          </cell>
          <cell r="D1857">
            <v>67</v>
          </cell>
          <cell r="E1857">
            <v>67</v>
          </cell>
          <cell r="F1857">
            <v>67</v>
          </cell>
          <cell r="G1857">
            <v>67</v>
          </cell>
          <cell r="H1857">
            <v>0</v>
          </cell>
        </row>
        <row r="1858">
          <cell r="A1858" t="str">
            <v>RIKPEBU</v>
          </cell>
          <cell r="B1858" t="str">
            <v>PEN CARTRIDGE BLUE (RIKANEKI RO-304 RECO</v>
          </cell>
          <cell r="C1858">
            <v>67</v>
          </cell>
          <cell r="D1858">
            <v>67</v>
          </cell>
          <cell r="E1858">
            <v>67</v>
          </cell>
          <cell r="F1858">
            <v>67</v>
          </cell>
          <cell r="G1858">
            <v>67</v>
          </cell>
          <cell r="H1858">
            <v>0</v>
          </cell>
        </row>
        <row r="1859">
          <cell r="A1859" t="str">
            <v>RIKPERE</v>
          </cell>
          <cell r="B1859" t="str">
            <v>PEN CARTRIDGE RED (RIKANEKI RO-304 RECOR</v>
          </cell>
          <cell r="C1859">
            <v>67</v>
          </cell>
          <cell r="D1859">
            <v>67</v>
          </cell>
          <cell r="E1859">
            <v>67</v>
          </cell>
          <cell r="F1859">
            <v>67</v>
          </cell>
          <cell r="G1859">
            <v>67</v>
          </cell>
          <cell r="H1859">
            <v>0</v>
          </cell>
        </row>
        <row r="1860">
          <cell r="A1860" t="str">
            <v>RIVERCB</v>
          </cell>
          <cell r="B1860" t="str">
            <v>SLIDING CROSS BAR SYSTEM - RIVERBOAT</v>
          </cell>
          <cell r="C1860">
            <v>0</v>
          </cell>
          <cell r="D1860">
            <v>0</v>
          </cell>
          <cell r="E1860">
            <v>0</v>
          </cell>
          <cell r="F1860">
            <v>0</v>
          </cell>
          <cell r="G1860">
            <v>0</v>
          </cell>
          <cell r="H1860">
            <v>318.75</v>
          </cell>
        </row>
        <row r="1861">
          <cell r="A1861" t="str">
            <v>RIVERCB1</v>
          </cell>
          <cell r="B1861" t="str">
            <v>SLIDING CROSS BAR SYSTEM - RIVERBOAT</v>
          </cell>
          <cell r="C1861">
            <v>0</v>
          </cell>
          <cell r="D1861">
            <v>0</v>
          </cell>
          <cell r="E1861">
            <v>0</v>
          </cell>
          <cell r="F1861">
            <v>0</v>
          </cell>
          <cell r="G1861">
            <v>0</v>
          </cell>
          <cell r="H1861">
            <v>361.89100000000002</v>
          </cell>
        </row>
        <row r="1862">
          <cell r="A1862" t="str">
            <v>RIVERNR</v>
          </cell>
          <cell r="B1862" t="str">
            <v>RIVERBOAT PACKAGE WITHOUT RADIOS</v>
          </cell>
          <cell r="C1862">
            <v>0</v>
          </cell>
          <cell r="D1862">
            <v>0</v>
          </cell>
          <cell r="E1862">
            <v>0</v>
          </cell>
          <cell r="F1862">
            <v>0</v>
          </cell>
          <cell r="G1862">
            <v>0</v>
          </cell>
          <cell r="H1862">
            <v>3720.4960000000001</v>
          </cell>
        </row>
        <row r="1863">
          <cell r="A1863" t="str">
            <v>RIVERRG</v>
          </cell>
          <cell r="B1863" t="str">
            <v>RIVERBOAT FOR RIO GRANDE ADCP C/W</v>
          </cell>
          <cell r="C1863">
            <v>0</v>
          </cell>
          <cell r="D1863">
            <v>0</v>
          </cell>
          <cell r="E1863">
            <v>0</v>
          </cell>
          <cell r="F1863">
            <v>0</v>
          </cell>
          <cell r="G1863">
            <v>0</v>
          </cell>
          <cell r="H1863">
            <v>7034.8680000000004</v>
          </cell>
        </row>
        <row r="1864">
          <cell r="A1864" t="str">
            <v>RIVERSC</v>
          </cell>
          <cell r="B1864" t="str">
            <v>SOFT CASE FOR RIVERBOAT</v>
          </cell>
          <cell r="C1864">
            <v>560.92899999999997</v>
          </cell>
          <cell r="D1864">
            <v>694.48299999999995</v>
          </cell>
          <cell r="E1864">
            <v>694.48299999999995</v>
          </cell>
          <cell r="F1864">
            <v>694.48299999999995</v>
          </cell>
          <cell r="G1864">
            <v>694.48299999999995</v>
          </cell>
          <cell r="H1864">
            <v>399.98500000000001</v>
          </cell>
          <cell r="I1864">
            <v>39988</v>
          </cell>
        </row>
        <row r="1865">
          <cell r="A1865" t="str">
            <v>RMYPROP</v>
          </cell>
          <cell r="B1865" t="str">
            <v>RM YOUNG WIND SENSOR PROP 18x30cm</v>
          </cell>
          <cell r="C1865">
            <v>100</v>
          </cell>
          <cell r="D1865">
            <v>124</v>
          </cell>
          <cell r="E1865">
            <v>124</v>
          </cell>
          <cell r="F1865">
            <v>124</v>
          </cell>
          <cell r="G1865">
            <v>124</v>
          </cell>
          <cell r="H1865">
            <v>109.804</v>
          </cell>
        </row>
        <row r="1866">
          <cell r="A1866" t="str">
            <v>RMYWINM</v>
          </cell>
          <cell r="B1866" t="str">
            <v>RM YOUNG MARINE WIND MONITOR</v>
          </cell>
          <cell r="C1866">
            <v>2575</v>
          </cell>
          <cell r="D1866">
            <v>2575</v>
          </cell>
          <cell r="E1866">
            <v>2575</v>
          </cell>
          <cell r="F1866">
            <v>2575</v>
          </cell>
          <cell r="G1866">
            <v>2575</v>
          </cell>
          <cell r="H1866">
            <v>1197.201</v>
          </cell>
          <cell r="I1866">
            <v>39875</v>
          </cell>
        </row>
        <row r="1867">
          <cell r="A1867" t="str">
            <v>RODSS10</v>
          </cell>
          <cell r="B1867" t="str">
            <v>ROD STAINLESS STEEL  M10 1m LONG</v>
          </cell>
          <cell r="C1867">
            <v>15</v>
          </cell>
          <cell r="D1867">
            <v>15</v>
          </cell>
          <cell r="E1867">
            <v>15</v>
          </cell>
          <cell r="F1867">
            <v>15</v>
          </cell>
          <cell r="G1867">
            <v>15</v>
          </cell>
          <cell r="H1867">
            <v>19.8</v>
          </cell>
        </row>
        <row r="1868">
          <cell r="A1868" t="str">
            <v>RODSSS8</v>
          </cell>
          <cell r="B1868" t="str">
            <v>ROD STAINLESS STEEL SCREWED M8</v>
          </cell>
          <cell r="C1868">
            <v>15</v>
          </cell>
          <cell r="D1868">
            <v>15</v>
          </cell>
          <cell r="E1868">
            <v>15</v>
          </cell>
          <cell r="F1868">
            <v>15</v>
          </cell>
          <cell r="G1868">
            <v>15</v>
          </cell>
          <cell r="H1868">
            <v>14.65</v>
          </cell>
        </row>
        <row r="1869">
          <cell r="A1869" t="str">
            <v>RUBBCOR</v>
          </cell>
          <cell r="B1869" t="str">
            <v>RUBBERCORD WITH 2 TERMINALS</v>
          </cell>
          <cell r="C1869">
            <v>3400</v>
          </cell>
          <cell r="D1869">
            <v>3400</v>
          </cell>
          <cell r="E1869">
            <v>3400</v>
          </cell>
          <cell r="F1869">
            <v>3400</v>
          </cell>
          <cell r="G1869">
            <v>3400</v>
          </cell>
          <cell r="H1869">
            <v>0</v>
          </cell>
        </row>
        <row r="1870">
          <cell r="A1870" t="str">
            <v>SADST25</v>
          </cell>
          <cell r="B1870" t="str">
            <v>SADDLE STAINLESS STEEL 25mm</v>
          </cell>
          <cell r="C1870">
            <v>15</v>
          </cell>
          <cell r="D1870">
            <v>15</v>
          </cell>
          <cell r="E1870">
            <v>15</v>
          </cell>
          <cell r="F1870">
            <v>15</v>
          </cell>
          <cell r="G1870">
            <v>15</v>
          </cell>
          <cell r="H1870">
            <v>10</v>
          </cell>
        </row>
        <row r="1871">
          <cell r="A1871" t="str">
            <v>SAPRETMB</v>
          </cell>
          <cell r="B1871" t="str">
            <v>RECORDER TEMP MULTI-TRIP C-W BENT PROBE</v>
          </cell>
          <cell r="C1871">
            <v>435</v>
          </cell>
          <cell r="D1871">
            <v>435</v>
          </cell>
          <cell r="E1871">
            <v>435</v>
          </cell>
          <cell r="F1871">
            <v>435</v>
          </cell>
          <cell r="G1871">
            <v>435</v>
          </cell>
          <cell r="H1871">
            <v>0</v>
          </cell>
        </row>
        <row r="1872">
          <cell r="A1872" t="str">
            <v>SCO4407</v>
          </cell>
          <cell r="B1872" t="str">
            <v>SCOTCHCAST 4407 ENCAPSULATING BLOCKING C</v>
          </cell>
          <cell r="C1872">
            <v>52</v>
          </cell>
          <cell r="D1872">
            <v>64</v>
          </cell>
          <cell r="E1872">
            <v>64</v>
          </cell>
          <cell r="F1872">
            <v>64</v>
          </cell>
          <cell r="G1872">
            <v>64</v>
          </cell>
          <cell r="H1872">
            <v>51.845999999999997</v>
          </cell>
          <cell r="I1872">
            <v>39884</v>
          </cell>
        </row>
        <row r="1873">
          <cell r="A1873" t="str">
            <v>SCR-SS1434</v>
          </cell>
          <cell r="B1873" t="str">
            <v>SCREW S/STEEL  1/4BSW X 3/4LONG</v>
          </cell>
          <cell r="C1873">
            <v>0.22700000000000001</v>
          </cell>
          <cell r="D1873">
            <v>0.33</v>
          </cell>
          <cell r="E1873">
            <v>0.33</v>
          </cell>
          <cell r="F1873">
            <v>0.33</v>
          </cell>
          <cell r="G1873">
            <v>0.33</v>
          </cell>
          <cell r="H1873">
            <v>0</v>
          </cell>
          <cell r="I1873">
            <v>40085</v>
          </cell>
        </row>
        <row r="1874">
          <cell r="A1874" t="str">
            <v>SCR-SS625</v>
          </cell>
          <cell r="B1874" t="str">
            <v>SCREW M6x25 S/STEEL SET</v>
          </cell>
          <cell r="C1874">
            <v>0.5</v>
          </cell>
          <cell r="D1874">
            <v>0.5</v>
          </cell>
          <cell r="E1874">
            <v>0.5</v>
          </cell>
          <cell r="F1874">
            <v>0.5</v>
          </cell>
          <cell r="G1874">
            <v>0.5</v>
          </cell>
          <cell r="H1874">
            <v>0.39</v>
          </cell>
        </row>
        <row r="1875">
          <cell r="A1875" t="str">
            <v>SCR-SS816</v>
          </cell>
          <cell r="B1875" t="str">
            <v>SCREW M8x16 S/STEEL SET</v>
          </cell>
          <cell r="C1875">
            <v>0.5</v>
          </cell>
          <cell r="D1875">
            <v>0.5</v>
          </cell>
          <cell r="E1875">
            <v>0.5</v>
          </cell>
          <cell r="F1875">
            <v>0.5</v>
          </cell>
          <cell r="G1875">
            <v>0.5</v>
          </cell>
          <cell r="H1875">
            <v>0.51</v>
          </cell>
        </row>
        <row r="1876">
          <cell r="A1876" t="str">
            <v>SCR-SSCH58</v>
          </cell>
          <cell r="B1876" t="str">
            <v>SCREW M5x8 S/STEEL CHEESE HEAD SLOT</v>
          </cell>
          <cell r="C1876">
            <v>0.24</v>
          </cell>
          <cell r="D1876">
            <v>0.24</v>
          </cell>
          <cell r="E1876">
            <v>0.24</v>
          </cell>
          <cell r="F1876">
            <v>0.24</v>
          </cell>
          <cell r="G1876">
            <v>0.24</v>
          </cell>
          <cell r="H1876">
            <v>0.3</v>
          </cell>
        </row>
        <row r="1877">
          <cell r="A1877" t="str">
            <v>SCR-SSCK412</v>
          </cell>
          <cell r="B1877" t="str">
            <v>SCREW M4x12 S/STEEL  C/SUNK</v>
          </cell>
          <cell r="C1877">
            <v>0.2</v>
          </cell>
          <cell r="D1877">
            <v>0.2</v>
          </cell>
          <cell r="E1877">
            <v>0.2</v>
          </cell>
          <cell r="F1877">
            <v>0.2</v>
          </cell>
          <cell r="G1877">
            <v>0.2</v>
          </cell>
          <cell r="H1877">
            <v>0.1</v>
          </cell>
        </row>
        <row r="1878">
          <cell r="A1878" t="str">
            <v>SCR-SSCK425</v>
          </cell>
          <cell r="B1878" t="str">
            <v>SCREW M4x25 S/STEEL C/SUK SLOT</v>
          </cell>
          <cell r="C1878">
            <v>0</v>
          </cell>
          <cell r="D1878">
            <v>0</v>
          </cell>
          <cell r="E1878">
            <v>0</v>
          </cell>
          <cell r="F1878">
            <v>0</v>
          </cell>
          <cell r="G1878">
            <v>0</v>
          </cell>
          <cell r="H1878">
            <v>0</v>
          </cell>
        </row>
        <row r="1879">
          <cell r="A1879" t="str">
            <v>SCR-SSCK516</v>
          </cell>
          <cell r="B1879" t="str">
            <v>SCREW M5x16 S/STEEL C/SUNK</v>
          </cell>
          <cell r="C1879">
            <v>0.5</v>
          </cell>
          <cell r="D1879">
            <v>0.5</v>
          </cell>
          <cell r="E1879">
            <v>0.5</v>
          </cell>
          <cell r="F1879">
            <v>0.5</v>
          </cell>
          <cell r="G1879">
            <v>0.5</v>
          </cell>
          <cell r="H1879">
            <v>0.73</v>
          </cell>
        </row>
        <row r="1880">
          <cell r="A1880" t="str">
            <v>SCR-SSHB825</v>
          </cell>
          <cell r="B1880" t="str">
            <v>SCREW M8x25 STAINLESS STEEL HEX BOLT</v>
          </cell>
          <cell r="C1880">
            <v>0.45</v>
          </cell>
          <cell r="D1880">
            <v>0.45</v>
          </cell>
          <cell r="E1880">
            <v>0.45</v>
          </cell>
          <cell r="F1880">
            <v>0.45</v>
          </cell>
          <cell r="G1880">
            <v>0.45</v>
          </cell>
          <cell r="H1880">
            <v>0.62</v>
          </cell>
        </row>
        <row r="1881">
          <cell r="A1881" t="str">
            <v>SCR-SSPH255</v>
          </cell>
          <cell r="B1881" t="str">
            <v>SCREW M2.5x5 S/STEEL PAN PHIL</v>
          </cell>
          <cell r="C1881">
            <v>0.25</v>
          </cell>
          <cell r="D1881">
            <v>0.25</v>
          </cell>
          <cell r="E1881">
            <v>0.25</v>
          </cell>
          <cell r="F1881">
            <v>0.25</v>
          </cell>
          <cell r="G1881">
            <v>0.25</v>
          </cell>
          <cell r="H1881">
            <v>0.12</v>
          </cell>
        </row>
        <row r="1882">
          <cell r="A1882" t="str">
            <v>SCR-SSPH3212</v>
          </cell>
          <cell r="B1882" t="str">
            <v>SCREW M10x32 S/STEEL  UNF X 1/2 PAN SLOT</v>
          </cell>
          <cell r="C1882">
            <v>0.5</v>
          </cell>
          <cell r="D1882">
            <v>0.5</v>
          </cell>
          <cell r="E1882">
            <v>0.5</v>
          </cell>
          <cell r="F1882">
            <v>0.5</v>
          </cell>
          <cell r="G1882">
            <v>0.5</v>
          </cell>
          <cell r="H1882">
            <v>0.35</v>
          </cell>
          <cell r="I1882">
            <v>38950</v>
          </cell>
        </row>
        <row r="1883">
          <cell r="A1883" t="str">
            <v>SCR-SSPH36</v>
          </cell>
          <cell r="B1883" t="str">
            <v>SCREW M3x6 STAINLESS STEEL PAN HEAD SLOT</v>
          </cell>
          <cell r="C1883">
            <v>0.18</v>
          </cell>
          <cell r="D1883">
            <v>0.18</v>
          </cell>
          <cell r="E1883">
            <v>0.18</v>
          </cell>
          <cell r="F1883">
            <v>0.18</v>
          </cell>
          <cell r="G1883">
            <v>0.18</v>
          </cell>
          <cell r="H1883">
            <v>8.8999999999999996E-2</v>
          </cell>
        </row>
        <row r="1884">
          <cell r="A1884" t="str">
            <v>SCR-SSPH406</v>
          </cell>
          <cell r="B1884" t="str">
            <v>SCREW M4 X 6 S/STEEL PAN SLOT</v>
          </cell>
          <cell r="C1884">
            <v>0.1</v>
          </cell>
          <cell r="D1884">
            <v>0.1</v>
          </cell>
          <cell r="E1884">
            <v>0.1</v>
          </cell>
          <cell r="F1884">
            <v>0.1</v>
          </cell>
          <cell r="G1884">
            <v>0.1</v>
          </cell>
          <cell r="H1884">
            <v>0.107</v>
          </cell>
        </row>
        <row r="1885">
          <cell r="A1885" t="str">
            <v>SCR-SSPH412</v>
          </cell>
          <cell r="B1885" t="str">
            <v>SCREW M4x12 S/STEEL PAN HEAD SLOT</v>
          </cell>
          <cell r="C1885">
            <v>0.26</v>
          </cell>
          <cell r="D1885">
            <v>0.26</v>
          </cell>
          <cell r="E1885">
            <v>0.26</v>
          </cell>
          <cell r="F1885">
            <v>0.26</v>
          </cell>
          <cell r="G1885">
            <v>0.26</v>
          </cell>
          <cell r="H1885">
            <v>0</v>
          </cell>
        </row>
        <row r="1886">
          <cell r="A1886" t="str">
            <v>SCR-SSPH525</v>
          </cell>
          <cell r="B1886" t="str">
            <v>SCREW M5 X 25 STAINLESS STEEL PAN HEAD</v>
          </cell>
          <cell r="C1886">
            <v>0.45</v>
          </cell>
          <cell r="D1886">
            <v>0.45</v>
          </cell>
          <cell r="E1886">
            <v>0.45</v>
          </cell>
          <cell r="F1886">
            <v>0.45</v>
          </cell>
          <cell r="G1886">
            <v>0.45</v>
          </cell>
          <cell r="H1886">
            <v>0.62</v>
          </cell>
        </row>
        <row r="1887">
          <cell r="A1887" t="str">
            <v>SCR-SSPH620</v>
          </cell>
          <cell r="B1887" t="str">
            <v>SCREW M6 X 20 STAINLESS STEEL PAN HEAD</v>
          </cell>
          <cell r="C1887">
            <v>0.9</v>
          </cell>
          <cell r="D1887">
            <v>0.9</v>
          </cell>
          <cell r="E1887">
            <v>0.9</v>
          </cell>
          <cell r="F1887">
            <v>0.9</v>
          </cell>
          <cell r="G1887">
            <v>0.9</v>
          </cell>
          <cell r="H1887">
            <v>0.8</v>
          </cell>
        </row>
        <row r="1888">
          <cell r="A1888" t="str">
            <v>SCR-SSPH630</v>
          </cell>
          <cell r="B1888" t="str">
            <v>SCREW M6 X 30 STAINLESS STEEL PAN HEAD</v>
          </cell>
          <cell r="C1888">
            <v>0</v>
          </cell>
          <cell r="D1888">
            <v>0.5</v>
          </cell>
          <cell r="E1888">
            <v>0.5</v>
          </cell>
          <cell r="F1888">
            <v>0.5</v>
          </cell>
          <cell r="G1888">
            <v>0.5</v>
          </cell>
          <cell r="H1888">
            <v>1.04</v>
          </cell>
          <cell r="I1888">
            <v>38951</v>
          </cell>
        </row>
        <row r="1889">
          <cell r="A1889" t="str">
            <v>SCR-SSPH650</v>
          </cell>
          <cell r="B1889" t="str">
            <v>SCREW M6 X 50 STAINLESS STEEL PAN HEAD</v>
          </cell>
          <cell r="C1889">
            <v>0.45</v>
          </cell>
          <cell r="D1889">
            <v>0.45</v>
          </cell>
          <cell r="E1889">
            <v>0.45</v>
          </cell>
          <cell r="F1889">
            <v>0.45</v>
          </cell>
          <cell r="G1889">
            <v>0.45</v>
          </cell>
          <cell r="H1889">
            <v>0.93700000000000006</v>
          </cell>
        </row>
        <row r="1890">
          <cell r="A1890" t="str">
            <v>SCR-SSPP614</v>
          </cell>
          <cell r="B1890" t="str">
            <v>SCREW 6G X 1/4" PAN POSI</v>
          </cell>
          <cell r="C1890">
            <v>0.19500000000000001</v>
          </cell>
          <cell r="D1890">
            <v>0.19500000000000001</v>
          </cell>
          <cell r="E1890">
            <v>0.19500000000000001</v>
          </cell>
          <cell r="F1890">
            <v>0.19500000000000001</v>
          </cell>
          <cell r="G1890">
            <v>0.19500000000000001</v>
          </cell>
          <cell r="H1890">
            <v>0.15</v>
          </cell>
        </row>
        <row r="1891">
          <cell r="A1891" t="str">
            <v>SCR-SSPP838</v>
          </cell>
          <cell r="B1891" t="str">
            <v>SCREW 8G X 3/8 PAN POZI SELF TAPER SS</v>
          </cell>
          <cell r="C1891">
            <v>6.5000000000000002E-2</v>
          </cell>
          <cell r="D1891">
            <v>0.08</v>
          </cell>
          <cell r="E1891">
            <v>0.08</v>
          </cell>
          <cell r="F1891">
            <v>0.08</v>
          </cell>
          <cell r="G1891">
            <v>0.08</v>
          </cell>
          <cell r="H1891">
            <v>7.4999999999999997E-2</v>
          </cell>
          <cell r="I1891">
            <v>40120</v>
          </cell>
        </row>
        <row r="1892">
          <cell r="A1892" t="str">
            <v>SCR-SSST4/6</v>
          </cell>
          <cell r="B1892" t="str">
            <v>SCREW SELF TAPING No 4 x 6 S/STEEL</v>
          </cell>
          <cell r="C1892">
            <v>2.5000000000000001E-2</v>
          </cell>
          <cell r="D1892">
            <v>3.2000000000000001E-2</v>
          </cell>
          <cell r="E1892">
            <v>3.2000000000000001E-2</v>
          </cell>
          <cell r="F1892">
            <v>3.2000000000000001E-2</v>
          </cell>
          <cell r="G1892">
            <v>3.2000000000000001E-2</v>
          </cell>
          <cell r="H1892">
            <v>0.152</v>
          </cell>
          <cell r="I1892">
            <v>40086</v>
          </cell>
        </row>
        <row r="1893">
          <cell r="A1893" t="str">
            <v>SCR-SSST43/8</v>
          </cell>
          <cell r="B1893" t="str">
            <v>SCREW SELF TAPING. No 4 x 3-8 S/STEEL</v>
          </cell>
          <cell r="C1893">
            <v>0.23</v>
          </cell>
          <cell r="D1893">
            <v>0.23</v>
          </cell>
          <cell r="E1893">
            <v>0.23</v>
          </cell>
          <cell r="F1893">
            <v>0.23</v>
          </cell>
          <cell r="G1893">
            <v>0.23</v>
          </cell>
          <cell r="H1893">
            <v>0.3</v>
          </cell>
        </row>
        <row r="1894">
          <cell r="A1894" t="str">
            <v>SCRTHCH</v>
          </cell>
          <cell r="B1894" t="str">
            <v>STEVENSON SCREEN CHAIN</v>
          </cell>
          <cell r="C1894">
            <v>25</v>
          </cell>
          <cell r="D1894">
            <v>25</v>
          </cell>
          <cell r="E1894">
            <v>25</v>
          </cell>
          <cell r="F1894">
            <v>25</v>
          </cell>
          <cell r="G1894">
            <v>25</v>
          </cell>
          <cell r="H1894">
            <v>18</v>
          </cell>
        </row>
        <row r="1895">
          <cell r="A1895" t="str">
            <v>SCRTHCL</v>
          </cell>
          <cell r="B1895" t="str">
            <v>STEVENSON SCREEN WATER BOTTLE CLIP</v>
          </cell>
          <cell r="C1895">
            <v>18</v>
          </cell>
          <cell r="D1895">
            <v>18</v>
          </cell>
          <cell r="E1895">
            <v>18</v>
          </cell>
          <cell r="F1895">
            <v>18</v>
          </cell>
          <cell r="G1895">
            <v>18</v>
          </cell>
          <cell r="H1895">
            <v>20.332999999999998</v>
          </cell>
        </row>
        <row r="1896">
          <cell r="A1896" t="str">
            <v>SCRTHCU</v>
          </cell>
          <cell r="B1896" t="str">
            <v>STEVENSON SCREEN THERMOMETER CLIP</v>
          </cell>
          <cell r="C1896">
            <v>7</v>
          </cell>
          <cell r="D1896">
            <v>7</v>
          </cell>
          <cell r="E1896">
            <v>7</v>
          </cell>
          <cell r="F1896">
            <v>7</v>
          </cell>
          <cell r="G1896">
            <v>7</v>
          </cell>
          <cell r="H1896">
            <v>0.92</v>
          </cell>
        </row>
        <row r="1897">
          <cell r="A1897" t="str">
            <v>SCRTHDC</v>
          </cell>
          <cell r="B1897" t="str">
            <v>STEVENSON SCREEN DOOR CATCH</v>
          </cell>
          <cell r="C1897">
            <v>15</v>
          </cell>
          <cell r="D1897">
            <v>15</v>
          </cell>
          <cell r="E1897">
            <v>15</v>
          </cell>
          <cell r="F1897">
            <v>15</v>
          </cell>
          <cell r="G1897">
            <v>15</v>
          </cell>
          <cell r="H1897">
            <v>9.5</v>
          </cell>
        </row>
        <row r="1898">
          <cell r="A1898" t="str">
            <v>SCRTHHB</v>
          </cell>
          <cell r="B1898" t="str">
            <v>STEVENSON SCREEN HINGE</v>
          </cell>
          <cell r="C1898">
            <v>7</v>
          </cell>
          <cell r="D1898">
            <v>7</v>
          </cell>
          <cell r="E1898">
            <v>7</v>
          </cell>
          <cell r="F1898">
            <v>7</v>
          </cell>
          <cell r="G1898">
            <v>7</v>
          </cell>
          <cell r="H1898">
            <v>2.363</v>
          </cell>
        </row>
        <row r="1899">
          <cell r="A1899" t="str">
            <v>SCRTHLA</v>
          </cell>
          <cell r="B1899" t="str">
            <v>STEVENSON SCREEN  LARGE</v>
          </cell>
          <cell r="C1899">
            <v>2790</v>
          </cell>
          <cell r="D1899">
            <v>2790</v>
          </cell>
          <cell r="E1899">
            <v>2790</v>
          </cell>
          <cell r="F1899">
            <v>2790</v>
          </cell>
          <cell r="G1899">
            <v>2790</v>
          </cell>
          <cell r="H1899">
            <v>2145.6320000000001</v>
          </cell>
        </row>
        <row r="1900">
          <cell r="A1900" t="str">
            <v>SCRTHRC</v>
          </cell>
          <cell r="B1900" t="str">
            <v>STEVENSON SCREEN  SMALL RIDGE CAP</v>
          </cell>
          <cell r="C1900">
            <v>33</v>
          </cell>
          <cell r="D1900">
            <v>33</v>
          </cell>
          <cell r="E1900">
            <v>33</v>
          </cell>
          <cell r="F1900">
            <v>33</v>
          </cell>
          <cell r="G1900">
            <v>33</v>
          </cell>
          <cell r="H1900">
            <v>23.853000000000002</v>
          </cell>
          <cell r="I1900">
            <v>40213</v>
          </cell>
        </row>
        <row r="1901">
          <cell r="A1901" t="str">
            <v>SCRTHSM</v>
          </cell>
          <cell r="B1901" t="str">
            <v>STEVENSON SCREEN  SMALL</v>
          </cell>
          <cell r="C1901">
            <v>1665</v>
          </cell>
          <cell r="D1901">
            <v>1665</v>
          </cell>
          <cell r="E1901">
            <v>1665</v>
          </cell>
          <cell r="F1901">
            <v>1665</v>
          </cell>
          <cell r="G1901">
            <v>1665</v>
          </cell>
          <cell r="H1901">
            <v>1282.704</v>
          </cell>
          <cell r="I1901">
            <v>40227</v>
          </cell>
        </row>
        <row r="1902">
          <cell r="A1902" t="str">
            <v>SCRTHST</v>
          </cell>
          <cell r="B1902" t="str">
            <v>STEVENSON SCREEN  SMALL STAND</v>
          </cell>
          <cell r="C1902">
            <v>552</v>
          </cell>
          <cell r="D1902">
            <v>552</v>
          </cell>
          <cell r="E1902">
            <v>552</v>
          </cell>
          <cell r="F1902">
            <v>552</v>
          </cell>
          <cell r="G1902">
            <v>552</v>
          </cell>
          <cell r="H1902">
            <v>428.9</v>
          </cell>
          <cell r="I1902">
            <v>40226</v>
          </cell>
        </row>
        <row r="1903">
          <cell r="A1903" t="str">
            <v>SCRTHSU</v>
          </cell>
          <cell r="B1903" t="str">
            <v>STEVENSON SCREEN  LARGE STAND</v>
          </cell>
          <cell r="C1903">
            <v>493.5</v>
          </cell>
          <cell r="D1903">
            <v>611</v>
          </cell>
          <cell r="E1903">
            <v>611</v>
          </cell>
          <cell r="F1903">
            <v>611</v>
          </cell>
          <cell r="G1903">
            <v>611</v>
          </cell>
          <cell r="H1903">
            <v>473.75</v>
          </cell>
        </row>
        <row r="1904">
          <cell r="A1904" t="str">
            <v>SCRTHVT</v>
          </cell>
          <cell r="B1904" t="str">
            <v>STEVENSON SCREEN  VENT TUBE</v>
          </cell>
          <cell r="C1904">
            <v>2.95</v>
          </cell>
          <cell r="D1904">
            <v>2.95</v>
          </cell>
          <cell r="E1904">
            <v>2.95</v>
          </cell>
          <cell r="F1904">
            <v>2.95</v>
          </cell>
          <cell r="G1904">
            <v>2.95</v>
          </cell>
          <cell r="H1904">
            <v>1.95</v>
          </cell>
        </row>
        <row r="1905">
          <cell r="A1905" t="str">
            <v>SDIUSBT</v>
          </cell>
          <cell r="B1905" t="str">
            <v>SDI-12 TO USB TRANSLATOR</v>
          </cell>
          <cell r="C1905">
            <v>140</v>
          </cell>
          <cell r="D1905">
            <v>160</v>
          </cell>
          <cell r="E1905">
            <v>160</v>
          </cell>
          <cell r="F1905">
            <v>160</v>
          </cell>
          <cell r="G1905">
            <v>160</v>
          </cell>
          <cell r="H1905">
            <v>134.13200000000001</v>
          </cell>
        </row>
        <row r="1906">
          <cell r="A1906" t="str">
            <v>SEA-RTV734</v>
          </cell>
          <cell r="B1906" t="str">
            <v>DOW CORNING SEALANT RTV734</v>
          </cell>
          <cell r="C1906">
            <v>55</v>
          </cell>
          <cell r="D1906">
            <v>55</v>
          </cell>
          <cell r="E1906">
            <v>55</v>
          </cell>
          <cell r="F1906">
            <v>55</v>
          </cell>
          <cell r="G1906">
            <v>55</v>
          </cell>
          <cell r="H1906">
            <v>16.7</v>
          </cell>
        </row>
        <row r="1907">
          <cell r="A1907" t="str">
            <v>SEA-SILGRE</v>
          </cell>
          <cell r="B1907" t="str">
            <v>SILICON GREASE COMPOUND</v>
          </cell>
          <cell r="C1907">
            <v>25</v>
          </cell>
          <cell r="D1907">
            <v>25</v>
          </cell>
          <cell r="E1907">
            <v>25</v>
          </cell>
          <cell r="F1907">
            <v>25</v>
          </cell>
          <cell r="G1907">
            <v>25</v>
          </cell>
          <cell r="H1907">
            <v>16.25</v>
          </cell>
        </row>
        <row r="1908">
          <cell r="A1908" t="str">
            <v>SEA-SILICON</v>
          </cell>
          <cell r="B1908" t="str">
            <v>SEALANT SILICON</v>
          </cell>
          <cell r="C1908">
            <v>25</v>
          </cell>
          <cell r="D1908">
            <v>25</v>
          </cell>
          <cell r="E1908">
            <v>25</v>
          </cell>
          <cell r="F1908">
            <v>25</v>
          </cell>
          <cell r="G1908">
            <v>25</v>
          </cell>
          <cell r="H1908">
            <v>19.128</v>
          </cell>
        </row>
        <row r="1909">
          <cell r="A1909" t="str">
            <v>SEAADRU</v>
          </cell>
          <cell r="B1909" t="str">
            <v>SEALEVEL ADAPTER RUBBER</v>
          </cell>
          <cell r="C1909">
            <v>4.5</v>
          </cell>
          <cell r="D1909">
            <v>4.5</v>
          </cell>
          <cell r="E1909">
            <v>4.5</v>
          </cell>
          <cell r="F1909">
            <v>4.5</v>
          </cell>
          <cell r="G1909">
            <v>4.5</v>
          </cell>
          <cell r="H1909">
            <v>0</v>
          </cell>
        </row>
        <row r="1910">
          <cell r="A1910" t="str">
            <v>SEABP45</v>
          </cell>
          <cell r="B1910" t="str">
            <v>S/STEEL BEND 1.5" 45 DEGREE LONG RADIUS</v>
          </cell>
          <cell r="C1910">
            <v>16.8</v>
          </cell>
          <cell r="D1910">
            <v>20.8</v>
          </cell>
          <cell r="E1910">
            <v>20.8</v>
          </cell>
          <cell r="F1910">
            <v>20.8</v>
          </cell>
          <cell r="G1910">
            <v>20.8</v>
          </cell>
          <cell r="H1910">
            <v>16</v>
          </cell>
          <cell r="I1910">
            <v>39884</v>
          </cell>
        </row>
        <row r="1911">
          <cell r="A1911" t="str">
            <v>SEABP90</v>
          </cell>
          <cell r="B1911" t="str">
            <v>S/STEEL BEND 1.5" 90 DEGREE LONG RADIUS</v>
          </cell>
          <cell r="C1911">
            <v>19</v>
          </cell>
          <cell r="D1911">
            <v>19</v>
          </cell>
          <cell r="E1911">
            <v>19</v>
          </cell>
          <cell r="F1911">
            <v>19</v>
          </cell>
          <cell r="G1911">
            <v>19</v>
          </cell>
          <cell r="H1911">
            <v>12.4</v>
          </cell>
        </row>
        <row r="1912">
          <cell r="A1912" t="str">
            <v>SEABPBL</v>
          </cell>
          <cell r="B1912" t="str">
            <v>SEA LEVEL BUBBLER LARGE PIPE BRACKET</v>
          </cell>
          <cell r="C1912">
            <v>45</v>
          </cell>
          <cell r="D1912">
            <v>45</v>
          </cell>
          <cell r="E1912">
            <v>45</v>
          </cell>
          <cell r="F1912">
            <v>45</v>
          </cell>
          <cell r="G1912">
            <v>45</v>
          </cell>
          <cell r="H1912">
            <v>30</v>
          </cell>
        </row>
        <row r="1913">
          <cell r="A1913" t="str">
            <v>SEABPBS</v>
          </cell>
          <cell r="B1913" t="str">
            <v>SEAL LEVEL BUBBLER SMALL PIPE BRACKET</v>
          </cell>
          <cell r="C1913">
            <v>45</v>
          </cell>
          <cell r="D1913">
            <v>45</v>
          </cell>
          <cell r="E1913">
            <v>45</v>
          </cell>
          <cell r="F1913">
            <v>45</v>
          </cell>
          <cell r="G1913">
            <v>45</v>
          </cell>
          <cell r="H1913">
            <v>32</v>
          </cell>
        </row>
        <row r="1914">
          <cell r="A1914" t="str">
            <v>SEABPKT</v>
          </cell>
          <cell r="B1914" t="str">
            <v>SEA LEVEL BUBBLER PIPE KIT</v>
          </cell>
          <cell r="C1914">
            <v>205</v>
          </cell>
          <cell r="D1914">
            <v>205</v>
          </cell>
          <cell r="E1914">
            <v>205</v>
          </cell>
          <cell r="F1914">
            <v>205</v>
          </cell>
          <cell r="G1914">
            <v>205</v>
          </cell>
          <cell r="H1914">
            <v>125.77500000000001</v>
          </cell>
        </row>
        <row r="1915">
          <cell r="A1915" t="str">
            <v>SEABPSP</v>
          </cell>
          <cell r="B1915" t="str">
            <v>S/STEEL TUBE 1" 304 (300mm LONG)</v>
          </cell>
          <cell r="C1915">
            <v>15</v>
          </cell>
          <cell r="D1915">
            <v>15</v>
          </cell>
          <cell r="E1915">
            <v>15</v>
          </cell>
          <cell r="F1915">
            <v>15</v>
          </cell>
          <cell r="G1915">
            <v>15</v>
          </cell>
          <cell r="H1915">
            <v>14.41</v>
          </cell>
        </row>
        <row r="1916">
          <cell r="A1916" t="str">
            <v>SEABUAD</v>
          </cell>
          <cell r="B1916" t="str">
            <v>SEALEVEL BUBBLER ADAPTER</v>
          </cell>
          <cell r="C1916">
            <v>280</v>
          </cell>
          <cell r="D1916">
            <v>338</v>
          </cell>
          <cell r="E1916">
            <v>338</v>
          </cell>
          <cell r="F1916">
            <v>338</v>
          </cell>
          <cell r="G1916">
            <v>338</v>
          </cell>
          <cell r="H1916">
            <v>0</v>
          </cell>
        </row>
        <row r="1917">
          <cell r="A1917" t="str">
            <v>SEABUNS</v>
          </cell>
          <cell r="B1917" t="str">
            <v>RJT NUT SPANNER 2.5"</v>
          </cell>
          <cell r="C1917">
            <v>25</v>
          </cell>
          <cell r="D1917">
            <v>25</v>
          </cell>
          <cell r="E1917">
            <v>25</v>
          </cell>
          <cell r="F1917">
            <v>25</v>
          </cell>
          <cell r="G1917">
            <v>25</v>
          </cell>
          <cell r="H1917">
            <v>16.3</v>
          </cell>
        </row>
        <row r="1918">
          <cell r="A1918" t="str">
            <v>SEALRGC</v>
          </cell>
          <cell r="B1918" t="str">
            <v>SEALANT ROOF AND GUTTER CARTRIDGE</v>
          </cell>
          <cell r="C1918">
            <v>22</v>
          </cell>
          <cell r="D1918">
            <v>22</v>
          </cell>
          <cell r="E1918">
            <v>22</v>
          </cell>
          <cell r="F1918">
            <v>22</v>
          </cell>
          <cell r="G1918">
            <v>22</v>
          </cell>
          <cell r="H1918">
            <v>5.98</v>
          </cell>
        </row>
        <row r="1919">
          <cell r="A1919" t="str">
            <v>SEAPOINT</v>
          </cell>
          <cell r="B1919" t="str">
            <v>SEAPOINT TURBIDITY SENSOR c/w 1.6M</v>
          </cell>
          <cell r="C1919">
            <v>2750</v>
          </cell>
          <cell r="D1919">
            <v>3380</v>
          </cell>
          <cell r="E1919">
            <v>3380</v>
          </cell>
          <cell r="F1919">
            <v>3380</v>
          </cell>
          <cell r="G1919">
            <v>3380</v>
          </cell>
          <cell r="H1919">
            <v>2543.86</v>
          </cell>
          <cell r="I1919">
            <v>39909</v>
          </cell>
        </row>
        <row r="1920">
          <cell r="A1920" t="str">
            <v>SEBAXCO</v>
          </cell>
          <cell r="B1920" t="str">
            <v>SEBA CURRENT METER AXLE</v>
          </cell>
          <cell r="C1920">
            <v>200</v>
          </cell>
          <cell r="D1920">
            <v>200</v>
          </cell>
          <cell r="E1920">
            <v>200</v>
          </cell>
          <cell r="F1920">
            <v>200</v>
          </cell>
          <cell r="G1920">
            <v>200</v>
          </cell>
          <cell r="H1920">
            <v>0</v>
          </cell>
        </row>
        <row r="1921">
          <cell r="A1921" t="str">
            <v>SEBBRBA</v>
          </cell>
          <cell r="B1921" t="str">
            <v>SEBA CURRENT METER BALL BEARING</v>
          </cell>
          <cell r="C1921">
            <v>46.31</v>
          </cell>
          <cell r="D1921">
            <v>46.31</v>
          </cell>
          <cell r="E1921">
            <v>46.31</v>
          </cell>
          <cell r="F1921">
            <v>46.31</v>
          </cell>
          <cell r="G1921">
            <v>46.31</v>
          </cell>
          <cell r="H1921">
            <v>0</v>
          </cell>
        </row>
        <row r="1922">
          <cell r="A1922" t="str">
            <v>SEBCOWA</v>
          </cell>
          <cell r="B1922" t="str">
            <v>SEBA CURRENT METER WADING ROD ADAPTER</v>
          </cell>
          <cell r="C1922">
            <v>175</v>
          </cell>
          <cell r="D1922">
            <v>175</v>
          </cell>
          <cell r="E1922">
            <v>175</v>
          </cell>
          <cell r="F1922">
            <v>175</v>
          </cell>
          <cell r="G1922">
            <v>175</v>
          </cell>
          <cell r="H1922">
            <v>122</v>
          </cell>
        </row>
        <row r="1923">
          <cell r="A1923" t="str">
            <v>SEBF1CM</v>
          </cell>
          <cell r="B1923" t="str">
            <v>SEBA UNIVERSAL CURRENT METER F1</v>
          </cell>
          <cell r="C1923">
            <v>5838</v>
          </cell>
          <cell r="D1923">
            <v>5838</v>
          </cell>
          <cell r="E1923">
            <v>5838</v>
          </cell>
          <cell r="F1923">
            <v>5838</v>
          </cell>
          <cell r="G1923">
            <v>5838</v>
          </cell>
          <cell r="H1923">
            <v>4731.6530000000002</v>
          </cell>
        </row>
        <row r="1924">
          <cell r="A1924" t="str">
            <v>SEBMCUME</v>
          </cell>
          <cell r="B1924" t="str">
            <v>SEBA MINI CURRENT METER M1</v>
          </cell>
          <cell r="C1924">
            <v>5500</v>
          </cell>
          <cell r="D1924">
            <v>5500</v>
          </cell>
          <cell r="E1924">
            <v>5500</v>
          </cell>
          <cell r="F1924">
            <v>5500</v>
          </cell>
          <cell r="G1924">
            <v>5500</v>
          </cell>
          <cell r="H1924">
            <v>3728.1959999999999</v>
          </cell>
          <cell r="I1924">
            <v>40028</v>
          </cell>
        </row>
        <row r="1925">
          <cell r="A1925" t="str">
            <v>SEBMIAX</v>
          </cell>
          <cell r="B1925" t="str">
            <v>SEBA MINI M1 AXLE  #MR-11</v>
          </cell>
          <cell r="C1925">
            <v>191</v>
          </cell>
          <cell r="D1925">
            <v>236</v>
          </cell>
          <cell r="E1925">
            <v>236</v>
          </cell>
          <cell r="F1925">
            <v>236</v>
          </cell>
          <cell r="G1925">
            <v>236</v>
          </cell>
          <cell r="H1925">
            <v>181.75399999999999</v>
          </cell>
          <cell r="I1925">
            <v>39883</v>
          </cell>
        </row>
        <row r="1926">
          <cell r="A1926" t="str">
            <v>SEBMICA</v>
          </cell>
          <cell r="B1926" t="str">
            <v>SEBA MINI M1 CABLE 4m  #MR-59</v>
          </cell>
          <cell r="C1926">
            <v>120</v>
          </cell>
          <cell r="D1926">
            <v>120</v>
          </cell>
          <cell r="E1926">
            <v>120</v>
          </cell>
          <cell r="F1926">
            <v>120</v>
          </cell>
          <cell r="G1926">
            <v>120</v>
          </cell>
          <cell r="H1926">
            <v>111.874</v>
          </cell>
        </row>
        <row r="1927">
          <cell r="A1927" t="str">
            <v>SEBMIMA</v>
          </cell>
          <cell r="B1927" t="str">
            <v>SEBA MINI MAGNET SUPPORT COMPLETE #13</v>
          </cell>
          <cell r="C1927">
            <v>75.25</v>
          </cell>
          <cell r="D1927">
            <v>93</v>
          </cell>
          <cell r="E1927">
            <v>93</v>
          </cell>
          <cell r="F1927">
            <v>93</v>
          </cell>
          <cell r="G1927">
            <v>93</v>
          </cell>
          <cell r="H1927">
            <v>72.072000000000003</v>
          </cell>
          <cell r="I1927">
            <v>39883</v>
          </cell>
        </row>
        <row r="1928">
          <cell r="A1928" t="str">
            <v>SEBMIOR</v>
          </cell>
          <cell r="B1928" t="str">
            <v>SEBA MINI M1 O-RING  #MR-24</v>
          </cell>
          <cell r="C1928">
            <v>1.9</v>
          </cell>
          <cell r="D1928">
            <v>1.9</v>
          </cell>
          <cell r="E1928">
            <v>1.9</v>
          </cell>
          <cell r="F1928">
            <v>1.9</v>
          </cell>
          <cell r="G1928">
            <v>1.9</v>
          </cell>
          <cell r="H1928">
            <v>1.373</v>
          </cell>
        </row>
        <row r="1929">
          <cell r="A1929" t="str">
            <v>SEBMPCA</v>
          </cell>
          <cell r="B1929" t="str">
            <v>SEBA MINI CURRENT METER PLUG CAP</v>
          </cell>
          <cell r="C1929">
            <v>29</v>
          </cell>
          <cell r="D1929">
            <v>35.5</v>
          </cell>
          <cell r="E1929">
            <v>35.5</v>
          </cell>
          <cell r="F1929">
            <v>35.5</v>
          </cell>
          <cell r="G1929">
            <v>35.5</v>
          </cell>
          <cell r="H1929">
            <v>27.077999999999999</v>
          </cell>
        </row>
        <row r="1930">
          <cell r="A1930" t="str">
            <v>SEBMPHO</v>
          </cell>
          <cell r="B1930" t="str">
            <v>SEBA MINI C/METER PLUG CORE HOSE</v>
          </cell>
          <cell r="C1930">
            <v>28.5</v>
          </cell>
          <cell r="D1930">
            <v>35</v>
          </cell>
          <cell r="E1930">
            <v>35</v>
          </cell>
          <cell r="F1930">
            <v>35</v>
          </cell>
          <cell r="G1930">
            <v>35</v>
          </cell>
          <cell r="H1930">
            <v>27.077999999999999</v>
          </cell>
        </row>
        <row r="1931">
          <cell r="A1931" t="str">
            <v>SEBPRN1</v>
          </cell>
          <cell r="B1931" t="str">
            <v>SEBA M1 C/METER PROPELLER (1)</v>
          </cell>
          <cell r="C1931">
            <v>720</v>
          </cell>
          <cell r="D1931">
            <v>720</v>
          </cell>
          <cell r="E1931">
            <v>720</v>
          </cell>
          <cell r="F1931">
            <v>720</v>
          </cell>
          <cell r="G1931">
            <v>720</v>
          </cell>
          <cell r="H1931">
            <v>578.36199999999997</v>
          </cell>
        </row>
        <row r="1932">
          <cell r="A1932" t="str">
            <v>SEBPRN3</v>
          </cell>
          <cell r="B1932" t="str">
            <v>SEBA M1 C/METER PROPELLER (3)</v>
          </cell>
          <cell r="C1932">
            <v>720</v>
          </cell>
          <cell r="D1932">
            <v>720</v>
          </cell>
          <cell r="E1932">
            <v>720</v>
          </cell>
          <cell r="F1932">
            <v>720</v>
          </cell>
          <cell r="G1932">
            <v>720</v>
          </cell>
          <cell r="H1932">
            <v>510.85599999999999</v>
          </cell>
        </row>
        <row r="1933">
          <cell r="A1933" t="str">
            <v>SEBPROP</v>
          </cell>
          <cell r="B1933" t="str">
            <v>SEBA CURRENT METER PROPELLOR</v>
          </cell>
          <cell r="C1933">
            <v>500</v>
          </cell>
          <cell r="D1933">
            <v>500</v>
          </cell>
          <cell r="E1933">
            <v>500</v>
          </cell>
          <cell r="F1933">
            <v>500</v>
          </cell>
          <cell r="G1933">
            <v>500</v>
          </cell>
          <cell r="H1933">
            <v>636.81899999999996</v>
          </cell>
        </row>
        <row r="1934">
          <cell r="A1934" t="str">
            <v>SEBSCAX</v>
          </cell>
          <cell r="B1934" t="str">
            <v>SEBA CURRENT METER AXLE SCREW</v>
          </cell>
          <cell r="C1934">
            <v>17.34</v>
          </cell>
          <cell r="D1934">
            <v>17.34</v>
          </cell>
          <cell r="E1934">
            <v>17.34</v>
          </cell>
          <cell r="F1934">
            <v>17.34</v>
          </cell>
          <cell r="G1934">
            <v>17.34</v>
          </cell>
          <cell r="H1934">
            <v>0</v>
          </cell>
        </row>
        <row r="1935">
          <cell r="A1935" t="str">
            <v>SEBSWRE</v>
          </cell>
          <cell r="B1935" t="str">
            <v>SEBA M1 REED SWITCH - PART #28</v>
          </cell>
          <cell r="C1935">
            <v>89</v>
          </cell>
          <cell r="D1935">
            <v>110</v>
          </cell>
          <cell r="E1935">
            <v>110</v>
          </cell>
          <cell r="F1935">
            <v>110</v>
          </cell>
          <cell r="G1935">
            <v>110</v>
          </cell>
          <cell r="H1935">
            <v>84.605999999999995</v>
          </cell>
        </row>
        <row r="1936">
          <cell r="A1936" t="str">
            <v>SEBTATR</v>
          </cell>
          <cell r="B1936" t="str">
            <v>SEBA CURRENT METER TAPER (TRANSITION PIE</v>
          </cell>
          <cell r="C1936">
            <v>384.54</v>
          </cell>
          <cell r="D1936">
            <v>384.54</v>
          </cell>
          <cell r="E1936">
            <v>384.54</v>
          </cell>
          <cell r="F1936">
            <v>384.54</v>
          </cell>
          <cell r="G1936">
            <v>384.54</v>
          </cell>
          <cell r="H1936">
            <v>0</v>
          </cell>
        </row>
        <row r="1937">
          <cell r="A1937" t="str">
            <v>SEBTENE</v>
          </cell>
          <cell r="B1937" t="str">
            <v>SEBA CURRENT METER NEGATIVE TERMINAL</v>
          </cell>
          <cell r="C1937">
            <v>103.35</v>
          </cell>
          <cell r="D1937">
            <v>103.35</v>
          </cell>
          <cell r="E1937">
            <v>103.35</v>
          </cell>
          <cell r="F1937">
            <v>103.35</v>
          </cell>
          <cell r="G1937">
            <v>103.35</v>
          </cell>
          <cell r="H1937">
            <v>0</v>
          </cell>
        </row>
        <row r="1938">
          <cell r="A1938" t="str">
            <v>SEDSBOT</v>
          </cell>
          <cell r="B1938" t="str">
            <v>SEDIMENT SAMPLER GLASS BOTTLE 56mm.(D48</v>
          </cell>
          <cell r="C1938">
            <v>8</v>
          </cell>
          <cell r="D1938">
            <v>8</v>
          </cell>
          <cell r="E1938">
            <v>8</v>
          </cell>
          <cell r="F1938">
            <v>8</v>
          </cell>
          <cell r="G1938">
            <v>8</v>
          </cell>
          <cell r="H1938">
            <v>0</v>
          </cell>
        </row>
        <row r="1939">
          <cell r="A1939" t="str">
            <v>SEDSEAL</v>
          </cell>
          <cell r="B1939" t="str">
            <v>SEDIMENT SAMPLER SEAL D49</v>
          </cell>
          <cell r="C1939">
            <v>3</v>
          </cell>
          <cell r="D1939">
            <v>3</v>
          </cell>
          <cell r="E1939">
            <v>3</v>
          </cell>
          <cell r="F1939">
            <v>3</v>
          </cell>
          <cell r="G1939">
            <v>3</v>
          </cell>
          <cell r="H1939">
            <v>0</v>
          </cell>
        </row>
        <row r="1940">
          <cell r="A1940" t="str">
            <v>SEDSHAB</v>
          </cell>
          <cell r="B1940" t="str">
            <v>SEDIMENT SAMPLER HANGER BAR D49</v>
          </cell>
          <cell r="C1940">
            <v>173.24</v>
          </cell>
          <cell r="D1940">
            <v>173.24</v>
          </cell>
          <cell r="E1940">
            <v>173.24</v>
          </cell>
          <cell r="F1940">
            <v>173.24</v>
          </cell>
          <cell r="G1940">
            <v>173.24</v>
          </cell>
          <cell r="H1940">
            <v>0</v>
          </cell>
        </row>
        <row r="1941">
          <cell r="A1941" t="str">
            <v>SEDSN50</v>
          </cell>
          <cell r="B1941" t="str">
            <v>SED SAMPLER D49 BRASS NOZZLE (1/8")</v>
          </cell>
          <cell r="C1941">
            <v>40</v>
          </cell>
          <cell r="D1941">
            <v>40</v>
          </cell>
          <cell r="E1941">
            <v>40</v>
          </cell>
          <cell r="F1941">
            <v>40</v>
          </cell>
          <cell r="G1941">
            <v>40</v>
          </cell>
          <cell r="H1941">
            <v>55.792000000000002</v>
          </cell>
        </row>
        <row r="1942">
          <cell r="A1942" t="str">
            <v>SEDSN51</v>
          </cell>
          <cell r="B1942" t="str">
            <v>"SEDIMENT SAMPLER NOZZLE D49 0.1875 (3_1</v>
          </cell>
          <cell r="C1942">
            <v>40</v>
          </cell>
          <cell r="D1942">
            <v>40</v>
          </cell>
          <cell r="E1942">
            <v>40</v>
          </cell>
          <cell r="F1942">
            <v>40</v>
          </cell>
          <cell r="G1942">
            <v>40</v>
          </cell>
          <cell r="H1942">
            <v>0</v>
          </cell>
        </row>
        <row r="1943">
          <cell r="A1943" t="str">
            <v>SEDSN52</v>
          </cell>
          <cell r="B1943" t="str">
            <v>"SEDIMENT SAMPLER NOZZLE D49 0.25 (1_4""</v>
          </cell>
          <cell r="C1943">
            <v>40</v>
          </cell>
          <cell r="D1943">
            <v>40</v>
          </cell>
          <cell r="E1943">
            <v>40</v>
          </cell>
          <cell r="F1943">
            <v>40</v>
          </cell>
          <cell r="G1943">
            <v>40</v>
          </cell>
          <cell r="H1943">
            <v>0</v>
          </cell>
        </row>
        <row r="1944">
          <cell r="A1944" t="str">
            <v>SEIKIDK</v>
          </cell>
          <cell r="B1944" t="str">
            <v>SEIKI DISK</v>
          </cell>
          <cell r="C1944">
            <v>197</v>
          </cell>
          <cell r="D1944">
            <v>197</v>
          </cell>
          <cell r="E1944">
            <v>197</v>
          </cell>
          <cell r="F1944">
            <v>197</v>
          </cell>
          <cell r="G1944">
            <v>197</v>
          </cell>
          <cell r="H1944">
            <v>156.1</v>
          </cell>
          <cell r="I1944">
            <v>40269</v>
          </cell>
        </row>
        <row r="1945">
          <cell r="A1945" t="str">
            <v>SENGMTM</v>
          </cell>
          <cell r="B1945" t="str">
            <v>GRASS MIN TEMPERATURE PROBE</v>
          </cell>
          <cell r="C1945">
            <v>100</v>
          </cell>
          <cell r="D1945">
            <v>100</v>
          </cell>
          <cell r="E1945">
            <v>100</v>
          </cell>
          <cell r="F1945">
            <v>100</v>
          </cell>
          <cell r="G1945">
            <v>100</v>
          </cell>
          <cell r="H1945">
            <v>73.781999999999996</v>
          </cell>
        </row>
        <row r="1946">
          <cell r="A1946" t="str">
            <v>SENMOU1</v>
          </cell>
          <cell r="B1946" t="str">
            <v>SENSOR MOUNTING</v>
          </cell>
          <cell r="C1946">
            <v>85</v>
          </cell>
          <cell r="D1946">
            <v>85</v>
          </cell>
          <cell r="E1946">
            <v>85</v>
          </cell>
          <cell r="F1946">
            <v>85</v>
          </cell>
          <cell r="G1946">
            <v>85</v>
          </cell>
          <cell r="H1946">
            <v>68.953000000000003</v>
          </cell>
        </row>
        <row r="1947">
          <cell r="A1947" t="str">
            <v>SENMUC32</v>
          </cell>
          <cell r="B1947" t="str">
            <v>SENSOR MOUNTING CLAMP COLLAR 32mm</v>
          </cell>
          <cell r="C1947">
            <v>12.52</v>
          </cell>
          <cell r="D1947">
            <v>12.52</v>
          </cell>
          <cell r="E1947">
            <v>12.52</v>
          </cell>
          <cell r="F1947">
            <v>12.52</v>
          </cell>
          <cell r="G1947">
            <v>12.52</v>
          </cell>
          <cell r="H1947">
            <v>0</v>
          </cell>
        </row>
        <row r="1948">
          <cell r="A1948" t="str">
            <v>SENMUC38</v>
          </cell>
          <cell r="B1948" t="str">
            <v>SENSOR MOUNTING CLAMP COLLAR 38mm</v>
          </cell>
          <cell r="C1948">
            <v>12.52</v>
          </cell>
          <cell r="D1948">
            <v>12.52</v>
          </cell>
          <cell r="E1948">
            <v>12.52</v>
          </cell>
          <cell r="F1948">
            <v>12.52</v>
          </cell>
          <cell r="G1948">
            <v>12.52</v>
          </cell>
          <cell r="H1948">
            <v>0</v>
          </cell>
        </row>
        <row r="1949">
          <cell r="A1949" t="str">
            <v>SENMUNE</v>
          </cell>
          <cell r="B1949" t="str">
            <v>END CAP FOR #SENMUNI.150mm PRESSURE PIPE</v>
          </cell>
          <cell r="C1949">
            <v>69.849999999999994</v>
          </cell>
          <cell r="D1949">
            <v>69.849999999999994</v>
          </cell>
          <cell r="E1949">
            <v>69.849999999999994</v>
          </cell>
          <cell r="F1949">
            <v>69.849999999999994</v>
          </cell>
          <cell r="G1949">
            <v>69.849999999999994</v>
          </cell>
          <cell r="H1949">
            <v>0</v>
          </cell>
        </row>
        <row r="1950">
          <cell r="A1950" t="str">
            <v>SENMUNI</v>
          </cell>
          <cell r="B1950" t="str">
            <v>MOUNTING SENSOR</v>
          </cell>
          <cell r="C1950">
            <v>543.45000000000005</v>
          </cell>
          <cell r="D1950">
            <v>543.45000000000005</v>
          </cell>
          <cell r="E1950">
            <v>543.45000000000005</v>
          </cell>
          <cell r="F1950">
            <v>543.45000000000005</v>
          </cell>
          <cell r="G1950">
            <v>543.45000000000005</v>
          </cell>
          <cell r="H1950">
            <v>0</v>
          </cell>
        </row>
        <row r="1951">
          <cell r="A1951" t="str">
            <v>SENMUPK</v>
          </cell>
          <cell r="B1951" t="str">
            <v>PLUMBING KIT (UNIVERSAL SENSOR MOUNT PUM</v>
          </cell>
          <cell r="C1951">
            <v>37.68</v>
          </cell>
          <cell r="D1951">
            <v>37.68</v>
          </cell>
          <cell r="E1951">
            <v>37.68</v>
          </cell>
          <cell r="F1951">
            <v>37.68</v>
          </cell>
          <cell r="G1951">
            <v>37.68</v>
          </cell>
          <cell r="H1951">
            <v>0</v>
          </cell>
        </row>
        <row r="1952">
          <cell r="A1952" t="str">
            <v>SENMUPU</v>
          </cell>
          <cell r="B1952" t="str">
            <v>PUMP SUBMERSABLE 12vdc</v>
          </cell>
          <cell r="C1952">
            <v>136.80000000000001</v>
          </cell>
          <cell r="D1952">
            <v>136.80000000000001</v>
          </cell>
          <cell r="E1952">
            <v>136.80000000000001</v>
          </cell>
          <cell r="F1952">
            <v>136.80000000000001</v>
          </cell>
          <cell r="G1952">
            <v>136.80000000000001</v>
          </cell>
          <cell r="H1952">
            <v>30</v>
          </cell>
        </row>
        <row r="1953">
          <cell r="A1953" t="str">
            <v>SENSORE40</v>
          </cell>
          <cell r="B1953" t="str">
            <v>SOCKET  REDUCING.GALV 40-25mm PIPE THREA</v>
          </cell>
          <cell r="C1953">
            <v>4.9800000000000004</v>
          </cell>
          <cell r="D1953">
            <v>4.9800000000000004</v>
          </cell>
          <cell r="E1953">
            <v>4.9800000000000004</v>
          </cell>
          <cell r="F1953">
            <v>4.9800000000000004</v>
          </cell>
          <cell r="G1953">
            <v>4.9800000000000004</v>
          </cell>
          <cell r="H1953">
            <v>0</v>
          </cell>
        </row>
        <row r="1954">
          <cell r="A1954" t="str">
            <v>SENSORE50</v>
          </cell>
          <cell r="B1954" t="str">
            <v>SOCKET  REDUCING.GALV 50-25mm PIPE THREA</v>
          </cell>
          <cell r="C1954">
            <v>7.5</v>
          </cell>
          <cell r="D1954">
            <v>7.5</v>
          </cell>
          <cell r="E1954">
            <v>7.5</v>
          </cell>
          <cell r="F1954">
            <v>7.5</v>
          </cell>
          <cell r="G1954">
            <v>7.5</v>
          </cell>
          <cell r="H1954">
            <v>8.75</v>
          </cell>
        </row>
        <row r="1955">
          <cell r="A1955" t="str">
            <v>SENTEBO</v>
          </cell>
          <cell r="B1955" t="str">
            <v>GROUND TEMPERATURE PROBE BODY</v>
          </cell>
          <cell r="C1955">
            <v>275</v>
          </cell>
          <cell r="D1955">
            <v>275</v>
          </cell>
          <cell r="E1955">
            <v>275</v>
          </cell>
          <cell r="F1955">
            <v>275</v>
          </cell>
          <cell r="G1955">
            <v>275</v>
          </cell>
          <cell r="H1955">
            <v>236.93</v>
          </cell>
          <cell r="I1955">
            <v>40224</v>
          </cell>
        </row>
        <row r="1956">
          <cell r="A1956" t="str">
            <v>SETCRIMP</v>
          </cell>
          <cell r="B1956" t="str">
            <v>CRIMPING SET C/W CRIMP TOOL</v>
          </cell>
          <cell r="C1956">
            <v>234</v>
          </cell>
          <cell r="D1956">
            <v>288.99</v>
          </cell>
          <cell r="E1956">
            <v>288.99</v>
          </cell>
          <cell r="F1956">
            <v>288.99</v>
          </cell>
          <cell r="G1956">
            <v>288.99</v>
          </cell>
          <cell r="H1956">
            <v>222.3</v>
          </cell>
          <cell r="I1956">
            <v>39884</v>
          </cell>
        </row>
        <row r="1957">
          <cell r="A1957" t="str">
            <v>SHCAP</v>
          </cell>
          <cell r="B1957" t="str">
            <v>50mm TANK CAP</v>
          </cell>
          <cell r="C1957">
            <v>7.98</v>
          </cell>
          <cell r="D1957">
            <v>9.8800000000000008</v>
          </cell>
          <cell r="E1957">
            <v>9.8800000000000008</v>
          </cell>
          <cell r="F1957">
            <v>9.8800000000000008</v>
          </cell>
          <cell r="G1957">
            <v>9.8800000000000008</v>
          </cell>
          <cell r="H1957">
            <v>8</v>
          </cell>
          <cell r="I1957">
            <v>39883</v>
          </cell>
        </row>
        <row r="1958">
          <cell r="A1958" t="str">
            <v>SHCOND</v>
          </cell>
          <cell r="B1958" t="str">
            <v>SHMAK CONDUCTIVITY METER TDSCAN 3 WATER</v>
          </cell>
          <cell r="C1958">
            <v>128</v>
          </cell>
          <cell r="D1958">
            <v>128</v>
          </cell>
          <cell r="E1958">
            <v>128</v>
          </cell>
          <cell r="F1958">
            <v>128</v>
          </cell>
          <cell r="G1958">
            <v>128</v>
          </cell>
          <cell r="H1958">
            <v>97.8</v>
          </cell>
          <cell r="I1958">
            <v>40299</v>
          </cell>
        </row>
        <row r="1959">
          <cell r="A1959" t="str">
            <v>SHMAG</v>
          </cell>
          <cell r="B1959" t="str">
            <v>SHMAK KT MAGNET</v>
          </cell>
          <cell r="C1959">
            <v>29</v>
          </cell>
          <cell r="D1959">
            <v>29</v>
          </cell>
          <cell r="E1959">
            <v>29</v>
          </cell>
          <cell r="F1959">
            <v>29</v>
          </cell>
          <cell r="G1959">
            <v>29</v>
          </cell>
          <cell r="H1959">
            <v>19</v>
          </cell>
        </row>
        <row r="1960">
          <cell r="A1960" t="str">
            <v>SHMAK</v>
          </cell>
          <cell r="B1960" t="str">
            <v>STREAM HEALTH MONITORING KIT (SHMAK) COM</v>
          </cell>
          <cell r="C1960">
            <v>394</v>
          </cell>
          <cell r="D1960">
            <v>395</v>
          </cell>
          <cell r="E1960">
            <v>395</v>
          </cell>
          <cell r="F1960">
            <v>395</v>
          </cell>
          <cell r="G1960">
            <v>395</v>
          </cell>
          <cell r="H1960">
            <v>381.26799999999997</v>
          </cell>
          <cell r="I1960">
            <v>40102</v>
          </cell>
        </row>
        <row r="1961">
          <cell r="A1961" t="str">
            <v>SHMAN</v>
          </cell>
          <cell r="B1961" t="str">
            <v>SHMAK MANUAL</v>
          </cell>
          <cell r="C1961">
            <v>62.5</v>
          </cell>
          <cell r="D1961">
            <v>77</v>
          </cell>
          <cell r="E1961">
            <v>77</v>
          </cell>
          <cell r="F1961">
            <v>77</v>
          </cell>
          <cell r="G1961">
            <v>77</v>
          </cell>
          <cell r="H1961">
            <v>70</v>
          </cell>
          <cell r="I1961">
            <v>39883</v>
          </cell>
        </row>
        <row r="1962">
          <cell r="A1962" t="str">
            <v>SHMIWI</v>
          </cell>
          <cell r="B1962" t="str">
            <v>SHMAK MANUAL (IWI VERSION)</v>
          </cell>
          <cell r="C1962">
            <v>101.85</v>
          </cell>
          <cell r="D1962">
            <v>126.1</v>
          </cell>
          <cell r="E1962">
            <v>126.1</v>
          </cell>
          <cell r="F1962">
            <v>126.1</v>
          </cell>
          <cell r="G1962">
            <v>126.1</v>
          </cell>
          <cell r="H1962">
            <v>80</v>
          </cell>
          <cell r="I1962">
            <v>40081</v>
          </cell>
        </row>
        <row r="1963">
          <cell r="A1963" t="str">
            <v>SHPHPAP</v>
          </cell>
          <cell r="B1963" t="str">
            <v>SHMAK  pH INDICATOR STRIPS. 5.0 - 10.0 (</v>
          </cell>
          <cell r="C1963">
            <v>32</v>
          </cell>
          <cell r="D1963">
            <v>32</v>
          </cell>
          <cell r="E1963">
            <v>32</v>
          </cell>
          <cell r="F1963">
            <v>32</v>
          </cell>
          <cell r="G1963">
            <v>32</v>
          </cell>
          <cell r="H1963">
            <v>24.55</v>
          </cell>
          <cell r="I1963">
            <v>40299</v>
          </cell>
        </row>
        <row r="1964">
          <cell r="A1964" t="str">
            <v>SHTHE</v>
          </cell>
          <cell r="B1964" t="str">
            <v>THERMOMETER WHITE SPIRIT -20 TO +50</v>
          </cell>
          <cell r="C1964">
            <v>15.17</v>
          </cell>
          <cell r="D1964">
            <v>19</v>
          </cell>
          <cell r="E1964">
            <v>19</v>
          </cell>
          <cell r="F1964">
            <v>19</v>
          </cell>
          <cell r="G1964">
            <v>19</v>
          </cell>
          <cell r="H1964">
            <v>14.19</v>
          </cell>
        </row>
        <row r="1965">
          <cell r="A1965" t="str">
            <v>SHTUBCO</v>
          </cell>
          <cell r="B1965" t="str">
            <v>SHMAK KIT CLARITY TUBE CONTAINER</v>
          </cell>
          <cell r="C1965">
            <v>40</v>
          </cell>
          <cell r="D1965">
            <v>40</v>
          </cell>
          <cell r="E1965">
            <v>40</v>
          </cell>
          <cell r="F1965">
            <v>40</v>
          </cell>
          <cell r="G1965">
            <v>40</v>
          </cell>
          <cell r="H1965">
            <v>42.07</v>
          </cell>
        </row>
        <row r="1966">
          <cell r="A1966" t="str">
            <v>SHTUBE</v>
          </cell>
          <cell r="B1966" t="str">
            <v>SHMAK KIT CLARITY TUBE</v>
          </cell>
          <cell r="C1966">
            <v>150</v>
          </cell>
          <cell r="D1966">
            <v>180</v>
          </cell>
          <cell r="E1966">
            <v>180</v>
          </cell>
          <cell r="F1966">
            <v>180</v>
          </cell>
          <cell r="G1966">
            <v>180</v>
          </cell>
          <cell r="H1966">
            <v>88.18</v>
          </cell>
          <cell r="I1966">
            <v>40235</v>
          </cell>
        </row>
        <row r="1967">
          <cell r="A1967" t="str">
            <v>SHTUBLA</v>
          </cell>
          <cell r="B1967" t="str">
            <v>CLARITY TUBE ADHESIVE LABEL</v>
          </cell>
          <cell r="C1967">
            <v>8</v>
          </cell>
          <cell r="D1967">
            <v>8</v>
          </cell>
          <cell r="E1967">
            <v>8</v>
          </cell>
          <cell r="F1967">
            <v>8</v>
          </cell>
          <cell r="G1967">
            <v>8</v>
          </cell>
          <cell r="H1967">
            <v>6</v>
          </cell>
        </row>
        <row r="1968">
          <cell r="A1968" t="str">
            <v>SILGCOA</v>
          </cell>
          <cell r="B1968" t="str">
            <v>SILICA GEL "ENVIRO-GEL" 500gm</v>
          </cell>
          <cell r="C1968">
            <v>60</v>
          </cell>
          <cell r="D1968">
            <v>65</v>
          </cell>
          <cell r="E1968">
            <v>65</v>
          </cell>
          <cell r="F1968">
            <v>65</v>
          </cell>
          <cell r="G1968">
            <v>65</v>
          </cell>
          <cell r="H1968">
            <v>57.545999999999999</v>
          </cell>
          <cell r="I1968">
            <v>39976</v>
          </cell>
        </row>
        <row r="1969">
          <cell r="A1969" t="str">
            <v>SLCCRSP</v>
          </cell>
          <cell r="B1969" t="str">
            <v>SLACKLINE CRADLE &amp; SUPPORT PULLEY</v>
          </cell>
          <cell r="C1969">
            <v>1092.21</v>
          </cell>
          <cell r="D1969">
            <v>1352.26</v>
          </cell>
          <cell r="E1969">
            <v>1352.26</v>
          </cell>
          <cell r="F1969">
            <v>1352.26</v>
          </cell>
          <cell r="G1969">
            <v>1352.26</v>
          </cell>
          <cell r="H1969">
            <v>0</v>
          </cell>
          <cell r="I1969">
            <v>40059</v>
          </cell>
        </row>
        <row r="1970">
          <cell r="A1970" t="str">
            <v>SNOOP</v>
          </cell>
          <cell r="B1970" t="str">
            <v>SNOOP LIQUID LEAK DETECTOR  8 OZ</v>
          </cell>
          <cell r="C1970">
            <v>15</v>
          </cell>
          <cell r="D1970">
            <v>15</v>
          </cell>
          <cell r="E1970">
            <v>15</v>
          </cell>
          <cell r="F1970">
            <v>15</v>
          </cell>
          <cell r="G1970">
            <v>15</v>
          </cell>
          <cell r="H1970">
            <v>10.3</v>
          </cell>
        </row>
        <row r="1971">
          <cell r="A1971" t="str">
            <v>SODARFK</v>
          </cell>
          <cell r="B1971" t="str">
            <v>ACOUSTIC FOAM KIT PA2 SMALL ENCLOSURE</v>
          </cell>
          <cell r="C1971">
            <v>390</v>
          </cell>
          <cell r="D1971">
            <v>390</v>
          </cell>
          <cell r="E1971">
            <v>390</v>
          </cell>
          <cell r="F1971">
            <v>390</v>
          </cell>
          <cell r="G1971">
            <v>390</v>
          </cell>
          <cell r="H1971">
            <v>330</v>
          </cell>
        </row>
        <row r="1972">
          <cell r="A1972" t="str">
            <v>SODARPM</v>
          </cell>
          <cell r="B1972" t="str">
            <v>PLASTIC MESHE PA1 AND PA2 HORNS</v>
          </cell>
          <cell r="C1972">
            <v>20</v>
          </cell>
          <cell r="D1972">
            <v>20</v>
          </cell>
          <cell r="E1972">
            <v>20</v>
          </cell>
          <cell r="F1972">
            <v>20</v>
          </cell>
          <cell r="G1972">
            <v>20</v>
          </cell>
          <cell r="H1972">
            <v>11.999000000000001</v>
          </cell>
        </row>
        <row r="1973">
          <cell r="A1973" t="str">
            <v>SOFTERM</v>
          </cell>
          <cell r="B1973" t="str">
            <v>EXTENDED RANGE MODE (EXTENDS</v>
          </cell>
          <cell r="C1973">
            <v>3245</v>
          </cell>
          <cell r="D1973">
            <v>4019</v>
          </cell>
          <cell r="E1973">
            <v>4019</v>
          </cell>
          <cell r="F1973">
            <v>4019</v>
          </cell>
          <cell r="G1973">
            <v>4019</v>
          </cell>
          <cell r="H1973">
            <v>3091.1</v>
          </cell>
          <cell r="I1973">
            <v>39884</v>
          </cell>
        </row>
        <row r="1974">
          <cell r="A1974" t="str">
            <v>SOFTSEC</v>
          </cell>
          <cell r="B1974" t="str">
            <v>SECTION BY SECTION SOFTWARE FOR</v>
          </cell>
          <cell r="C1974">
            <v>4990</v>
          </cell>
          <cell r="D1974">
            <v>6178.08</v>
          </cell>
          <cell r="E1974">
            <v>6178.08</v>
          </cell>
          <cell r="F1974">
            <v>6178.08</v>
          </cell>
          <cell r="G1974">
            <v>6178.08</v>
          </cell>
          <cell r="H1974">
            <v>3061.1489999999999</v>
          </cell>
          <cell r="I1974">
            <v>39882</v>
          </cell>
        </row>
        <row r="1975">
          <cell r="A1975" t="str">
            <v>SOFTSEC1</v>
          </cell>
          <cell r="B1975" t="str">
            <v>SECTION BY SECTION SOFTWARE FOR</v>
          </cell>
          <cell r="C1975">
            <v>3863</v>
          </cell>
          <cell r="D1975">
            <v>4784</v>
          </cell>
          <cell r="E1975">
            <v>4784</v>
          </cell>
          <cell r="F1975">
            <v>4784</v>
          </cell>
          <cell r="G1975">
            <v>4784</v>
          </cell>
          <cell r="H1975">
            <v>2797.1109999999999</v>
          </cell>
          <cell r="I1975">
            <v>39882</v>
          </cell>
        </row>
        <row r="1976">
          <cell r="A1976" t="str">
            <v>SOFTSEC2</v>
          </cell>
          <cell r="B1976" t="str">
            <v>SECTION BY SECTION SOFTWARE FOR</v>
          </cell>
          <cell r="C1976">
            <v>3200</v>
          </cell>
          <cell r="D1976">
            <v>3200</v>
          </cell>
          <cell r="E1976">
            <v>3200</v>
          </cell>
          <cell r="F1976">
            <v>3200</v>
          </cell>
          <cell r="G1976">
            <v>3200</v>
          </cell>
          <cell r="H1976">
            <v>1407.9770000000001</v>
          </cell>
        </row>
        <row r="1977">
          <cell r="A1977" t="str">
            <v>SOILMOI</v>
          </cell>
          <cell r="B1977" t="str">
            <v>AQUALFLEX SOIL MOISTURE SENSOR</v>
          </cell>
          <cell r="C1977">
            <v>1246</v>
          </cell>
          <cell r="D1977">
            <v>1542</v>
          </cell>
          <cell r="E1977">
            <v>1542</v>
          </cell>
          <cell r="F1977">
            <v>1542</v>
          </cell>
          <cell r="G1977">
            <v>1542</v>
          </cell>
          <cell r="H1977">
            <v>1022.6</v>
          </cell>
          <cell r="I1977">
            <v>39988</v>
          </cell>
        </row>
        <row r="1978">
          <cell r="A1978" t="str">
            <v>SOLCTBR</v>
          </cell>
          <cell r="B1978" t="str">
            <v>SOLAR PANEL CABINET BRACKET</v>
          </cell>
          <cell r="C1978">
            <v>150</v>
          </cell>
          <cell r="D1978">
            <v>150</v>
          </cell>
          <cell r="E1978">
            <v>150</v>
          </cell>
          <cell r="F1978">
            <v>150</v>
          </cell>
          <cell r="G1978">
            <v>150</v>
          </cell>
          <cell r="H1978">
            <v>116</v>
          </cell>
        </row>
        <row r="1979">
          <cell r="A1979" t="str">
            <v>SOLPA01</v>
          </cell>
          <cell r="B1979" t="str">
            <v>SOLAR PANEL FLEXIBLE 1W 15V 50mA</v>
          </cell>
          <cell r="C1979">
            <v>68</v>
          </cell>
          <cell r="D1979">
            <v>68</v>
          </cell>
          <cell r="E1979">
            <v>68</v>
          </cell>
          <cell r="F1979">
            <v>68</v>
          </cell>
          <cell r="G1979">
            <v>68</v>
          </cell>
          <cell r="H1979">
            <v>41.137999999999998</v>
          </cell>
        </row>
        <row r="1980">
          <cell r="A1980" t="str">
            <v>SOLPA02</v>
          </cell>
          <cell r="B1980" t="str">
            <v>SOLAR PANEL FLEXIBLE 2W 15V 100mA</v>
          </cell>
          <cell r="C1980">
            <v>98</v>
          </cell>
          <cell r="D1980">
            <v>98</v>
          </cell>
          <cell r="E1980">
            <v>98</v>
          </cell>
          <cell r="F1980">
            <v>98</v>
          </cell>
          <cell r="G1980">
            <v>98</v>
          </cell>
          <cell r="H1980">
            <v>75.108999999999995</v>
          </cell>
        </row>
        <row r="1981">
          <cell r="A1981" t="str">
            <v>SOLPA04</v>
          </cell>
          <cell r="B1981" t="str">
            <v>SOLAR PANEL 5 WATT 12V 315x315mm</v>
          </cell>
          <cell r="C1981">
            <v>121</v>
          </cell>
          <cell r="D1981">
            <v>149</v>
          </cell>
          <cell r="E1981">
            <v>149</v>
          </cell>
          <cell r="F1981">
            <v>149</v>
          </cell>
          <cell r="G1981">
            <v>149</v>
          </cell>
          <cell r="H1981">
            <v>117.05</v>
          </cell>
          <cell r="I1981">
            <v>39988</v>
          </cell>
        </row>
        <row r="1982">
          <cell r="A1982" t="str">
            <v>SOLPA10</v>
          </cell>
          <cell r="B1982" t="str">
            <v>SOLAR PANEL 10 WATT</v>
          </cell>
          <cell r="C1982">
            <v>185</v>
          </cell>
          <cell r="D1982">
            <v>230</v>
          </cell>
          <cell r="E1982">
            <v>230</v>
          </cell>
          <cell r="F1982">
            <v>230</v>
          </cell>
          <cell r="G1982">
            <v>230</v>
          </cell>
          <cell r="H1982">
            <v>154.66999999999999</v>
          </cell>
          <cell r="I1982">
            <v>39988</v>
          </cell>
        </row>
        <row r="1983">
          <cell r="A1983" t="str">
            <v>SOLPA100</v>
          </cell>
          <cell r="B1983" t="str">
            <v>SOLAR PANEL 90 WATT HELIOS 1440x524mm</v>
          </cell>
          <cell r="C1983">
            <v>1400</v>
          </cell>
          <cell r="D1983">
            <v>1400</v>
          </cell>
          <cell r="E1983">
            <v>1400</v>
          </cell>
          <cell r="F1983">
            <v>1400</v>
          </cell>
          <cell r="G1983">
            <v>1400</v>
          </cell>
          <cell r="H1983">
            <v>980</v>
          </cell>
        </row>
        <row r="1984">
          <cell r="A1984" t="str">
            <v>SOLPA20</v>
          </cell>
          <cell r="B1984" t="str">
            <v>SOLAR PANEL 22 WATT  HELIOS 12V 1.23 A</v>
          </cell>
          <cell r="C1984">
            <v>322.5</v>
          </cell>
          <cell r="D1984">
            <v>322.5</v>
          </cell>
          <cell r="E1984">
            <v>322.5</v>
          </cell>
          <cell r="F1984">
            <v>322.5</v>
          </cell>
          <cell r="G1984">
            <v>322.5</v>
          </cell>
          <cell r="H1984">
            <v>240</v>
          </cell>
          <cell r="I1984">
            <v>40219</v>
          </cell>
        </row>
        <row r="1985">
          <cell r="A1985" t="str">
            <v>SOLPA22</v>
          </cell>
          <cell r="B1985" t="str">
            <v>SOLAR PANEL 22 WATT HELIOS</v>
          </cell>
          <cell r="C1985">
            <v>275</v>
          </cell>
          <cell r="D1985">
            <v>330</v>
          </cell>
          <cell r="E1985">
            <v>330</v>
          </cell>
          <cell r="F1985">
            <v>330</v>
          </cell>
          <cell r="G1985">
            <v>330</v>
          </cell>
          <cell r="H1985">
            <v>250</v>
          </cell>
        </row>
        <row r="1986">
          <cell r="A1986" t="str">
            <v>SOLPA50</v>
          </cell>
          <cell r="B1986" t="str">
            <v>SOLAR PANEL 50W HELIOS 17.2V</v>
          </cell>
          <cell r="C1986">
            <v>355</v>
          </cell>
          <cell r="D1986">
            <v>355</v>
          </cell>
          <cell r="E1986">
            <v>355</v>
          </cell>
          <cell r="F1986">
            <v>355</v>
          </cell>
          <cell r="G1986">
            <v>355</v>
          </cell>
          <cell r="H1986">
            <v>272</v>
          </cell>
        </row>
        <row r="1987">
          <cell r="A1987" t="str">
            <v>SOLPA75</v>
          </cell>
          <cell r="B1987" t="str">
            <v>SOLAR PANEL HELIOS 85W #HT-85</v>
          </cell>
          <cell r="C1987">
            <v>905</v>
          </cell>
          <cell r="D1987">
            <v>1120.44</v>
          </cell>
          <cell r="E1987">
            <v>1120.44</v>
          </cell>
          <cell r="F1987">
            <v>1120.44</v>
          </cell>
          <cell r="G1987">
            <v>1120.44</v>
          </cell>
          <cell r="H1987">
            <v>723.33299999999997</v>
          </cell>
          <cell r="I1987">
            <v>39883</v>
          </cell>
        </row>
        <row r="1988">
          <cell r="A1988" t="str">
            <v>SOLPBRA</v>
          </cell>
          <cell r="B1988" t="str">
            <v>SOLAR PANEL ADAPTER BRACKETS</v>
          </cell>
          <cell r="C1988">
            <v>45</v>
          </cell>
          <cell r="D1988">
            <v>45</v>
          </cell>
          <cell r="E1988">
            <v>45</v>
          </cell>
          <cell r="F1988">
            <v>45</v>
          </cell>
          <cell r="G1988">
            <v>45</v>
          </cell>
          <cell r="H1988">
            <v>0</v>
          </cell>
        </row>
        <row r="1989">
          <cell r="A1989" t="str">
            <v>SOLPBWK</v>
          </cell>
          <cell r="B1989" t="str">
            <v>SOLAR PANEL BIRD WIRE KIT</v>
          </cell>
          <cell r="C1989">
            <v>30</v>
          </cell>
          <cell r="D1989">
            <v>30</v>
          </cell>
          <cell r="E1989">
            <v>30</v>
          </cell>
          <cell r="F1989">
            <v>30</v>
          </cell>
          <cell r="G1989">
            <v>30</v>
          </cell>
          <cell r="H1989">
            <v>0</v>
          </cell>
        </row>
        <row r="1990">
          <cell r="A1990" t="str">
            <v>SOLPDIO</v>
          </cell>
          <cell r="B1990" t="str">
            <v>SOLAR PANEL CASED DIODE</v>
          </cell>
          <cell r="C1990">
            <v>30</v>
          </cell>
          <cell r="D1990">
            <v>30</v>
          </cell>
          <cell r="E1990">
            <v>30</v>
          </cell>
          <cell r="F1990">
            <v>30</v>
          </cell>
          <cell r="G1990">
            <v>30</v>
          </cell>
          <cell r="H1990">
            <v>0</v>
          </cell>
        </row>
        <row r="1991">
          <cell r="A1991" t="str">
            <v>SOLPFASK</v>
          </cell>
          <cell r="B1991" t="str">
            <v>SOLAR PANEL FASTENERS (SINGLE &amp; DUAL KIT</v>
          </cell>
          <cell r="C1991">
            <v>12.5</v>
          </cell>
          <cell r="D1991">
            <v>12.5</v>
          </cell>
          <cell r="E1991">
            <v>12.5</v>
          </cell>
          <cell r="F1991">
            <v>12.5</v>
          </cell>
          <cell r="G1991">
            <v>12.5</v>
          </cell>
          <cell r="H1991">
            <v>0</v>
          </cell>
        </row>
        <row r="1992">
          <cell r="A1992" t="str">
            <v>SOLPKIT</v>
          </cell>
          <cell r="B1992" t="str">
            <v>SOLAR PANEL KIT (SINGLE &amp; DUAL)</v>
          </cell>
          <cell r="C1992">
            <v>240</v>
          </cell>
          <cell r="D1992">
            <v>240</v>
          </cell>
          <cell r="E1992">
            <v>240</v>
          </cell>
          <cell r="F1992">
            <v>240</v>
          </cell>
          <cell r="G1992">
            <v>240</v>
          </cell>
          <cell r="H1992">
            <v>0</v>
          </cell>
        </row>
        <row r="1993">
          <cell r="A1993" t="str">
            <v>SOLPMBD</v>
          </cell>
          <cell r="B1993" t="str">
            <v>SOLAR PANEL ADAPTER BRACKETS (DUAL PANEL</v>
          </cell>
          <cell r="C1993">
            <v>180</v>
          </cell>
          <cell r="D1993">
            <v>180</v>
          </cell>
          <cell r="E1993">
            <v>180</v>
          </cell>
          <cell r="F1993">
            <v>180</v>
          </cell>
          <cell r="G1993">
            <v>180</v>
          </cell>
          <cell r="H1993">
            <v>0</v>
          </cell>
        </row>
        <row r="1994">
          <cell r="A1994" t="str">
            <v>SOLPMBM</v>
          </cell>
          <cell r="B1994" t="str">
            <v>SOLAR PANEL ADAPTER BRACKETS (MET)</v>
          </cell>
          <cell r="C1994">
            <v>457.78</v>
          </cell>
          <cell r="D1994">
            <v>457.78</v>
          </cell>
          <cell r="E1994">
            <v>457.78</v>
          </cell>
          <cell r="F1994">
            <v>457.78</v>
          </cell>
          <cell r="G1994">
            <v>457.78</v>
          </cell>
          <cell r="H1994">
            <v>0</v>
          </cell>
        </row>
        <row r="1995">
          <cell r="A1995" t="str">
            <v>SOLPMBS</v>
          </cell>
          <cell r="B1995" t="str">
            <v>SOLAR PANEL ADAPTER BRACKETS (SINGLE)</v>
          </cell>
          <cell r="C1995">
            <v>180</v>
          </cell>
          <cell r="D1995">
            <v>180</v>
          </cell>
          <cell r="E1995">
            <v>180</v>
          </cell>
          <cell r="F1995">
            <v>180</v>
          </cell>
          <cell r="G1995">
            <v>180</v>
          </cell>
          <cell r="H1995">
            <v>0</v>
          </cell>
        </row>
        <row r="1996">
          <cell r="A1996" t="str">
            <v>SOLPRDU</v>
          </cell>
          <cell r="B1996" t="str">
            <v>SOLAR PANEL REGULATOR</v>
          </cell>
          <cell r="C1996">
            <v>230</v>
          </cell>
          <cell r="D1996">
            <v>230</v>
          </cell>
          <cell r="E1996">
            <v>230</v>
          </cell>
          <cell r="F1996">
            <v>230</v>
          </cell>
          <cell r="G1996">
            <v>230</v>
          </cell>
          <cell r="H1996">
            <v>168.54400000000001</v>
          </cell>
        </row>
        <row r="1997">
          <cell r="A1997" t="str">
            <v>SOLRG06</v>
          </cell>
          <cell r="B1997" t="str">
            <v>SOLAR PANEL REGULATOR SUN-SAVER 6A</v>
          </cell>
          <cell r="C1997">
            <v>96</v>
          </cell>
          <cell r="D1997">
            <v>110</v>
          </cell>
          <cell r="E1997">
            <v>110</v>
          </cell>
          <cell r="F1997">
            <v>110</v>
          </cell>
          <cell r="G1997">
            <v>110</v>
          </cell>
          <cell r="H1997">
            <v>75.2</v>
          </cell>
          <cell r="I1997">
            <v>39988</v>
          </cell>
        </row>
        <row r="1998">
          <cell r="A1998" t="str">
            <v>SOLRG10</v>
          </cell>
          <cell r="B1998" t="str">
            <v>SOLAR PANEL REGULATOR SUN-SAVER 10A</v>
          </cell>
          <cell r="C1998">
            <v>140</v>
          </cell>
          <cell r="D1998">
            <v>140</v>
          </cell>
          <cell r="E1998">
            <v>140</v>
          </cell>
          <cell r="F1998">
            <v>140</v>
          </cell>
          <cell r="G1998">
            <v>140</v>
          </cell>
          <cell r="H1998">
            <v>91.7</v>
          </cell>
        </row>
        <row r="1999">
          <cell r="A1999" t="str">
            <v>SONTEKF</v>
          </cell>
          <cell r="B1999" t="str">
            <v>SONTEK FLOWTRACKER ADV</v>
          </cell>
          <cell r="C1999">
            <v>0</v>
          </cell>
          <cell r="D1999">
            <v>0</v>
          </cell>
          <cell r="E1999">
            <v>0</v>
          </cell>
          <cell r="F1999">
            <v>0</v>
          </cell>
          <cell r="G1999">
            <v>0</v>
          </cell>
          <cell r="H1999">
            <v>8804.9419999999991</v>
          </cell>
        </row>
        <row r="2000">
          <cell r="A2000" t="str">
            <v>SONTEKW</v>
          </cell>
          <cell r="B2000" t="str">
            <v>SONTEK 2-PIECE TOP SETTING WADING RODS</v>
          </cell>
          <cell r="C2000">
            <v>0</v>
          </cell>
          <cell r="D2000">
            <v>0</v>
          </cell>
          <cell r="E2000">
            <v>0</v>
          </cell>
          <cell r="F2000">
            <v>0</v>
          </cell>
          <cell r="G2000">
            <v>0</v>
          </cell>
          <cell r="H2000">
            <v>19230</v>
          </cell>
        </row>
        <row r="2001">
          <cell r="A2001" t="str">
            <v>SPA-POL425</v>
          </cell>
          <cell r="B2001" t="str">
            <v>SPACER POLYESTER M4 x 25</v>
          </cell>
          <cell r="C2001">
            <v>0.6</v>
          </cell>
          <cell r="D2001">
            <v>0.6</v>
          </cell>
          <cell r="E2001">
            <v>0.6</v>
          </cell>
          <cell r="F2001">
            <v>0.6</v>
          </cell>
          <cell r="G2001">
            <v>0.6</v>
          </cell>
          <cell r="H2001">
            <v>0.48</v>
          </cell>
        </row>
        <row r="2002">
          <cell r="A2002" t="str">
            <v>SQUICON</v>
          </cell>
          <cell r="B2002" t="str">
            <v>S/STEEL FITTING 8mm TUBE TO 1/4" BSP</v>
          </cell>
          <cell r="C2002">
            <v>17</v>
          </cell>
          <cell r="D2002">
            <v>21.19</v>
          </cell>
          <cell r="E2002">
            <v>21.19</v>
          </cell>
          <cell r="F2002">
            <v>21.19</v>
          </cell>
          <cell r="G2002">
            <v>21.19</v>
          </cell>
          <cell r="H2002">
            <v>12.1</v>
          </cell>
          <cell r="I2002">
            <v>39883</v>
          </cell>
        </row>
        <row r="2003">
          <cell r="A2003" t="str">
            <v>SQUICON1</v>
          </cell>
          <cell r="B2003" t="str">
            <v>S/STEEL FITTING 8mm TUBE TO 1/8" BSP</v>
          </cell>
          <cell r="C2003">
            <v>17</v>
          </cell>
          <cell r="D2003">
            <v>22</v>
          </cell>
          <cell r="E2003">
            <v>22</v>
          </cell>
          <cell r="F2003">
            <v>22</v>
          </cell>
          <cell r="G2003">
            <v>22</v>
          </cell>
          <cell r="H2003">
            <v>13</v>
          </cell>
        </row>
        <row r="2004">
          <cell r="A2004" t="str">
            <v>SQUIRTEK</v>
          </cell>
          <cell r="B2004" t="str">
            <v>SQUIRTEK UNIT</v>
          </cell>
          <cell r="C2004">
            <v>3335</v>
          </cell>
          <cell r="D2004">
            <v>3335</v>
          </cell>
          <cell r="E2004">
            <v>3335</v>
          </cell>
          <cell r="F2004">
            <v>3335</v>
          </cell>
          <cell r="G2004">
            <v>3335</v>
          </cell>
          <cell r="H2004">
            <v>3174.748</v>
          </cell>
        </row>
        <row r="2005">
          <cell r="A2005" t="str">
            <v>SRAADAS</v>
          </cell>
          <cell r="B2005" t="str">
            <v>STREAM PRO RIVER BOAT ADAPTER</v>
          </cell>
          <cell r="C2005">
            <v>332</v>
          </cell>
          <cell r="D2005">
            <v>411</v>
          </cell>
          <cell r="E2005">
            <v>411</v>
          </cell>
          <cell r="F2005">
            <v>411</v>
          </cell>
          <cell r="G2005">
            <v>411</v>
          </cell>
          <cell r="H2005">
            <v>316.23</v>
          </cell>
          <cell r="I2005">
            <v>39884</v>
          </cell>
        </row>
        <row r="2006">
          <cell r="A2006" t="str">
            <v>SRAPLCA</v>
          </cell>
          <cell r="B2006" t="str">
            <v>IMPULSE PLUG CAP</v>
          </cell>
          <cell r="C2006">
            <v>51.5</v>
          </cell>
          <cell r="D2006">
            <v>64</v>
          </cell>
          <cell r="E2006">
            <v>64</v>
          </cell>
          <cell r="F2006">
            <v>64</v>
          </cell>
          <cell r="G2006">
            <v>64</v>
          </cell>
          <cell r="H2006">
            <v>47.6</v>
          </cell>
          <cell r="I2006">
            <v>40141</v>
          </cell>
        </row>
        <row r="2007">
          <cell r="A2007" t="str">
            <v>SRGBRAC</v>
          </cell>
          <cell r="B2007" t="str">
            <v>SMART R/GAUGE BRACKET SET</v>
          </cell>
          <cell r="C2007">
            <v>115</v>
          </cell>
          <cell r="D2007">
            <v>115</v>
          </cell>
          <cell r="E2007">
            <v>115</v>
          </cell>
          <cell r="F2007">
            <v>115</v>
          </cell>
          <cell r="G2007">
            <v>115</v>
          </cell>
          <cell r="H2007">
            <v>70</v>
          </cell>
          <cell r="I2007">
            <v>40218</v>
          </cell>
        </row>
        <row r="2008">
          <cell r="A2008" t="str">
            <v>SRGCCBA</v>
          </cell>
          <cell r="B2008" t="str">
            <v>SMART R/GAUGE CONTACT CHAMBER BASE</v>
          </cell>
          <cell r="C2008">
            <v>0</v>
          </cell>
          <cell r="D2008">
            <v>0</v>
          </cell>
          <cell r="E2008">
            <v>0</v>
          </cell>
          <cell r="F2008">
            <v>0</v>
          </cell>
          <cell r="G2008">
            <v>0</v>
          </cell>
          <cell r="H2008">
            <v>137.9</v>
          </cell>
        </row>
        <row r="2009">
          <cell r="A2009" t="str">
            <v>SRGCOAS</v>
          </cell>
          <cell r="B2009" t="str">
            <v>SMART R/GAUGE CONTACT PIN ASSY</v>
          </cell>
          <cell r="C2009">
            <v>0</v>
          </cell>
          <cell r="D2009">
            <v>0</v>
          </cell>
          <cell r="E2009">
            <v>0</v>
          </cell>
          <cell r="F2009">
            <v>0</v>
          </cell>
          <cell r="G2009">
            <v>0</v>
          </cell>
          <cell r="H2009">
            <v>30</v>
          </cell>
        </row>
        <row r="2010">
          <cell r="A2010" t="str">
            <v>SRGCOCH</v>
          </cell>
          <cell r="B2010" t="str">
            <v>SMART R/GAUGE CONTACT CHAMBER</v>
          </cell>
          <cell r="C2010">
            <v>0</v>
          </cell>
          <cell r="D2010">
            <v>0</v>
          </cell>
          <cell r="E2010">
            <v>0</v>
          </cell>
          <cell r="F2010">
            <v>0</v>
          </cell>
          <cell r="G2010">
            <v>0</v>
          </cell>
          <cell r="H2010">
            <v>256.75</v>
          </cell>
        </row>
        <row r="2011">
          <cell r="A2011" t="str">
            <v>SRGCOMP</v>
          </cell>
          <cell r="B2011" t="str">
            <v>SMART R/GAUGE COMPLETE</v>
          </cell>
          <cell r="C2011">
            <v>2500</v>
          </cell>
          <cell r="D2011">
            <v>3150</v>
          </cell>
          <cell r="E2011">
            <v>3150</v>
          </cell>
          <cell r="F2011">
            <v>3150</v>
          </cell>
          <cell r="G2011">
            <v>3150</v>
          </cell>
          <cell r="H2011">
            <v>2407.2399999999998</v>
          </cell>
          <cell r="I2011">
            <v>39903</v>
          </cell>
        </row>
        <row r="2012">
          <cell r="A2012" t="str">
            <v>SRGCORI</v>
          </cell>
          <cell r="B2012" t="str">
            <v>SMART R/GAUGE COVER RISER</v>
          </cell>
          <cell r="C2012">
            <v>100</v>
          </cell>
          <cell r="D2012">
            <v>100</v>
          </cell>
          <cell r="E2012">
            <v>100</v>
          </cell>
          <cell r="F2012">
            <v>100</v>
          </cell>
          <cell r="G2012">
            <v>100</v>
          </cell>
          <cell r="H2012">
            <v>65</v>
          </cell>
        </row>
        <row r="2013">
          <cell r="A2013" t="str">
            <v>SRGNEED</v>
          </cell>
          <cell r="B2013" t="str">
            <v>SMART R/GAUGE DROP FORMER NEEDLE</v>
          </cell>
          <cell r="C2013">
            <v>0</v>
          </cell>
          <cell r="D2013">
            <v>0</v>
          </cell>
          <cell r="E2013">
            <v>0</v>
          </cell>
          <cell r="F2013">
            <v>0</v>
          </cell>
          <cell r="G2013">
            <v>0</v>
          </cell>
          <cell r="H2013">
            <v>15</v>
          </cell>
        </row>
        <row r="2014">
          <cell r="A2014" t="str">
            <v>SRGNRTB</v>
          </cell>
          <cell r="B2014" t="str">
            <v>NRT BOX DRILLED</v>
          </cell>
          <cell r="C2014">
            <v>98</v>
          </cell>
          <cell r="D2014">
            <v>121</v>
          </cell>
          <cell r="E2014">
            <v>121</v>
          </cell>
          <cell r="F2014">
            <v>121</v>
          </cell>
          <cell r="G2014">
            <v>121</v>
          </cell>
          <cell r="H2014">
            <v>104.613</v>
          </cell>
          <cell r="I2014">
            <v>40141</v>
          </cell>
        </row>
        <row r="2015">
          <cell r="A2015" t="str">
            <v>SRGPCB</v>
          </cell>
          <cell r="B2015" t="str">
            <v>SMART R/GAUGE PCB</v>
          </cell>
          <cell r="C2015">
            <v>287</v>
          </cell>
          <cell r="D2015">
            <v>355</v>
          </cell>
          <cell r="E2015">
            <v>355</v>
          </cell>
          <cell r="F2015">
            <v>355</v>
          </cell>
          <cell r="G2015">
            <v>355</v>
          </cell>
          <cell r="H2015">
            <v>299.31</v>
          </cell>
        </row>
        <row r="2016">
          <cell r="A2016" t="str">
            <v>SRGSHUT</v>
          </cell>
          <cell r="B2016" t="str">
            <v>SMART R/GAUGE SHUTTLE ASSY</v>
          </cell>
          <cell r="C2016">
            <v>128.1</v>
          </cell>
          <cell r="D2016">
            <v>158.6</v>
          </cell>
          <cell r="E2016">
            <v>158.6</v>
          </cell>
          <cell r="F2016">
            <v>158.6</v>
          </cell>
          <cell r="G2016">
            <v>158.6</v>
          </cell>
          <cell r="H2016">
            <v>122</v>
          </cell>
          <cell r="I2016">
            <v>39883</v>
          </cell>
        </row>
        <row r="2017">
          <cell r="A2017" t="str">
            <v>STAGPAD</v>
          </cell>
          <cell r="B2017" t="str">
            <v>STAFF GAUGE PLATE - VINYL ADHESIVE</v>
          </cell>
          <cell r="C2017">
            <v>70</v>
          </cell>
          <cell r="D2017">
            <v>70</v>
          </cell>
          <cell r="E2017">
            <v>70</v>
          </cell>
          <cell r="F2017">
            <v>70</v>
          </cell>
          <cell r="G2017">
            <v>70</v>
          </cell>
          <cell r="H2017">
            <v>0</v>
          </cell>
        </row>
        <row r="2018">
          <cell r="A2018" t="str">
            <v>STAGPLA</v>
          </cell>
          <cell r="B2018" t="str">
            <v>STAFF GAUGE PLATE (METRIC #0 TO 9 1000 X</v>
          </cell>
          <cell r="C2018">
            <v>19</v>
          </cell>
          <cell r="D2018">
            <v>19</v>
          </cell>
          <cell r="E2018">
            <v>19</v>
          </cell>
          <cell r="F2018">
            <v>19</v>
          </cell>
          <cell r="G2018">
            <v>19</v>
          </cell>
          <cell r="H2018">
            <v>14.11</v>
          </cell>
        </row>
        <row r="2019">
          <cell r="A2019" t="str">
            <v>STAGPLB</v>
          </cell>
          <cell r="B2019" t="str">
            <v>STAFF GAUGE PLATE-METRIC DOUBLE DIVISION</v>
          </cell>
          <cell r="C2019">
            <v>19</v>
          </cell>
          <cell r="D2019">
            <v>19</v>
          </cell>
          <cell r="E2019">
            <v>19</v>
          </cell>
          <cell r="F2019">
            <v>19</v>
          </cell>
          <cell r="G2019">
            <v>19</v>
          </cell>
          <cell r="H2019">
            <v>0</v>
          </cell>
        </row>
        <row r="2020">
          <cell r="A2020" t="str">
            <v>STAGPN0</v>
          </cell>
          <cell r="B2020" t="str">
            <v>STAFF GAUGE PLATE NUMBER 0</v>
          </cell>
          <cell r="C2020">
            <v>2.5</v>
          </cell>
          <cell r="D2020">
            <v>2.5</v>
          </cell>
          <cell r="E2020">
            <v>2.5</v>
          </cell>
          <cell r="F2020">
            <v>2.5</v>
          </cell>
          <cell r="G2020">
            <v>2.5</v>
          </cell>
          <cell r="H2020">
            <v>0</v>
          </cell>
        </row>
        <row r="2021">
          <cell r="A2021" t="str">
            <v>STAGPN1</v>
          </cell>
          <cell r="B2021" t="str">
            <v>STAFF GAUGE PLATE NUMBER 1</v>
          </cell>
          <cell r="C2021">
            <v>2.5</v>
          </cell>
          <cell r="D2021">
            <v>2.5</v>
          </cell>
          <cell r="E2021">
            <v>2.5</v>
          </cell>
          <cell r="F2021">
            <v>2.5</v>
          </cell>
          <cell r="G2021">
            <v>2.5</v>
          </cell>
          <cell r="H2021">
            <v>1.9</v>
          </cell>
        </row>
        <row r="2022">
          <cell r="A2022" t="str">
            <v>STAGPN2</v>
          </cell>
          <cell r="B2022" t="str">
            <v>STAFF GAUGE PLATE NUMBER 2</v>
          </cell>
          <cell r="C2022">
            <v>2.5</v>
          </cell>
          <cell r="D2022">
            <v>2.5</v>
          </cell>
          <cell r="E2022">
            <v>2.5</v>
          </cell>
          <cell r="F2022">
            <v>2.5</v>
          </cell>
          <cell r="G2022">
            <v>2.5</v>
          </cell>
          <cell r="H2022">
            <v>1.96</v>
          </cell>
        </row>
        <row r="2023">
          <cell r="A2023" t="str">
            <v>STAGPN3</v>
          </cell>
          <cell r="B2023" t="str">
            <v>STAFF GAUGE PLATE NUMBER 3</v>
          </cell>
          <cell r="C2023">
            <v>2.5</v>
          </cell>
          <cell r="D2023">
            <v>2.5</v>
          </cell>
          <cell r="E2023">
            <v>2.5</v>
          </cell>
          <cell r="F2023">
            <v>2.5</v>
          </cell>
          <cell r="G2023">
            <v>2.5</v>
          </cell>
          <cell r="H2023">
            <v>1.86</v>
          </cell>
        </row>
        <row r="2024">
          <cell r="A2024" t="str">
            <v>STAGPN4</v>
          </cell>
          <cell r="B2024" t="str">
            <v>STAFF GAUGE PLATE NUMBER 4</v>
          </cell>
          <cell r="C2024">
            <v>2.5</v>
          </cell>
          <cell r="D2024">
            <v>2.5</v>
          </cell>
          <cell r="E2024">
            <v>2.5</v>
          </cell>
          <cell r="F2024">
            <v>2.5</v>
          </cell>
          <cell r="G2024">
            <v>2.5</v>
          </cell>
          <cell r="H2024">
            <v>1.9</v>
          </cell>
        </row>
        <row r="2025">
          <cell r="A2025" t="str">
            <v>STAGPN5</v>
          </cell>
          <cell r="B2025" t="str">
            <v>STAFF GAUGE PLATE NUMBER 5</v>
          </cell>
          <cell r="C2025">
            <v>2.5</v>
          </cell>
          <cell r="D2025">
            <v>2.5</v>
          </cell>
          <cell r="E2025">
            <v>2.5</v>
          </cell>
          <cell r="F2025">
            <v>2.5</v>
          </cell>
          <cell r="G2025">
            <v>2.5</v>
          </cell>
          <cell r="H2025">
            <v>1.9</v>
          </cell>
        </row>
        <row r="2026">
          <cell r="A2026" t="str">
            <v>STAGPN6</v>
          </cell>
          <cell r="B2026" t="str">
            <v>STAFF GAUGE PLATE NUMBER 6</v>
          </cell>
          <cell r="C2026">
            <v>2.5</v>
          </cell>
          <cell r="D2026">
            <v>2.5</v>
          </cell>
          <cell r="E2026">
            <v>2.5</v>
          </cell>
          <cell r="F2026">
            <v>2.5</v>
          </cell>
          <cell r="G2026">
            <v>2.5</v>
          </cell>
          <cell r="H2026">
            <v>1.9</v>
          </cell>
        </row>
        <row r="2027">
          <cell r="A2027" t="str">
            <v>STAGPN7</v>
          </cell>
          <cell r="B2027" t="str">
            <v>STAFF GAUGE PLATE NUMBER 7</v>
          </cell>
          <cell r="C2027">
            <v>2.5</v>
          </cell>
          <cell r="D2027">
            <v>2.5</v>
          </cell>
          <cell r="E2027">
            <v>2.5</v>
          </cell>
          <cell r="F2027">
            <v>2.5</v>
          </cell>
          <cell r="G2027">
            <v>2.5</v>
          </cell>
          <cell r="H2027">
            <v>1.9</v>
          </cell>
        </row>
        <row r="2028">
          <cell r="A2028" t="str">
            <v>STAGPN8</v>
          </cell>
          <cell r="B2028" t="str">
            <v>STAFF GAUGE PLATE NUMBER 8</v>
          </cell>
          <cell r="C2028">
            <v>2.5</v>
          </cell>
          <cell r="D2028">
            <v>2.5</v>
          </cell>
          <cell r="E2028">
            <v>2.5</v>
          </cell>
          <cell r="F2028">
            <v>2.5</v>
          </cell>
          <cell r="G2028">
            <v>2.5</v>
          </cell>
          <cell r="H2028">
            <v>1.9</v>
          </cell>
        </row>
        <row r="2029">
          <cell r="A2029" t="str">
            <v>STARLOGC</v>
          </cell>
          <cell r="B2029" t="str">
            <v>STARLOG SOFTWARE V4.0 - CORPORATE LICENC</v>
          </cell>
          <cell r="C2029">
            <v>1500</v>
          </cell>
          <cell r="D2029">
            <v>1500</v>
          </cell>
          <cell r="E2029">
            <v>1500</v>
          </cell>
          <cell r="F2029">
            <v>1500</v>
          </cell>
          <cell r="G2029">
            <v>1500</v>
          </cell>
          <cell r="H2029">
            <v>80</v>
          </cell>
        </row>
        <row r="2030">
          <cell r="A2030" t="str">
            <v>STARLOGF</v>
          </cell>
          <cell r="B2030" t="str">
            <v>STARLOG SOFTWARE V4.0 - FULL LICENCE</v>
          </cell>
          <cell r="C2030">
            <v>440</v>
          </cell>
          <cell r="D2030">
            <v>440</v>
          </cell>
          <cell r="E2030">
            <v>440</v>
          </cell>
          <cell r="F2030">
            <v>440</v>
          </cell>
          <cell r="G2030">
            <v>440</v>
          </cell>
          <cell r="H2030">
            <v>80</v>
          </cell>
        </row>
        <row r="2031">
          <cell r="A2031" t="str">
            <v>STARLOGR</v>
          </cell>
          <cell r="B2031" t="str">
            <v>STARLOG SOFTWARE V4.0 - RECORDER LICENCE</v>
          </cell>
          <cell r="C2031">
            <v>60</v>
          </cell>
          <cell r="D2031">
            <v>60</v>
          </cell>
          <cell r="E2031">
            <v>60</v>
          </cell>
          <cell r="F2031">
            <v>60</v>
          </cell>
          <cell r="G2031">
            <v>60</v>
          </cell>
          <cell r="H2031">
            <v>0</v>
          </cell>
        </row>
        <row r="2032">
          <cell r="A2032" t="str">
            <v>STARLOGU</v>
          </cell>
          <cell r="B2032" t="str">
            <v>STARLOG SOFTWARE V4.0 - UPGRADE LICENCE</v>
          </cell>
          <cell r="C2032">
            <v>220</v>
          </cell>
          <cell r="D2032">
            <v>220</v>
          </cell>
          <cell r="E2032">
            <v>220</v>
          </cell>
          <cell r="F2032">
            <v>220</v>
          </cell>
          <cell r="G2032">
            <v>220</v>
          </cell>
          <cell r="H2032">
            <v>80</v>
          </cell>
        </row>
        <row r="2033">
          <cell r="A2033" t="str">
            <v>STECOUN</v>
          </cell>
          <cell r="B2033" t="str">
            <v>STEWART COUNTER</v>
          </cell>
          <cell r="C2033">
            <v>0</v>
          </cell>
          <cell r="D2033">
            <v>0</v>
          </cell>
          <cell r="E2033">
            <v>0</v>
          </cell>
          <cell r="F2033">
            <v>0</v>
          </cell>
          <cell r="G2033">
            <v>0</v>
          </cell>
          <cell r="H2033">
            <v>0</v>
          </cell>
        </row>
        <row r="2034">
          <cell r="A2034" t="str">
            <v>STEPAM2</v>
          </cell>
          <cell r="B2034" t="str">
            <v>STEWART COUNTER FRONT PANEL</v>
          </cell>
          <cell r="C2034">
            <v>98.25</v>
          </cell>
          <cell r="D2034">
            <v>98.25</v>
          </cell>
          <cell r="E2034">
            <v>98.25</v>
          </cell>
          <cell r="F2034">
            <v>98.25</v>
          </cell>
          <cell r="G2034">
            <v>98.25</v>
          </cell>
          <cell r="H2034">
            <v>0</v>
          </cell>
        </row>
        <row r="2035">
          <cell r="A2035" t="str">
            <v>STORAIN</v>
          </cell>
          <cell r="B2035" t="str">
            <v>STORAGE RAINGAUGE COMPLETE</v>
          </cell>
          <cell r="C2035">
            <v>585</v>
          </cell>
          <cell r="D2035">
            <v>585</v>
          </cell>
          <cell r="E2035">
            <v>585</v>
          </cell>
          <cell r="F2035">
            <v>585</v>
          </cell>
          <cell r="G2035">
            <v>585</v>
          </cell>
          <cell r="H2035">
            <v>414.5</v>
          </cell>
          <cell r="I2035">
            <v>40277</v>
          </cell>
        </row>
        <row r="2036">
          <cell r="A2036" t="str">
            <v>STORAINH</v>
          </cell>
          <cell r="B2036" t="str">
            <v>STORAGE RAINGAUGE HALF SIZE</v>
          </cell>
          <cell r="C2036">
            <v>360</v>
          </cell>
          <cell r="D2036">
            <v>435</v>
          </cell>
          <cell r="E2036">
            <v>435</v>
          </cell>
          <cell r="F2036">
            <v>435</v>
          </cell>
          <cell r="G2036">
            <v>435</v>
          </cell>
          <cell r="H2036">
            <v>335</v>
          </cell>
          <cell r="I2036">
            <v>40266</v>
          </cell>
        </row>
        <row r="2037">
          <cell r="A2037" t="str">
            <v>STORGFI</v>
          </cell>
          <cell r="B2037" t="str">
            <v>STORAGE RAINGAUGE TAPERED FILTER</v>
          </cell>
          <cell r="C2037">
            <v>22</v>
          </cell>
          <cell r="D2037">
            <v>22</v>
          </cell>
          <cell r="E2037">
            <v>22</v>
          </cell>
          <cell r="F2037">
            <v>22</v>
          </cell>
          <cell r="G2037">
            <v>22</v>
          </cell>
          <cell r="H2037">
            <v>0</v>
          </cell>
        </row>
        <row r="2038">
          <cell r="A2038" t="str">
            <v>STORGHR</v>
          </cell>
          <cell r="B2038" t="str">
            <v>STORAGE RAINGAUGE REDUCING HEAD</v>
          </cell>
          <cell r="C2038">
            <v>171</v>
          </cell>
          <cell r="D2038">
            <v>212</v>
          </cell>
          <cell r="E2038">
            <v>212</v>
          </cell>
          <cell r="F2038">
            <v>212</v>
          </cell>
          <cell r="G2038">
            <v>212</v>
          </cell>
          <cell r="H2038">
            <v>162.97499999999999</v>
          </cell>
          <cell r="I2038">
            <v>39988</v>
          </cell>
        </row>
        <row r="2039">
          <cell r="A2039" t="str">
            <v>STWACSH</v>
          </cell>
          <cell r="B2039" t="str">
            <v>STILLING WELL ACCESSORY SHELF</v>
          </cell>
          <cell r="C2039">
            <v>30</v>
          </cell>
          <cell r="D2039">
            <v>30</v>
          </cell>
          <cell r="E2039">
            <v>30</v>
          </cell>
          <cell r="F2039">
            <v>30</v>
          </cell>
          <cell r="G2039">
            <v>30</v>
          </cell>
          <cell r="H2039">
            <v>0</v>
          </cell>
        </row>
        <row r="2040">
          <cell r="A2040" t="str">
            <v>STWAESP</v>
          </cell>
          <cell r="B2040" t="str">
            <v>STILLING WELL AERIAL SUPPORT PIPE</v>
          </cell>
          <cell r="C2040">
            <v>84</v>
          </cell>
          <cell r="D2040">
            <v>84</v>
          </cell>
          <cell r="E2040">
            <v>84</v>
          </cell>
          <cell r="F2040">
            <v>84</v>
          </cell>
          <cell r="G2040">
            <v>84</v>
          </cell>
          <cell r="H2040">
            <v>0</v>
          </cell>
        </row>
        <row r="2041">
          <cell r="A2041" t="str">
            <v>STWBASE</v>
          </cell>
          <cell r="B2041" t="str">
            <v>STILLING WELL BASE</v>
          </cell>
          <cell r="C2041">
            <v>190</v>
          </cell>
          <cell r="D2041">
            <v>190</v>
          </cell>
          <cell r="E2041">
            <v>190</v>
          </cell>
          <cell r="F2041">
            <v>190</v>
          </cell>
          <cell r="G2041">
            <v>190</v>
          </cell>
          <cell r="H2041">
            <v>0</v>
          </cell>
        </row>
        <row r="2042">
          <cell r="A2042" t="str">
            <v>STWHOUS</v>
          </cell>
          <cell r="B2042" t="str">
            <v>STILLING WELL HOUSING</v>
          </cell>
          <cell r="C2042">
            <v>775</v>
          </cell>
          <cell r="D2042">
            <v>775</v>
          </cell>
          <cell r="E2042">
            <v>775</v>
          </cell>
          <cell r="F2042">
            <v>775</v>
          </cell>
          <cell r="G2042">
            <v>775</v>
          </cell>
          <cell r="H2042">
            <v>0</v>
          </cell>
        </row>
        <row r="2043">
          <cell r="A2043" t="str">
            <v>STWHYSH</v>
          </cell>
          <cell r="B2043" t="str">
            <v>STILLING WELL HYDROLOGGER SHELF</v>
          </cell>
          <cell r="C2043">
            <v>37.5</v>
          </cell>
          <cell r="D2043">
            <v>37.5</v>
          </cell>
          <cell r="E2043">
            <v>37.5</v>
          </cell>
          <cell r="F2043">
            <v>37.5</v>
          </cell>
          <cell r="G2043">
            <v>37.5</v>
          </cell>
          <cell r="H2043">
            <v>0</v>
          </cell>
        </row>
        <row r="2044">
          <cell r="A2044" t="str">
            <v>STWINST</v>
          </cell>
          <cell r="B2044" t="str">
            <v>STILLING WELL INTAKE STRAP</v>
          </cell>
          <cell r="C2044">
            <v>100</v>
          </cell>
          <cell r="D2044">
            <v>100</v>
          </cell>
          <cell r="E2044">
            <v>100</v>
          </cell>
          <cell r="F2044">
            <v>100</v>
          </cell>
          <cell r="G2044">
            <v>100</v>
          </cell>
          <cell r="H2044">
            <v>0</v>
          </cell>
        </row>
        <row r="2045">
          <cell r="A2045" t="str">
            <v>STWREHO</v>
          </cell>
          <cell r="B2045" t="str">
            <v>STILLING WELL HOUSING REST</v>
          </cell>
          <cell r="C2045">
            <v>105</v>
          </cell>
          <cell r="D2045">
            <v>105</v>
          </cell>
          <cell r="E2045">
            <v>105</v>
          </cell>
          <cell r="F2045">
            <v>105</v>
          </cell>
          <cell r="G2045">
            <v>105</v>
          </cell>
          <cell r="H2045">
            <v>0</v>
          </cell>
        </row>
        <row r="2046">
          <cell r="A2046" t="str">
            <v>STWSTSU</v>
          </cell>
          <cell r="B2046" t="str">
            <v>STILLING WELL SUPPORT STRAP</v>
          </cell>
          <cell r="C2046">
            <v>85</v>
          </cell>
          <cell r="D2046">
            <v>85</v>
          </cell>
          <cell r="E2046">
            <v>85</v>
          </cell>
          <cell r="F2046">
            <v>85</v>
          </cell>
          <cell r="G2046">
            <v>85</v>
          </cell>
          <cell r="H2046">
            <v>0</v>
          </cell>
        </row>
        <row r="2047">
          <cell r="A2047" t="str">
            <v>STWTSPI</v>
          </cell>
          <cell r="B2047" t="str">
            <v>STILLING WELL TOP PIPE SECTION</v>
          </cell>
          <cell r="C2047">
            <v>375</v>
          </cell>
          <cell r="D2047">
            <v>375</v>
          </cell>
          <cell r="E2047">
            <v>375</v>
          </cell>
          <cell r="F2047">
            <v>375</v>
          </cell>
          <cell r="G2047">
            <v>375</v>
          </cell>
          <cell r="H2047">
            <v>0</v>
          </cell>
        </row>
        <row r="2048">
          <cell r="A2048" t="str">
            <v>SUDUSEN</v>
          </cell>
          <cell r="B2048" t="str">
            <v>SUNSHINE DURATION SENSOR - KIPP &amp; ZONEN</v>
          </cell>
          <cell r="C2048">
            <v>5152</v>
          </cell>
          <cell r="D2048">
            <v>6380</v>
          </cell>
          <cell r="E2048">
            <v>6380</v>
          </cell>
          <cell r="F2048">
            <v>6380</v>
          </cell>
          <cell r="G2048">
            <v>6380</v>
          </cell>
          <cell r="H2048">
            <v>4390.4960000000001</v>
          </cell>
          <cell r="I2048">
            <v>39850</v>
          </cell>
        </row>
        <row r="2049">
          <cell r="A2049" t="str">
            <v>SUTATOD</v>
          </cell>
          <cell r="B2049" t="str">
            <v>Sutron 6661-1248-1 SDI-12 A to D</v>
          </cell>
          <cell r="C2049">
            <v>0</v>
          </cell>
          <cell r="D2049">
            <v>480</v>
          </cell>
          <cell r="E2049">
            <v>480</v>
          </cell>
          <cell r="F2049">
            <v>480</v>
          </cell>
          <cell r="G2049">
            <v>480</v>
          </cell>
          <cell r="H2049">
            <v>376.98599999999999</v>
          </cell>
        </row>
        <row r="2050">
          <cell r="A2050" t="str">
            <v>SUTPRES1</v>
          </cell>
          <cell r="B2050" t="str">
            <v>SUTRON ACCUBAR PRESSURE SENSOR</v>
          </cell>
          <cell r="C2050">
            <v>2579</v>
          </cell>
          <cell r="D2050">
            <v>3000</v>
          </cell>
          <cell r="E2050">
            <v>3000</v>
          </cell>
          <cell r="F2050">
            <v>3000</v>
          </cell>
          <cell r="G2050">
            <v>3000</v>
          </cell>
          <cell r="H2050">
            <v>2421.8110000000001</v>
          </cell>
          <cell r="I2050">
            <v>39988</v>
          </cell>
        </row>
        <row r="2051">
          <cell r="A2051" t="str">
            <v>SUTPRES2</v>
          </cell>
          <cell r="B2051" t="str">
            <v>SUTRON ACCUBAR PRESSURE SENSOR 50PSI VER</v>
          </cell>
          <cell r="C2051">
            <v>2960</v>
          </cell>
          <cell r="D2051">
            <v>2960</v>
          </cell>
          <cell r="E2051">
            <v>2960</v>
          </cell>
          <cell r="F2051">
            <v>2960</v>
          </cell>
          <cell r="G2051">
            <v>2960</v>
          </cell>
          <cell r="H2051">
            <v>2614.8969999999999</v>
          </cell>
        </row>
        <row r="2052">
          <cell r="A2052" t="str">
            <v>SUTUNRE</v>
          </cell>
          <cell r="B2052" t="str">
            <v>SUTRON  SWAGELOCK REDUCING UNIION</v>
          </cell>
          <cell r="C2052">
            <v>16.12</v>
          </cell>
          <cell r="D2052">
            <v>16.12</v>
          </cell>
          <cell r="E2052">
            <v>16.12</v>
          </cell>
          <cell r="F2052">
            <v>16.12</v>
          </cell>
          <cell r="G2052">
            <v>16.12</v>
          </cell>
          <cell r="H2052">
            <v>0</v>
          </cell>
        </row>
        <row r="2053">
          <cell r="A2053" t="str">
            <v>SWI-ROCKER</v>
          </cell>
          <cell r="B2053" t="str">
            <v>SWITCH  ROCKER SPST</v>
          </cell>
          <cell r="C2053">
            <v>4.5</v>
          </cell>
          <cell r="D2053">
            <v>4.5</v>
          </cell>
          <cell r="E2053">
            <v>4.5</v>
          </cell>
          <cell r="F2053">
            <v>4.5</v>
          </cell>
          <cell r="G2053">
            <v>4.5</v>
          </cell>
          <cell r="H2053">
            <v>4</v>
          </cell>
        </row>
        <row r="2054">
          <cell r="A2054" t="str">
            <v>SWI-TOGGLES</v>
          </cell>
          <cell r="B2054" t="str">
            <v>SWITCH  MINIATURE TOGGLE SPDT</v>
          </cell>
          <cell r="C2054">
            <v>4.5</v>
          </cell>
          <cell r="D2054">
            <v>4.5</v>
          </cell>
          <cell r="E2054">
            <v>4.5</v>
          </cell>
          <cell r="F2054">
            <v>4.5</v>
          </cell>
          <cell r="G2054">
            <v>4.5</v>
          </cell>
          <cell r="H2054">
            <v>2.1800000000000002</v>
          </cell>
        </row>
        <row r="2055">
          <cell r="A2055" t="str">
            <v>SWIKET</v>
          </cell>
          <cell r="B2055" t="str">
            <v>SWITCH KEY BARREL - TYPE A</v>
          </cell>
          <cell r="C2055">
            <v>0</v>
          </cell>
          <cell r="D2055">
            <v>0</v>
          </cell>
          <cell r="E2055">
            <v>0</v>
          </cell>
          <cell r="F2055">
            <v>0</v>
          </cell>
          <cell r="G2055">
            <v>0</v>
          </cell>
          <cell r="H2055">
            <v>6.3250000000000002</v>
          </cell>
        </row>
        <row r="2056">
          <cell r="A2056" t="str">
            <v>SWIPB16</v>
          </cell>
          <cell r="B2056" t="str">
            <v>SWITCH  PUSH BUTTON IP67 16mm</v>
          </cell>
          <cell r="C2056">
            <v>36</v>
          </cell>
          <cell r="D2056">
            <v>36</v>
          </cell>
          <cell r="E2056">
            <v>36</v>
          </cell>
          <cell r="F2056">
            <v>36</v>
          </cell>
          <cell r="G2056">
            <v>36</v>
          </cell>
          <cell r="H2056">
            <v>27.6</v>
          </cell>
          <cell r="I2056">
            <v>40302</v>
          </cell>
        </row>
        <row r="2057">
          <cell r="A2057" t="str">
            <v>SWIPBB</v>
          </cell>
          <cell r="B2057" t="str">
            <v>SWITCH PUSH BUTTON BLUE</v>
          </cell>
          <cell r="C2057">
            <v>7.2</v>
          </cell>
          <cell r="D2057">
            <v>10</v>
          </cell>
          <cell r="E2057">
            <v>10</v>
          </cell>
          <cell r="F2057">
            <v>10</v>
          </cell>
          <cell r="G2057">
            <v>10</v>
          </cell>
          <cell r="H2057">
            <v>7.62</v>
          </cell>
          <cell r="I2057">
            <v>39883</v>
          </cell>
        </row>
        <row r="2058">
          <cell r="A2058" t="str">
            <v>SWIPBBL</v>
          </cell>
          <cell r="B2058" t="str">
            <v>SWITCH PUSH BUTTON BLACK</v>
          </cell>
          <cell r="C2058">
            <v>9.67</v>
          </cell>
          <cell r="D2058">
            <v>12</v>
          </cell>
          <cell r="E2058">
            <v>12</v>
          </cell>
          <cell r="F2058">
            <v>12</v>
          </cell>
          <cell r="G2058">
            <v>12</v>
          </cell>
          <cell r="H2058">
            <v>9.2059999999999995</v>
          </cell>
          <cell r="I2058">
            <v>39988</v>
          </cell>
        </row>
        <row r="2059">
          <cell r="A2059" t="str">
            <v>SWIPBEP</v>
          </cell>
          <cell r="B2059" t="str">
            <v>SWITCH  PUSH BUTTON</v>
          </cell>
          <cell r="C2059">
            <v>8</v>
          </cell>
          <cell r="D2059">
            <v>8</v>
          </cell>
          <cell r="E2059">
            <v>8</v>
          </cell>
          <cell r="F2059">
            <v>8</v>
          </cell>
          <cell r="G2059">
            <v>8</v>
          </cell>
          <cell r="H2059">
            <v>5.05</v>
          </cell>
        </row>
        <row r="2060">
          <cell r="A2060" t="str">
            <v>SWIPBFI</v>
          </cell>
          <cell r="B2060" t="str">
            <v>SWITCH  PUSH BUTTON 501 BK RND DATA INPU</v>
          </cell>
          <cell r="C2060">
            <v>1.5</v>
          </cell>
          <cell r="D2060">
            <v>1.5</v>
          </cell>
          <cell r="E2060">
            <v>1.5</v>
          </cell>
          <cell r="F2060">
            <v>1.5</v>
          </cell>
          <cell r="G2060">
            <v>1.5</v>
          </cell>
          <cell r="H2060">
            <v>0.8</v>
          </cell>
        </row>
        <row r="2061">
          <cell r="A2061" t="str">
            <v>SWIPBG</v>
          </cell>
          <cell r="B2061" t="str">
            <v>SWITCH PUSH BUTTON GREEN</v>
          </cell>
          <cell r="C2061">
            <v>9.65</v>
          </cell>
          <cell r="D2061">
            <v>12</v>
          </cell>
          <cell r="E2061">
            <v>12</v>
          </cell>
          <cell r="F2061">
            <v>12</v>
          </cell>
          <cell r="G2061">
            <v>12</v>
          </cell>
          <cell r="H2061">
            <v>7.62</v>
          </cell>
          <cell r="I2061">
            <v>39988</v>
          </cell>
        </row>
        <row r="2062">
          <cell r="A2062" t="str">
            <v>SWIPBMC</v>
          </cell>
          <cell r="B2062" t="str">
            <v>SWITCH  PUSH BUTTON MCS-18</v>
          </cell>
          <cell r="C2062">
            <v>13</v>
          </cell>
          <cell r="D2062">
            <v>13</v>
          </cell>
          <cell r="E2062">
            <v>13</v>
          </cell>
          <cell r="F2062">
            <v>13</v>
          </cell>
          <cell r="G2062">
            <v>13</v>
          </cell>
          <cell r="H2062">
            <v>10</v>
          </cell>
        </row>
        <row r="2063">
          <cell r="A2063" t="str">
            <v>SWIPBR</v>
          </cell>
          <cell r="B2063" t="str">
            <v>SWITCH PUSH BUTTON RED</v>
          </cell>
          <cell r="C2063">
            <v>8.24</v>
          </cell>
          <cell r="D2063">
            <v>10</v>
          </cell>
          <cell r="E2063">
            <v>10</v>
          </cell>
          <cell r="F2063">
            <v>10</v>
          </cell>
          <cell r="G2063">
            <v>10</v>
          </cell>
          <cell r="H2063">
            <v>7.62</v>
          </cell>
          <cell r="I2063">
            <v>39988</v>
          </cell>
        </row>
        <row r="2064">
          <cell r="A2064" t="str">
            <v>SWIPROT</v>
          </cell>
          <cell r="B2064" t="str">
            <v>SWITCH  PROTECTOR SUBMINIATURE TOGGLE</v>
          </cell>
          <cell r="C2064">
            <v>16.98</v>
          </cell>
          <cell r="D2064">
            <v>16.98</v>
          </cell>
          <cell r="E2064">
            <v>16.98</v>
          </cell>
          <cell r="F2064">
            <v>16.98</v>
          </cell>
          <cell r="G2064">
            <v>16.98</v>
          </cell>
          <cell r="H2064">
            <v>0</v>
          </cell>
        </row>
        <row r="2065">
          <cell r="A2065" t="str">
            <v>SWIREMO</v>
          </cell>
          <cell r="B2065" t="str">
            <v>GARRISON REMOTE CONTROL SWITCH</v>
          </cell>
          <cell r="C2065">
            <v>0</v>
          </cell>
          <cell r="D2065">
            <v>0</v>
          </cell>
          <cell r="E2065">
            <v>0</v>
          </cell>
          <cell r="F2065">
            <v>0</v>
          </cell>
          <cell r="G2065">
            <v>0</v>
          </cell>
          <cell r="H2065">
            <v>0</v>
          </cell>
        </row>
        <row r="2066">
          <cell r="A2066" t="str">
            <v>SWIROT2</v>
          </cell>
          <cell r="B2066" t="str">
            <v>SWITCH  ROTARY 4 POLE</v>
          </cell>
          <cell r="C2066">
            <v>7</v>
          </cell>
          <cell r="D2066">
            <v>7</v>
          </cell>
          <cell r="E2066">
            <v>7</v>
          </cell>
          <cell r="F2066">
            <v>7</v>
          </cell>
          <cell r="G2066">
            <v>7</v>
          </cell>
          <cell r="H2066">
            <v>3.625</v>
          </cell>
        </row>
        <row r="2067">
          <cell r="A2067" t="str">
            <v>SWITAC7</v>
          </cell>
          <cell r="B2067" t="str">
            <v>SWITCH HIGH TACKT 7.3mm</v>
          </cell>
          <cell r="C2067">
            <v>1</v>
          </cell>
          <cell r="D2067">
            <v>1</v>
          </cell>
          <cell r="E2067">
            <v>1</v>
          </cell>
          <cell r="F2067">
            <v>1</v>
          </cell>
          <cell r="G2067">
            <v>1</v>
          </cell>
          <cell r="H2067">
            <v>0.28999999999999998</v>
          </cell>
        </row>
        <row r="2068">
          <cell r="A2068" t="str">
            <v>SWITAC9</v>
          </cell>
          <cell r="B2068" t="str">
            <v>SWITCH  HIGH TACT 9.5mm</v>
          </cell>
          <cell r="C2068">
            <v>1</v>
          </cell>
          <cell r="D2068">
            <v>1</v>
          </cell>
          <cell r="E2068">
            <v>1</v>
          </cell>
          <cell r="F2068">
            <v>1</v>
          </cell>
          <cell r="G2068">
            <v>1</v>
          </cell>
          <cell r="H2068">
            <v>0</v>
          </cell>
        </row>
        <row r="2069">
          <cell r="A2069" t="str">
            <v>SWITH50</v>
          </cell>
          <cell r="B2069" t="str">
            <v>SWITCH  THERMAL OPEN 50 DEGREE</v>
          </cell>
          <cell r="C2069">
            <v>12</v>
          </cell>
          <cell r="D2069">
            <v>12</v>
          </cell>
          <cell r="E2069">
            <v>12</v>
          </cell>
          <cell r="F2069">
            <v>12</v>
          </cell>
          <cell r="G2069">
            <v>12</v>
          </cell>
          <cell r="H2069">
            <v>0</v>
          </cell>
        </row>
        <row r="2070">
          <cell r="A2070" t="str">
            <v>SWITH70</v>
          </cell>
          <cell r="B2070" t="str">
            <v>SWITCH THERMAL 70 DEGREES CELSIUS</v>
          </cell>
          <cell r="C2070">
            <v>12</v>
          </cell>
          <cell r="D2070">
            <v>15</v>
          </cell>
          <cell r="E2070">
            <v>15</v>
          </cell>
          <cell r="F2070">
            <v>15</v>
          </cell>
          <cell r="G2070">
            <v>15</v>
          </cell>
          <cell r="H2070">
            <v>11.02</v>
          </cell>
        </row>
        <row r="2071">
          <cell r="A2071" t="str">
            <v>SWITILT1</v>
          </cell>
          <cell r="B2071" t="str">
            <v>SWITCH  TILT 45 DEGREE</v>
          </cell>
          <cell r="C2071">
            <v>19.5</v>
          </cell>
          <cell r="D2071">
            <v>19.5</v>
          </cell>
          <cell r="E2071">
            <v>19.5</v>
          </cell>
          <cell r="F2071">
            <v>19.5</v>
          </cell>
          <cell r="G2071">
            <v>19.5</v>
          </cell>
          <cell r="H2071">
            <v>14</v>
          </cell>
        </row>
        <row r="2072">
          <cell r="A2072" t="str">
            <v>TA2395-03</v>
          </cell>
          <cell r="B2072" t="str">
            <v>TAIT 3DK BOARD NIWA VARIANT</v>
          </cell>
          <cell r="C2072">
            <v>402.4</v>
          </cell>
          <cell r="D2072">
            <v>0</v>
          </cell>
          <cell r="E2072">
            <v>0</v>
          </cell>
          <cell r="F2072">
            <v>0</v>
          </cell>
          <cell r="G2072">
            <v>0</v>
          </cell>
          <cell r="H2072">
            <v>402.4</v>
          </cell>
        </row>
        <row r="2073">
          <cell r="A2073" t="str">
            <v>TAPE-ALLW</v>
          </cell>
          <cell r="B2073" t="str">
            <v>ALL WEATHER TAPE 48mm</v>
          </cell>
          <cell r="C2073">
            <v>15.95</v>
          </cell>
          <cell r="D2073">
            <v>15.95</v>
          </cell>
          <cell r="E2073">
            <v>15.95</v>
          </cell>
          <cell r="F2073">
            <v>15.95</v>
          </cell>
          <cell r="G2073">
            <v>15.95</v>
          </cell>
          <cell r="H2073">
            <v>10.28</v>
          </cell>
        </row>
        <row r="2074">
          <cell r="A2074" t="str">
            <v>TAPE-DENSO</v>
          </cell>
          <cell r="B2074" t="str">
            <v>DENSO TAPE 50MM</v>
          </cell>
          <cell r="C2074">
            <v>30</v>
          </cell>
          <cell r="D2074">
            <v>30</v>
          </cell>
          <cell r="E2074">
            <v>30</v>
          </cell>
          <cell r="F2074">
            <v>30</v>
          </cell>
          <cell r="G2074">
            <v>30</v>
          </cell>
          <cell r="H2074">
            <v>22.68</v>
          </cell>
        </row>
        <row r="2075">
          <cell r="A2075" t="str">
            <v>TAPE-M18BL</v>
          </cell>
          <cell r="B2075" t="str">
            <v>TAPE PVC 18mm BLACK</v>
          </cell>
          <cell r="C2075">
            <v>2.7</v>
          </cell>
          <cell r="D2075">
            <v>2.7</v>
          </cell>
          <cell r="E2075">
            <v>2.7</v>
          </cell>
          <cell r="F2075">
            <v>2.7</v>
          </cell>
          <cell r="G2075">
            <v>2.7</v>
          </cell>
          <cell r="H2075">
            <v>1.583</v>
          </cell>
        </row>
        <row r="2076">
          <cell r="A2076" t="str">
            <v>TAPE-M18GR</v>
          </cell>
          <cell r="B2076" t="str">
            <v>TAPE PVC 18mm GREEN</v>
          </cell>
          <cell r="C2076">
            <v>2.7</v>
          </cell>
          <cell r="D2076">
            <v>2.7</v>
          </cell>
          <cell r="E2076">
            <v>2.7</v>
          </cell>
          <cell r="F2076">
            <v>2.7</v>
          </cell>
          <cell r="G2076">
            <v>2.7</v>
          </cell>
          <cell r="H2076">
            <v>0</v>
          </cell>
        </row>
        <row r="2077">
          <cell r="A2077" t="str">
            <v>TAPE-M18RD</v>
          </cell>
          <cell r="B2077" t="str">
            <v>TAPE PVC 18mm RED</v>
          </cell>
          <cell r="C2077">
            <v>2.7</v>
          </cell>
          <cell r="D2077">
            <v>2.7</v>
          </cell>
          <cell r="E2077">
            <v>2.7</v>
          </cell>
          <cell r="F2077">
            <v>2.7</v>
          </cell>
          <cell r="G2077">
            <v>2.7</v>
          </cell>
          <cell r="H2077">
            <v>1.7909999999999999</v>
          </cell>
        </row>
        <row r="2078">
          <cell r="A2078" t="str">
            <v>TAPE-M18WH</v>
          </cell>
          <cell r="B2078" t="str">
            <v>TAPE PVC 18mm WHITE</v>
          </cell>
          <cell r="C2078">
            <v>2.7</v>
          </cell>
          <cell r="D2078">
            <v>2.7</v>
          </cell>
          <cell r="E2078">
            <v>2.7</v>
          </cell>
          <cell r="F2078">
            <v>2.7</v>
          </cell>
          <cell r="G2078">
            <v>2.7</v>
          </cell>
          <cell r="H2078">
            <v>0</v>
          </cell>
        </row>
        <row r="2079">
          <cell r="A2079" t="str">
            <v>TAPE-M18YE</v>
          </cell>
          <cell r="B2079" t="str">
            <v>TAPE PVC 18mm YELLOW</v>
          </cell>
          <cell r="C2079">
            <v>2.7</v>
          </cell>
          <cell r="D2079">
            <v>2.7</v>
          </cell>
          <cell r="E2079">
            <v>2.7</v>
          </cell>
          <cell r="F2079">
            <v>2.7</v>
          </cell>
          <cell r="G2079">
            <v>2.7</v>
          </cell>
          <cell r="H2079">
            <v>1.6240000000000001</v>
          </cell>
        </row>
        <row r="2080">
          <cell r="A2080" t="str">
            <v>TAPECOS</v>
          </cell>
          <cell r="B2080" t="str">
            <v>AMALGAMATING TAPE, COAX SEAL,</v>
          </cell>
          <cell r="C2080">
            <v>18</v>
          </cell>
          <cell r="D2080">
            <v>18</v>
          </cell>
          <cell r="E2080">
            <v>18</v>
          </cell>
          <cell r="F2080">
            <v>18</v>
          </cell>
          <cell r="G2080">
            <v>18</v>
          </cell>
          <cell r="H2080">
            <v>11</v>
          </cell>
        </row>
        <row r="2081">
          <cell r="A2081" t="str">
            <v>TAPELIR</v>
          </cell>
          <cell r="B2081" t="str">
            <v>TAPE  LINERLESS RUBBER SPLICING 3M 130C</v>
          </cell>
          <cell r="C2081">
            <v>22.2</v>
          </cell>
          <cell r="D2081">
            <v>22.2</v>
          </cell>
          <cell r="E2081">
            <v>22.2</v>
          </cell>
          <cell r="F2081">
            <v>22.2</v>
          </cell>
          <cell r="G2081">
            <v>22.2</v>
          </cell>
          <cell r="H2081">
            <v>0</v>
          </cell>
        </row>
        <row r="2082">
          <cell r="A2082" t="str">
            <v>TAPERF</v>
          </cell>
          <cell r="B2082" t="str">
            <v>REINFORCED FOIL TAPE 48mm x 50m</v>
          </cell>
          <cell r="C2082">
            <v>20.95</v>
          </cell>
          <cell r="D2082">
            <v>25.95</v>
          </cell>
          <cell r="E2082">
            <v>25.95</v>
          </cell>
          <cell r="F2082">
            <v>25.95</v>
          </cell>
          <cell r="G2082">
            <v>25.95</v>
          </cell>
          <cell r="H2082">
            <v>19.8</v>
          </cell>
        </row>
        <row r="2083">
          <cell r="A2083" t="str">
            <v>TAPES05</v>
          </cell>
          <cell r="B2083" t="str">
            <v>TAPE STAINLESS STEEL 5 METRE EPB REFILL</v>
          </cell>
          <cell r="C2083">
            <v>62</v>
          </cell>
          <cell r="D2083">
            <v>62</v>
          </cell>
          <cell r="E2083">
            <v>62</v>
          </cell>
          <cell r="F2083">
            <v>62</v>
          </cell>
          <cell r="G2083">
            <v>62</v>
          </cell>
          <cell r="H2083">
            <v>48</v>
          </cell>
        </row>
        <row r="2084">
          <cell r="A2084" t="str">
            <v>TAPES10</v>
          </cell>
          <cell r="B2084" t="str">
            <v>TAPE STAINLESS STEEL 10 METRE EPB REFILL</v>
          </cell>
          <cell r="C2084">
            <v>85</v>
          </cell>
          <cell r="D2084">
            <v>85</v>
          </cell>
          <cell r="E2084">
            <v>85</v>
          </cell>
          <cell r="F2084">
            <v>85</v>
          </cell>
          <cell r="G2084">
            <v>85</v>
          </cell>
          <cell r="H2084">
            <v>57.15</v>
          </cell>
        </row>
        <row r="2085">
          <cell r="A2085" t="str">
            <v>TAPES15</v>
          </cell>
          <cell r="B2085" t="str">
            <v>TAPE STAINLESS STEEL 15 METRE EPB REFILL</v>
          </cell>
          <cell r="C2085">
            <v>110</v>
          </cell>
          <cell r="D2085">
            <v>110</v>
          </cell>
          <cell r="E2085">
            <v>110</v>
          </cell>
          <cell r="F2085">
            <v>110</v>
          </cell>
          <cell r="G2085">
            <v>110</v>
          </cell>
          <cell r="H2085">
            <v>0</v>
          </cell>
        </row>
        <row r="2086">
          <cell r="A2086" t="str">
            <v>TAPES20</v>
          </cell>
          <cell r="B2086" t="str">
            <v>TAPE STAINLESS STEEL 20 METRE EPB REFILL</v>
          </cell>
          <cell r="C2086">
            <v>120.72</v>
          </cell>
          <cell r="D2086">
            <v>120.72</v>
          </cell>
          <cell r="E2086">
            <v>120.72</v>
          </cell>
          <cell r="F2086">
            <v>120.72</v>
          </cell>
          <cell r="G2086">
            <v>120.72</v>
          </cell>
          <cell r="H2086">
            <v>79.5</v>
          </cell>
        </row>
        <row r="2087">
          <cell r="A2087" t="str">
            <v>TAPES30</v>
          </cell>
          <cell r="B2087" t="str">
            <v>TAPE STAINLESS STEEL 30 METRE EPB REFILL</v>
          </cell>
          <cell r="C2087">
            <v>177</v>
          </cell>
          <cell r="D2087">
            <v>177</v>
          </cell>
          <cell r="E2087">
            <v>177</v>
          </cell>
          <cell r="F2087">
            <v>177</v>
          </cell>
          <cell r="G2087">
            <v>177</v>
          </cell>
          <cell r="H2087">
            <v>106</v>
          </cell>
        </row>
        <row r="2088">
          <cell r="A2088" t="str">
            <v>TAPES50</v>
          </cell>
          <cell r="B2088" t="str">
            <v>TAPE STAINLESS STEEL 50 METRE EPB REFILL</v>
          </cell>
          <cell r="C2088">
            <v>240</v>
          </cell>
          <cell r="D2088">
            <v>240</v>
          </cell>
          <cell r="E2088">
            <v>240</v>
          </cell>
          <cell r="F2088">
            <v>240</v>
          </cell>
          <cell r="G2088">
            <v>240</v>
          </cell>
          <cell r="H2088">
            <v>0</v>
          </cell>
        </row>
        <row r="2089">
          <cell r="A2089" t="str">
            <v>TAPMS30</v>
          </cell>
          <cell r="B2089" t="str">
            <v>SURVEY TAPE 30M</v>
          </cell>
          <cell r="C2089">
            <v>0</v>
          </cell>
          <cell r="D2089">
            <v>0</v>
          </cell>
          <cell r="E2089">
            <v>0</v>
          </cell>
          <cell r="F2089">
            <v>0</v>
          </cell>
          <cell r="G2089">
            <v>0</v>
          </cell>
          <cell r="H2089">
            <v>0</v>
          </cell>
        </row>
        <row r="2090">
          <cell r="A2090" t="str">
            <v>TAPMSUR</v>
          </cell>
          <cell r="B2090" t="str">
            <v>TAPE MEASURING ROPE 50 METRE</v>
          </cell>
          <cell r="C2090">
            <v>66</v>
          </cell>
          <cell r="D2090">
            <v>66</v>
          </cell>
          <cell r="E2090">
            <v>66</v>
          </cell>
          <cell r="F2090">
            <v>66</v>
          </cell>
          <cell r="G2090">
            <v>66</v>
          </cell>
          <cell r="H2090">
            <v>45</v>
          </cell>
        </row>
        <row r="2091">
          <cell r="A2091" t="str">
            <v>TAPMSUR1</v>
          </cell>
          <cell r="B2091" t="str">
            <v>MEASURING ROPE 100m</v>
          </cell>
          <cell r="C2091">
            <v>0</v>
          </cell>
          <cell r="D2091">
            <v>0</v>
          </cell>
          <cell r="E2091">
            <v>0</v>
          </cell>
          <cell r="F2091">
            <v>0</v>
          </cell>
          <cell r="G2091">
            <v>0</v>
          </cell>
          <cell r="H2091">
            <v>70</v>
          </cell>
        </row>
        <row r="2092">
          <cell r="A2092" t="str">
            <v>TAPSSFL</v>
          </cell>
          <cell r="B2092" t="str">
            <v>TAPE  FLOAT STAINLESS STEEL PREPUNCHED</v>
          </cell>
          <cell r="C2092">
            <v>2</v>
          </cell>
          <cell r="D2092">
            <v>2</v>
          </cell>
          <cell r="E2092">
            <v>2</v>
          </cell>
          <cell r="F2092">
            <v>2</v>
          </cell>
          <cell r="G2092">
            <v>2</v>
          </cell>
          <cell r="H2092">
            <v>0</v>
          </cell>
        </row>
        <row r="2093">
          <cell r="A2093" t="str">
            <v>TDSC0S2</v>
          </cell>
          <cell r="B2093" t="str">
            <v>CONDUCTIVITY PROBE MODEL TDS20</v>
          </cell>
          <cell r="C2093">
            <v>150</v>
          </cell>
          <cell r="D2093">
            <v>150</v>
          </cell>
          <cell r="E2093">
            <v>150</v>
          </cell>
          <cell r="F2093">
            <v>150</v>
          </cell>
          <cell r="G2093">
            <v>150</v>
          </cell>
          <cell r="H2093">
            <v>0</v>
          </cell>
        </row>
        <row r="2094">
          <cell r="A2094" t="str">
            <v>TEMPRHD</v>
          </cell>
          <cell r="B2094" t="str">
            <v>TEMPERATURE PROBE BODY (HEAD) ONLY</v>
          </cell>
          <cell r="C2094">
            <v>48</v>
          </cell>
          <cell r="D2094">
            <v>48</v>
          </cell>
          <cell r="E2094">
            <v>48</v>
          </cell>
          <cell r="F2094">
            <v>48</v>
          </cell>
          <cell r="G2094">
            <v>48</v>
          </cell>
          <cell r="H2094">
            <v>0</v>
          </cell>
        </row>
        <row r="2095">
          <cell r="A2095" t="str">
            <v>TFINDN1</v>
          </cell>
          <cell r="B2095" t="str">
            <v>INDUCTOR 100uH BOURNS</v>
          </cell>
          <cell r="C2095">
            <v>7.3</v>
          </cell>
          <cell r="D2095">
            <v>7.3</v>
          </cell>
          <cell r="E2095">
            <v>7.3</v>
          </cell>
          <cell r="F2095">
            <v>7.3</v>
          </cell>
          <cell r="G2095">
            <v>7.3</v>
          </cell>
          <cell r="H2095">
            <v>2.65</v>
          </cell>
        </row>
        <row r="2096">
          <cell r="A2096" t="str">
            <v>TFMAV32</v>
          </cell>
          <cell r="B2096" t="str">
            <v>TRANSFORMER  MATCHING V32 BIS</v>
          </cell>
          <cell r="C2096">
            <v>18</v>
          </cell>
          <cell r="D2096">
            <v>18</v>
          </cell>
          <cell r="E2096">
            <v>18</v>
          </cell>
          <cell r="F2096">
            <v>18</v>
          </cell>
          <cell r="G2096">
            <v>18</v>
          </cell>
          <cell r="H2096">
            <v>0</v>
          </cell>
        </row>
        <row r="2097">
          <cell r="A2097" t="str">
            <v>TFORMBM</v>
          </cell>
          <cell r="B2097" t="str">
            <v>TRANSFORMER 500VA 17V DC OUPUT 18A (BMS)</v>
          </cell>
          <cell r="C2097">
            <v>346.68</v>
          </cell>
          <cell r="D2097">
            <v>346.68</v>
          </cell>
          <cell r="E2097">
            <v>346.68</v>
          </cell>
          <cell r="F2097">
            <v>346.68</v>
          </cell>
          <cell r="G2097">
            <v>346.68</v>
          </cell>
          <cell r="H2097">
            <v>0</v>
          </cell>
        </row>
        <row r="2098">
          <cell r="A2098" t="str">
            <v>TFORMEF</v>
          </cell>
          <cell r="B2098" t="str">
            <v>TRANSFORMER  CONTROLLER 27:1 RATIO</v>
          </cell>
          <cell r="C2098">
            <v>89.25</v>
          </cell>
          <cell r="D2098">
            <v>110.5</v>
          </cell>
          <cell r="E2098">
            <v>110.5</v>
          </cell>
          <cell r="F2098">
            <v>110.5</v>
          </cell>
          <cell r="G2098">
            <v>110.5</v>
          </cell>
          <cell r="H2098">
            <v>90</v>
          </cell>
        </row>
        <row r="2099">
          <cell r="A2099" t="str">
            <v>TFORMPE</v>
          </cell>
          <cell r="B2099" t="str">
            <v>TRANSFORMER  PERTRONIC BATTERY CHARGER</v>
          </cell>
          <cell r="C2099">
            <v>63</v>
          </cell>
          <cell r="D2099">
            <v>63</v>
          </cell>
          <cell r="E2099">
            <v>63</v>
          </cell>
          <cell r="F2099">
            <v>63</v>
          </cell>
          <cell r="G2099">
            <v>63</v>
          </cell>
          <cell r="H2099">
            <v>0</v>
          </cell>
        </row>
        <row r="2100">
          <cell r="A2100" t="str">
            <v>TFORMPH</v>
          </cell>
          <cell r="B2100" t="str">
            <v>TRANSFORMER LINE 600 ohm TO 600 ohm 0 DB</v>
          </cell>
          <cell r="C2100">
            <v>36</v>
          </cell>
          <cell r="D2100">
            <v>36</v>
          </cell>
          <cell r="E2100">
            <v>36</v>
          </cell>
          <cell r="F2100">
            <v>36</v>
          </cell>
          <cell r="G2100">
            <v>36</v>
          </cell>
          <cell r="H2100">
            <v>0</v>
          </cell>
        </row>
        <row r="2101">
          <cell r="A2101" t="str">
            <v>TFPULSE1</v>
          </cell>
          <cell r="B2101" t="str">
            <v>TRANSFORMER PULSE. NEWPORT # 77205HV</v>
          </cell>
          <cell r="C2101">
            <v>50</v>
          </cell>
          <cell r="D2101">
            <v>50</v>
          </cell>
          <cell r="E2101">
            <v>50</v>
          </cell>
          <cell r="F2101">
            <v>50</v>
          </cell>
          <cell r="G2101">
            <v>50</v>
          </cell>
          <cell r="H2101">
            <v>32.662999999999997</v>
          </cell>
        </row>
        <row r="2102">
          <cell r="A2102" t="str">
            <v>THEBR48</v>
          </cell>
          <cell r="B2102" t="str">
            <v>THERMOMETER BRANNAN</v>
          </cell>
          <cell r="C2102">
            <v>145</v>
          </cell>
          <cell r="D2102">
            <v>145</v>
          </cell>
          <cell r="E2102">
            <v>145</v>
          </cell>
          <cell r="F2102">
            <v>145</v>
          </cell>
          <cell r="G2102">
            <v>145</v>
          </cell>
          <cell r="H2102">
            <v>130</v>
          </cell>
        </row>
        <row r="2103">
          <cell r="A2103" t="str">
            <v>THEEA16</v>
          </cell>
          <cell r="B2103" t="str">
            <v>THERMOMETER  EARTH-ANGLED 5cm .-10 TO +6</v>
          </cell>
          <cell r="C2103">
            <v>224</v>
          </cell>
          <cell r="D2103">
            <v>224</v>
          </cell>
          <cell r="E2103">
            <v>224</v>
          </cell>
          <cell r="F2103">
            <v>224</v>
          </cell>
          <cell r="G2103">
            <v>224</v>
          </cell>
          <cell r="H2103">
            <v>0</v>
          </cell>
        </row>
        <row r="2104">
          <cell r="A2104" t="str">
            <v>THEEA23</v>
          </cell>
          <cell r="B2104" t="str">
            <v>THERMOMETER  EARTH-ANGLED 10cm.-7 TO +38</v>
          </cell>
          <cell r="C2104">
            <v>422.5</v>
          </cell>
          <cell r="D2104">
            <v>422.5</v>
          </cell>
          <cell r="E2104">
            <v>422.5</v>
          </cell>
          <cell r="F2104">
            <v>422.5</v>
          </cell>
          <cell r="G2104">
            <v>422.5</v>
          </cell>
          <cell r="H2104">
            <v>325</v>
          </cell>
          <cell r="I2104">
            <v>40330</v>
          </cell>
        </row>
        <row r="2105">
          <cell r="A2105" t="str">
            <v>THEEA24</v>
          </cell>
          <cell r="B2105" t="str">
            <v>THERMOMETER  EARTH-ANGLED 20cm.-7 TO +38</v>
          </cell>
          <cell r="C2105">
            <v>284</v>
          </cell>
          <cell r="D2105">
            <v>284</v>
          </cell>
          <cell r="E2105">
            <v>284</v>
          </cell>
          <cell r="F2105">
            <v>284</v>
          </cell>
          <cell r="G2105">
            <v>284</v>
          </cell>
          <cell r="H2105">
            <v>220</v>
          </cell>
        </row>
        <row r="2106">
          <cell r="A2106" t="str">
            <v>THEEA34</v>
          </cell>
          <cell r="B2106" t="str">
            <v>THERMOMETER  EARTH-WAXED.30cm -7 TO +38</v>
          </cell>
          <cell r="C2106">
            <v>100</v>
          </cell>
          <cell r="D2106">
            <v>100</v>
          </cell>
          <cell r="E2106">
            <v>100</v>
          </cell>
          <cell r="F2106">
            <v>100</v>
          </cell>
          <cell r="G2106">
            <v>100</v>
          </cell>
          <cell r="H2106">
            <v>0</v>
          </cell>
        </row>
        <row r="2107">
          <cell r="A2107" t="str">
            <v>THEINSP</v>
          </cell>
          <cell r="B2107" t="str">
            <v>THEMOMETER  INSPECTORS. 350mm.-5 TO +50</v>
          </cell>
          <cell r="C2107">
            <v>897</v>
          </cell>
          <cell r="D2107">
            <v>897</v>
          </cell>
          <cell r="E2107">
            <v>897</v>
          </cell>
          <cell r="F2107">
            <v>897</v>
          </cell>
          <cell r="G2107">
            <v>897</v>
          </cell>
          <cell r="H2107">
            <v>690</v>
          </cell>
          <cell r="I2107">
            <v>40330</v>
          </cell>
        </row>
        <row r="2108">
          <cell r="A2108" t="str">
            <v>THEKACO</v>
          </cell>
          <cell r="B2108" t="str">
            <v>CASE  KAINGA THERMOMETER</v>
          </cell>
          <cell r="C2108">
            <v>143.85</v>
          </cell>
          <cell r="D2108">
            <v>178.1</v>
          </cell>
          <cell r="E2108">
            <v>178.1</v>
          </cell>
          <cell r="F2108">
            <v>178.1</v>
          </cell>
          <cell r="G2108">
            <v>178.1</v>
          </cell>
          <cell r="H2108">
            <v>0</v>
          </cell>
          <cell r="I2108">
            <v>39883</v>
          </cell>
        </row>
        <row r="2109">
          <cell r="A2109" t="str">
            <v>THEMA25</v>
          </cell>
          <cell r="B2109" t="str">
            <v>THERMOMETER  MAXIMUM. SHEATHED.H.M. -20</v>
          </cell>
          <cell r="C2109">
            <v>414</v>
          </cell>
          <cell r="D2109">
            <v>512</v>
          </cell>
          <cell r="E2109">
            <v>512</v>
          </cell>
          <cell r="F2109">
            <v>512</v>
          </cell>
          <cell r="G2109">
            <v>512</v>
          </cell>
          <cell r="H2109">
            <v>425</v>
          </cell>
          <cell r="I2109">
            <v>39988</v>
          </cell>
        </row>
        <row r="2110">
          <cell r="A2110" t="str">
            <v>THEMA35</v>
          </cell>
          <cell r="B2110" t="str">
            <v>THERMOMETER  MAXIMUM. SHEATHED. H.M. -40</v>
          </cell>
          <cell r="C2110">
            <v>700</v>
          </cell>
          <cell r="D2110">
            <v>700</v>
          </cell>
          <cell r="E2110">
            <v>700</v>
          </cell>
          <cell r="F2110">
            <v>700</v>
          </cell>
          <cell r="G2110">
            <v>700</v>
          </cell>
          <cell r="H2110">
            <v>590</v>
          </cell>
        </row>
        <row r="2111">
          <cell r="A2111" t="str">
            <v>THEMI31</v>
          </cell>
          <cell r="B2111" t="str">
            <v>THERMOMETER  MINIUMUM. SHEATHED. H.M. -7</v>
          </cell>
          <cell r="C2111">
            <v>138.5</v>
          </cell>
          <cell r="D2111">
            <v>138.5</v>
          </cell>
          <cell r="E2111">
            <v>138.5</v>
          </cell>
          <cell r="F2111">
            <v>138.5</v>
          </cell>
          <cell r="G2111">
            <v>138.5</v>
          </cell>
          <cell r="H2111">
            <v>0</v>
          </cell>
        </row>
        <row r="2112">
          <cell r="A2112" t="str">
            <v>THEMI35</v>
          </cell>
          <cell r="B2112" t="str">
            <v>THERMOMETER  MINIMUM. SHEATHED. H.M. -30</v>
          </cell>
          <cell r="C2112">
            <v>396</v>
          </cell>
          <cell r="D2112">
            <v>490</v>
          </cell>
          <cell r="E2112">
            <v>490</v>
          </cell>
          <cell r="F2112">
            <v>490</v>
          </cell>
          <cell r="G2112">
            <v>490</v>
          </cell>
          <cell r="H2112">
            <v>395</v>
          </cell>
          <cell r="I2112">
            <v>39988</v>
          </cell>
        </row>
        <row r="2113">
          <cell r="A2113" t="str">
            <v>THEOR25</v>
          </cell>
          <cell r="B2113" t="str">
            <v>THERMOMETER  ORDINARY. SHEATHED. V.M. -2</v>
          </cell>
          <cell r="C2113">
            <v>310</v>
          </cell>
          <cell r="D2113">
            <v>310</v>
          </cell>
          <cell r="E2113">
            <v>310</v>
          </cell>
          <cell r="F2113">
            <v>310</v>
          </cell>
          <cell r="G2113">
            <v>310</v>
          </cell>
          <cell r="H2113">
            <v>100</v>
          </cell>
        </row>
        <row r="2114">
          <cell r="A2114" t="str">
            <v>THEOR26</v>
          </cell>
          <cell r="B2114" t="str">
            <v>THERMOMETER  ORDINARY. SHEATHED. H.M. -2</v>
          </cell>
          <cell r="C2114">
            <v>310</v>
          </cell>
          <cell r="D2114">
            <v>310</v>
          </cell>
          <cell r="E2114">
            <v>310</v>
          </cell>
          <cell r="F2114">
            <v>310</v>
          </cell>
          <cell r="G2114">
            <v>310</v>
          </cell>
          <cell r="H2114">
            <v>275</v>
          </cell>
        </row>
        <row r="2115">
          <cell r="A2115" t="str">
            <v>THEOR52</v>
          </cell>
          <cell r="B2115" t="str">
            <v>THERMOMETER  ORDINARY. SHEATHED H.M. -55</v>
          </cell>
          <cell r="C2115">
            <v>0</v>
          </cell>
          <cell r="D2115">
            <v>0</v>
          </cell>
          <cell r="E2115">
            <v>0</v>
          </cell>
          <cell r="F2115">
            <v>0</v>
          </cell>
          <cell r="G2115">
            <v>0</v>
          </cell>
          <cell r="H2115">
            <v>0</v>
          </cell>
        </row>
        <row r="2116">
          <cell r="A2116" t="str">
            <v>THETUE3</v>
          </cell>
          <cell r="B2116" t="str">
            <v>THERMOMETER EARTH TUBE (30CM THERMOMETER</v>
          </cell>
          <cell r="C2116">
            <v>165</v>
          </cell>
          <cell r="D2116">
            <v>165</v>
          </cell>
          <cell r="E2116">
            <v>165</v>
          </cell>
          <cell r="F2116">
            <v>165</v>
          </cell>
          <cell r="G2116">
            <v>165</v>
          </cell>
          <cell r="H2116">
            <v>0</v>
          </cell>
        </row>
        <row r="2117">
          <cell r="A2117" t="str">
            <v>THETUE9</v>
          </cell>
          <cell r="B2117" t="str">
            <v>THERMOMETER EARTH TUBE (100CM THERMOMETE</v>
          </cell>
          <cell r="C2117">
            <v>120</v>
          </cell>
          <cell r="D2117">
            <v>195</v>
          </cell>
          <cell r="E2117">
            <v>195</v>
          </cell>
          <cell r="F2117">
            <v>195</v>
          </cell>
          <cell r="G2117">
            <v>195</v>
          </cell>
          <cell r="H2117">
            <v>0</v>
          </cell>
        </row>
        <row r="2118">
          <cell r="A2118" t="str">
            <v>TIDESTATION</v>
          </cell>
          <cell r="B2118" t="str">
            <v>PORTABLE TIDE STATION</v>
          </cell>
          <cell r="C2118">
            <v>0</v>
          </cell>
          <cell r="D2118">
            <v>0</v>
          </cell>
          <cell r="E2118">
            <v>0</v>
          </cell>
          <cell r="F2118">
            <v>0</v>
          </cell>
          <cell r="G2118">
            <v>0</v>
          </cell>
          <cell r="H2118">
            <v>0</v>
          </cell>
        </row>
        <row r="2119">
          <cell r="A2119" t="str">
            <v>TIMERCR</v>
          </cell>
          <cell r="B2119" t="str">
            <v>TIMER CROUZET MUR3 88 826 103</v>
          </cell>
          <cell r="C2119">
            <v>160</v>
          </cell>
          <cell r="D2119">
            <v>160</v>
          </cell>
          <cell r="E2119">
            <v>160</v>
          </cell>
          <cell r="F2119">
            <v>160</v>
          </cell>
          <cell r="G2119">
            <v>160</v>
          </cell>
          <cell r="H2119">
            <v>99.96</v>
          </cell>
        </row>
        <row r="2120">
          <cell r="A2120" t="str">
            <v>TOCC01</v>
          </cell>
          <cell r="B2120" t="str">
            <v>TAIT FIT &amp; TEST RS232 BOARD TM8110</v>
          </cell>
          <cell r="C2120">
            <v>20</v>
          </cell>
          <cell r="D2120">
            <v>0</v>
          </cell>
          <cell r="E2120">
            <v>0</v>
          </cell>
          <cell r="F2120">
            <v>0</v>
          </cell>
          <cell r="G2120">
            <v>0</v>
          </cell>
          <cell r="H2120">
            <v>20</v>
          </cell>
          <cell r="I2120">
            <v>39191</v>
          </cell>
        </row>
        <row r="2121">
          <cell r="A2121" t="str">
            <v>TPSAQCP</v>
          </cell>
          <cell r="B2121" t="str">
            <v>TPS AQUA CP WATER QUALITY METER</v>
          </cell>
          <cell r="C2121">
            <v>850</v>
          </cell>
          <cell r="D2121">
            <v>850</v>
          </cell>
          <cell r="E2121">
            <v>850</v>
          </cell>
          <cell r="F2121">
            <v>850</v>
          </cell>
          <cell r="G2121">
            <v>850</v>
          </cell>
          <cell r="H2121">
            <v>0</v>
          </cell>
        </row>
        <row r="2122">
          <cell r="A2122" t="str">
            <v>TPSCON10</v>
          </cell>
          <cell r="B2122" t="str">
            <v>TPS CONDUCTIVITY PROBE K=10</v>
          </cell>
          <cell r="C2122">
            <v>272</v>
          </cell>
          <cell r="D2122">
            <v>338</v>
          </cell>
          <cell r="E2122">
            <v>338</v>
          </cell>
          <cell r="F2122">
            <v>338</v>
          </cell>
          <cell r="G2122">
            <v>338</v>
          </cell>
          <cell r="H2122">
            <v>259.66800000000001</v>
          </cell>
          <cell r="I2122">
            <v>39882</v>
          </cell>
        </row>
        <row r="2123">
          <cell r="A2123" t="str">
            <v>TPSCONPR</v>
          </cell>
          <cell r="B2123" t="str">
            <v>Conductivity Sensor 122198 k=1/ATC/Temp</v>
          </cell>
          <cell r="C2123">
            <v>0</v>
          </cell>
          <cell r="D2123">
            <v>0</v>
          </cell>
          <cell r="E2123">
            <v>0</v>
          </cell>
          <cell r="F2123">
            <v>0</v>
          </cell>
          <cell r="G2123">
            <v>0</v>
          </cell>
          <cell r="H2123">
            <v>201.845</v>
          </cell>
        </row>
        <row r="2124">
          <cell r="A2124" t="str">
            <v>TPSPHB4</v>
          </cell>
          <cell r="B2124" t="str">
            <v>TPS BUFFER PH 4 1 litre</v>
          </cell>
          <cell r="C2124">
            <v>42</v>
          </cell>
          <cell r="D2124">
            <v>42</v>
          </cell>
          <cell r="E2124">
            <v>42</v>
          </cell>
          <cell r="F2124">
            <v>42</v>
          </cell>
          <cell r="G2124">
            <v>42</v>
          </cell>
          <cell r="H2124">
            <v>24.834</v>
          </cell>
        </row>
        <row r="2125">
          <cell r="A2125" t="str">
            <v>TPSPHB6</v>
          </cell>
          <cell r="B2125" t="str">
            <v>TPS BUFFER PH 6.88 200ml</v>
          </cell>
          <cell r="C2125">
            <v>15</v>
          </cell>
          <cell r="D2125">
            <v>15</v>
          </cell>
          <cell r="E2125">
            <v>15</v>
          </cell>
          <cell r="F2125">
            <v>15</v>
          </cell>
          <cell r="G2125">
            <v>15</v>
          </cell>
          <cell r="H2125">
            <v>15.247</v>
          </cell>
        </row>
        <row r="2126">
          <cell r="A2126" t="str">
            <v>TPSPHGE</v>
          </cell>
          <cell r="B2126" t="str">
            <v>TPS PH ELECTROLITE GEL 10ml</v>
          </cell>
          <cell r="C2126">
            <v>15</v>
          </cell>
          <cell r="D2126">
            <v>15</v>
          </cell>
          <cell r="E2126">
            <v>15</v>
          </cell>
          <cell r="F2126">
            <v>15</v>
          </cell>
          <cell r="G2126">
            <v>15</v>
          </cell>
          <cell r="H2126">
            <v>15.247</v>
          </cell>
        </row>
        <row r="2127">
          <cell r="A2127" t="str">
            <v>TPSPHPR</v>
          </cell>
          <cell r="B2127" t="str">
            <v>TPS PH PROBE#121236</v>
          </cell>
          <cell r="C2127">
            <v>176.6</v>
          </cell>
          <cell r="D2127">
            <v>218.65</v>
          </cell>
          <cell r="E2127">
            <v>218.65</v>
          </cell>
          <cell r="F2127">
            <v>218.65</v>
          </cell>
          <cell r="G2127">
            <v>218.65</v>
          </cell>
          <cell r="H2127">
            <v>157.90799999999999</v>
          </cell>
          <cell r="I2127">
            <v>39884</v>
          </cell>
        </row>
        <row r="2128">
          <cell r="A2128" t="str">
            <v>TPSPHPR1</v>
          </cell>
          <cell r="B2128" t="str">
            <v>TPS PH PROBE #121207</v>
          </cell>
          <cell r="C2128">
            <v>128</v>
          </cell>
          <cell r="D2128">
            <v>128</v>
          </cell>
          <cell r="E2128">
            <v>128</v>
          </cell>
          <cell r="F2128">
            <v>128</v>
          </cell>
          <cell r="G2128">
            <v>128</v>
          </cell>
          <cell r="H2128">
            <v>97.462999999999994</v>
          </cell>
        </row>
        <row r="2129">
          <cell r="A2129" t="str">
            <v>TPSTESE</v>
          </cell>
          <cell r="B2129" t="str">
            <v>TPS TEMPERATURE SENSOR #121247</v>
          </cell>
          <cell r="C2129">
            <v>130</v>
          </cell>
          <cell r="D2129">
            <v>130</v>
          </cell>
          <cell r="E2129">
            <v>130</v>
          </cell>
          <cell r="F2129">
            <v>130</v>
          </cell>
          <cell r="G2129">
            <v>130</v>
          </cell>
          <cell r="H2129">
            <v>98.566999999999993</v>
          </cell>
          <cell r="I2129">
            <v>40292</v>
          </cell>
        </row>
        <row r="2130">
          <cell r="A2130" t="str">
            <v>TPSTPRO</v>
          </cell>
          <cell r="B2130" t="str">
            <v>TURBIDITY SENSOR SHROUD #125189</v>
          </cell>
          <cell r="C2130">
            <v>105</v>
          </cell>
          <cell r="D2130">
            <v>105</v>
          </cell>
          <cell r="E2130">
            <v>105</v>
          </cell>
          <cell r="F2130">
            <v>105</v>
          </cell>
          <cell r="G2130">
            <v>105</v>
          </cell>
          <cell r="H2130">
            <v>69.659000000000006</v>
          </cell>
        </row>
        <row r="2131">
          <cell r="A2131" t="str">
            <v>TPSWP80</v>
          </cell>
          <cell r="B2131" t="str">
            <v>TPS WP80 WATER QUALITY METER</v>
          </cell>
          <cell r="C2131">
            <v>0</v>
          </cell>
          <cell r="D2131">
            <v>0</v>
          </cell>
          <cell r="E2131">
            <v>0</v>
          </cell>
          <cell r="F2131">
            <v>0</v>
          </cell>
          <cell r="G2131">
            <v>0</v>
          </cell>
          <cell r="H2131">
            <v>488.37200000000001</v>
          </cell>
        </row>
        <row r="2132">
          <cell r="A2132" t="str">
            <v>TPSWP81</v>
          </cell>
          <cell r="B2132" t="str">
            <v>TPS WP81 WATER QUALITY METER</v>
          </cell>
          <cell r="C2132">
            <v>0</v>
          </cell>
          <cell r="D2132">
            <v>0</v>
          </cell>
          <cell r="E2132">
            <v>0</v>
          </cell>
          <cell r="F2132">
            <v>0</v>
          </cell>
          <cell r="G2132">
            <v>0</v>
          </cell>
          <cell r="H2132">
            <v>809.23299999999995</v>
          </cell>
        </row>
        <row r="2133">
          <cell r="A2133" t="str">
            <v>TPSWP82Y</v>
          </cell>
          <cell r="B2133" t="str">
            <v>TPS WP82Y DO METER</v>
          </cell>
          <cell r="C2133">
            <v>0</v>
          </cell>
          <cell r="D2133">
            <v>0</v>
          </cell>
          <cell r="E2133">
            <v>0</v>
          </cell>
          <cell r="F2133">
            <v>0</v>
          </cell>
          <cell r="G2133">
            <v>0</v>
          </cell>
          <cell r="H2133">
            <v>1141.1969999999999</v>
          </cell>
        </row>
        <row r="2134">
          <cell r="A2134" t="str">
            <v>TPSWP84</v>
          </cell>
          <cell r="B2134" t="str">
            <v>TPS WATER QUALITY METER (COND/SAL/TEMP)</v>
          </cell>
          <cell r="C2134">
            <v>804</v>
          </cell>
          <cell r="D2134">
            <v>995</v>
          </cell>
          <cell r="E2134">
            <v>995</v>
          </cell>
          <cell r="F2134">
            <v>995</v>
          </cell>
          <cell r="G2134">
            <v>995</v>
          </cell>
          <cell r="H2134">
            <v>765.375</v>
          </cell>
          <cell r="I2134">
            <v>39884</v>
          </cell>
        </row>
        <row r="2135">
          <cell r="A2135" t="str">
            <v>TPSWP87</v>
          </cell>
          <cell r="B2135" t="str">
            <v>WP87 MULTI LOGGING THERMOMETER</v>
          </cell>
          <cell r="C2135">
            <v>375</v>
          </cell>
          <cell r="D2135">
            <v>375</v>
          </cell>
          <cell r="E2135">
            <v>375</v>
          </cell>
          <cell r="F2135">
            <v>375</v>
          </cell>
          <cell r="G2135">
            <v>375</v>
          </cell>
          <cell r="H2135">
            <v>279.07</v>
          </cell>
        </row>
        <row r="2136">
          <cell r="A2136" t="str">
            <v>TPSWP88</v>
          </cell>
          <cell r="B2136" t="str">
            <v>TPS WP88 TURBIDITY METER</v>
          </cell>
          <cell r="C2136">
            <v>1895</v>
          </cell>
          <cell r="D2136">
            <v>2450</v>
          </cell>
          <cell r="E2136">
            <v>2450</v>
          </cell>
          <cell r="F2136">
            <v>2450</v>
          </cell>
          <cell r="G2136">
            <v>2450</v>
          </cell>
          <cell r="H2136">
            <v>1636.5730000000001</v>
          </cell>
          <cell r="I2136">
            <v>40071</v>
          </cell>
        </row>
        <row r="2137">
          <cell r="A2137" t="str">
            <v>TPSWP88C</v>
          </cell>
          <cell r="B2137" t="str">
            <v>PROTECTOR COVER FOR WP88</v>
          </cell>
          <cell r="C2137">
            <v>100</v>
          </cell>
          <cell r="D2137">
            <v>125</v>
          </cell>
          <cell r="E2137">
            <v>125</v>
          </cell>
          <cell r="F2137">
            <v>125</v>
          </cell>
          <cell r="G2137">
            <v>125</v>
          </cell>
          <cell r="H2137">
            <v>126.68899999999999</v>
          </cell>
        </row>
        <row r="2138">
          <cell r="A2138" t="str">
            <v>TRAADBO</v>
          </cell>
          <cell r="B2138" t="str">
            <v>KAINGA TRANSDUCER AIR DRY BOTTLE</v>
          </cell>
          <cell r="C2138">
            <v>105.3</v>
          </cell>
          <cell r="D2138">
            <v>105.3</v>
          </cell>
          <cell r="E2138">
            <v>105.3</v>
          </cell>
          <cell r="F2138">
            <v>105.3</v>
          </cell>
          <cell r="G2138">
            <v>105.3</v>
          </cell>
          <cell r="H2138">
            <v>0</v>
          </cell>
        </row>
        <row r="2139">
          <cell r="A2139" t="str">
            <v>TRAADPC</v>
          </cell>
          <cell r="B2139" t="str">
            <v>PCB  TRANSDUCER A TO D CONVERTER</v>
          </cell>
          <cell r="C2139">
            <v>236.61</v>
          </cell>
          <cell r="D2139">
            <v>236.61</v>
          </cell>
          <cell r="E2139">
            <v>236.61</v>
          </cell>
          <cell r="F2139">
            <v>236.61</v>
          </cell>
          <cell r="G2139">
            <v>236.61</v>
          </cell>
          <cell r="H2139">
            <v>0</v>
          </cell>
        </row>
        <row r="2140">
          <cell r="A2140" t="str">
            <v>TRABOSS</v>
          </cell>
          <cell r="B2140" t="str">
            <v>KAINGA TRANSDUCER BODY STAINLESS STEEL</v>
          </cell>
          <cell r="C2140">
            <v>106.05</v>
          </cell>
          <cell r="D2140">
            <v>131.30000000000001</v>
          </cell>
          <cell r="E2140">
            <v>131.30000000000001</v>
          </cell>
          <cell r="F2140">
            <v>131.30000000000001</v>
          </cell>
          <cell r="G2140">
            <v>131.30000000000001</v>
          </cell>
          <cell r="H2140">
            <v>0</v>
          </cell>
          <cell r="I2140">
            <v>39883</v>
          </cell>
        </row>
        <row r="2141">
          <cell r="A2141" t="str">
            <v>TRACA05</v>
          </cell>
          <cell r="B2141" t="str">
            <v>TRANSDUCER TEMPERATURE HEAD (5M RANGE)</v>
          </cell>
          <cell r="C2141">
            <v>385</v>
          </cell>
          <cell r="D2141">
            <v>385</v>
          </cell>
          <cell r="E2141">
            <v>385</v>
          </cell>
          <cell r="F2141">
            <v>385</v>
          </cell>
          <cell r="G2141">
            <v>385</v>
          </cell>
          <cell r="H2141">
            <v>0</v>
          </cell>
        </row>
        <row r="2142">
          <cell r="A2142" t="str">
            <v>TRACA10</v>
          </cell>
          <cell r="B2142" t="str">
            <v>TRANSDUCER TEMPERATURE HEAD (10M RANGE)</v>
          </cell>
          <cell r="C2142">
            <v>378</v>
          </cell>
          <cell r="D2142">
            <v>468</v>
          </cell>
          <cell r="E2142">
            <v>468</v>
          </cell>
          <cell r="F2142">
            <v>468</v>
          </cell>
          <cell r="G2142">
            <v>468</v>
          </cell>
          <cell r="H2142">
            <v>0</v>
          </cell>
          <cell r="I2142">
            <v>39884</v>
          </cell>
        </row>
        <row r="2143">
          <cell r="A2143" t="str">
            <v>TRACA20</v>
          </cell>
          <cell r="B2143" t="str">
            <v>TRANSDUCER TEMPERATURE HEAD (20M RANGE)</v>
          </cell>
          <cell r="C2143">
            <v>495</v>
          </cell>
          <cell r="D2143">
            <v>495</v>
          </cell>
          <cell r="E2143">
            <v>495</v>
          </cell>
          <cell r="F2143">
            <v>495</v>
          </cell>
          <cell r="G2143">
            <v>495</v>
          </cell>
          <cell r="H2143">
            <v>0</v>
          </cell>
        </row>
        <row r="2144">
          <cell r="A2144" t="str">
            <v>TRACONY</v>
          </cell>
          <cell r="B2144" t="str">
            <v>"TRANSDUCER MALE NYLON CONNECTOR 3_8"" N</v>
          </cell>
          <cell r="C2144">
            <v>15</v>
          </cell>
          <cell r="D2144">
            <v>15</v>
          </cell>
          <cell r="E2144">
            <v>15</v>
          </cell>
          <cell r="F2144">
            <v>15</v>
          </cell>
          <cell r="G2144">
            <v>15</v>
          </cell>
          <cell r="H2144">
            <v>0</v>
          </cell>
        </row>
        <row r="2145">
          <cell r="A2145" t="str">
            <v>TRAE010</v>
          </cell>
          <cell r="B2145" t="str">
            <v>TRANSDUCER  ELEMENT MPX10D MOTOROLA 0-1.</v>
          </cell>
          <cell r="C2145">
            <v>30.84</v>
          </cell>
          <cell r="D2145">
            <v>30.84</v>
          </cell>
          <cell r="E2145">
            <v>30.84</v>
          </cell>
          <cell r="F2145">
            <v>30.84</v>
          </cell>
          <cell r="G2145">
            <v>30.84</v>
          </cell>
          <cell r="H2145">
            <v>0</v>
          </cell>
        </row>
        <row r="2146">
          <cell r="A2146" t="str">
            <v>TRAE050</v>
          </cell>
          <cell r="B2146" t="str">
            <v>TRANSDUCER ELEMENT MPX50D MOTOROLA 0-7.5</v>
          </cell>
          <cell r="C2146">
            <v>43</v>
          </cell>
          <cell r="D2146">
            <v>43</v>
          </cell>
          <cell r="E2146">
            <v>43</v>
          </cell>
          <cell r="F2146">
            <v>43</v>
          </cell>
          <cell r="G2146">
            <v>43</v>
          </cell>
          <cell r="H2146">
            <v>0</v>
          </cell>
        </row>
        <row r="2147">
          <cell r="A2147" t="str">
            <v>TRAE100</v>
          </cell>
          <cell r="B2147" t="str">
            <v>TRANSDUCER ELEMENT MPX100D MOTOROLA 0-15</v>
          </cell>
          <cell r="C2147">
            <v>42.41</v>
          </cell>
          <cell r="D2147">
            <v>42.41</v>
          </cell>
          <cell r="E2147">
            <v>42.41</v>
          </cell>
          <cell r="F2147">
            <v>42.41</v>
          </cell>
          <cell r="G2147">
            <v>42.41</v>
          </cell>
          <cell r="H2147">
            <v>0</v>
          </cell>
        </row>
        <row r="2148">
          <cell r="A2148" t="str">
            <v>TRAE10D</v>
          </cell>
          <cell r="B2148" t="str">
            <v>TRANSDUCER ELEMENT MPX10DP MOTOROLA</v>
          </cell>
          <cell r="C2148">
            <v>82.44</v>
          </cell>
          <cell r="D2148">
            <v>82.44</v>
          </cell>
          <cell r="E2148">
            <v>82.44</v>
          </cell>
          <cell r="F2148">
            <v>82.44</v>
          </cell>
          <cell r="G2148">
            <v>82.44</v>
          </cell>
          <cell r="H2148">
            <v>0</v>
          </cell>
        </row>
        <row r="2149">
          <cell r="A2149" t="str">
            <v>TRAE200</v>
          </cell>
          <cell r="B2149" t="str">
            <v>TRANDUCER ELEMENT MPX200D MOTOROLA 0-3ps</v>
          </cell>
          <cell r="C2149">
            <v>34.74</v>
          </cell>
          <cell r="D2149">
            <v>34.74</v>
          </cell>
          <cell r="E2149">
            <v>34.74</v>
          </cell>
          <cell r="F2149">
            <v>34.74</v>
          </cell>
          <cell r="G2149">
            <v>34.74</v>
          </cell>
          <cell r="H2149">
            <v>0</v>
          </cell>
        </row>
        <row r="2150">
          <cell r="A2150" t="str">
            <v>TRAE20A</v>
          </cell>
          <cell r="B2150" t="str">
            <v>TRANSDUCER ELEMENT MPX200AP MOTOROLA</v>
          </cell>
          <cell r="C2150">
            <v>85.85</v>
          </cell>
          <cell r="D2150">
            <v>85.85</v>
          </cell>
          <cell r="E2150">
            <v>85.85</v>
          </cell>
          <cell r="F2150">
            <v>85.85</v>
          </cell>
          <cell r="G2150">
            <v>85.85</v>
          </cell>
          <cell r="H2150">
            <v>0</v>
          </cell>
        </row>
        <row r="2151">
          <cell r="A2151" t="str">
            <v>TRAE50D</v>
          </cell>
          <cell r="B2151" t="str">
            <v>TRANDUCER ELEMENT MPX50DP MOTOROLA</v>
          </cell>
          <cell r="C2151">
            <v>58.64</v>
          </cell>
          <cell r="D2151">
            <v>58.64</v>
          </cell>
          <cell r="E2151">
            <v>58.64</v>
          </cell>
          <cell r="F2151">
            <v>58.64</v>
          </cell>
          <cell r="G2151">
            <v>58.64</v>
          </cell>
          <cell r="H2151">
            <v>0</v>
          </cell>
        </row>
        <row r="2152">
          <cell r="A2152" t="str">
            <v>TRAFEBA</v>
          </cell>
          <cell r="B2152" t="str">
            <v>TRANSDUCER FERRULE BACK  MONEL METAL SWA</v>
          </cell>
          <cell r="C2152">
            <v>9.17</v>
          </cell>
          <cell r="D2152">
            <v>9.17</v>
          </cell>
          <cell r="E2152">
            <v>9.17</v>
          </cell>
          <cell r="F2152">
            <v>9.17</v>
          </cell>
          <cell r="G2152">
            <v>9.17</v>
          </cell>
          <cell r="H2152">
            <v>0</v>
          </cell>
        </row>
        <row r="2153">
          <cell r="A2153" t="str">
            <v>TRAFEFR</v>
          </cell>
          <cell r="B2153" t="str">
            <v>TRANDUCER FERRULE FRONT  MONEL METAL  SW</v>
          </cell>
          <cell r="C2153">
            <v>11.18</v>
          </cell>
          <cell r="D2153">
            <v>11.18</v>
          </cell>
          <cell r="E2153">
            <v>11.18</v>
          </cell>
          <cell r="F2153">
            <v>11.18</v>
          </cell>
          <cell r="G2153">
            <v>11.18</v>
          </cell>
          <cell r="H2153">
            <v>0</v>
          </cell>
        </row>
        <row r="2154">
          <cell r="A2154" t="str">
            <v>TRAHBLA</v>
          </cell>
          <cell r="B2154" t="str">
            <v>TRANSDUCER BLANK HEAD</v>
          </cell>
          <cell r="C2154">
            <v>100</v>
          </cell>
          <cell r="D2154">
            <v>100</v>
          </cell>
          <cell r="E2154">
            <v>100</v>
          </cell>
          <cell r="F2154">
            <v>100</v>
          </cell>
          <cell r="G2154">
            <v>100</v>
          </cell>
          <cell r="H2154">
            <v>0</v>
          </cell>
        </row>
        <row r="2155">
          <cell r="A2155" t="str">
            <v>TRAHDOF</v>
          </cell>
          <cell r="B2155" t="str">
            <v>TRANSDUCER HEAD-OIL FILL INSERT</v>
          </cell>
          <cell r="C2155">
            <v>22.5</v>
          </cell>
          <cell r="D2155">
            <v>22.5</v>
          </cell>
          <cell r="E2155">
            <v>22.5</v>
          </cell>
          <cell r="F2155">
            <v>22.5</v>
          </cell>
          <cell r="G2155">
            <v>22.5</v>
          </cell>
          <cell r="H2155">
            <v>0</v>
          </cell>
        </row>
        <row r="2156">
          <cell r="A2156" t="str">
            <v>TRAKATR</v>
          </cell>
          <cell r="B2156" t="str">
            <v>TRANSDUCER KAINGA COMPLETE.</v>
          </cell>
          <cell r="C2156">
            <v>1250</v>
          </cell>
          <cell r="D2156">
            <v>1250</v>
          </cell>
          <cell r="E2156">
            <v>1250</v>
          </cell>
          <cell r="F2156">
            <v>1250</v>
          </cell>
          <cell r="G2156">
            <v>1250</v>
          </cell>
          <cell r="H2156">
            <v>0</v>
          </cell>
        </row>
        <row r="2157">
          <cell r="A2157" t="str">
            <v>TRANSISD</v>
          </cell>
          <cell r="B2157" t="str">
            <v>ISD TRANSDUCER</v>
          </cell>
          <cell r="C2157">
            <v>0</v>
          </cell>
          <cell r="D2157">
            <v>0</v>
          </cell>
          <cell r="E2157">
            <v>0</v>
          </cell>
          <cell r="F2157">
            <v>0</v>
          </cell>
          <cell r="G2157">
            <v>0</v>
          </cell>
          <cell r="H2157">
            <v>0</v>
          </cell>
        </row>
        <row r="2158">
          <cell r="A2158" t="str">
            <v>TRANUMO</v>
          </cell>
          <cell r="B2158" t="str">
            <v>TRANSDUCER NUTS  MONEL METAL SWAGELOCK</v>
          </cell>
          <cell r="C2158">
            <v>19.38</v>
          </cell>
          <cell r="D2158">
            <v>19.38</v>
          </cell>
          <cell r="E2158">
            <v>19.38</v>
          </cell>
          <cell r="F2158">
            <v>19.38</v>
          </cell>
          <cell r="G2158">
            <v>19.38</v>
          </cell>
          <cell r="H2158">
            <v>0</v>
          </cell>
        </row>
        <row r="2159">
          <cell r="A2159" t="str">
            <v>TRANUNY</v>
          </cell>
          <cell r="B2159" t="str">
            <v>TRANSDUCER NUT  NYLON SWAGELOK</v>
          </cell>
          <cell r="C2159">
            <v>6.56</v>
          </cell>
          <cell r="D2159">
            <v>6.56</v>
          </cell>
          <cell r="E2159">
            <v>6.56</v>
          </cell>
          <cell r="F2159">
            <v>6.56</v>
          </cell>
          <cell r="G2159">
            <v>6.56</v>
          </cell>
          <cell r="H2159">
            <v>0</v>
          </cell>
        </row>
        <row r="2160">
          <cell r="A2160" t="str">
            <v>TRAOSIF</v>
          </cell>
          <cell r="B2160" t="str">
            <v>TRANSDUCER OFFSET INTERFACE</v>
          </cell>
          <cell r="C2160">
            <v>225</v>
          </cell>
          <cell r="D2160">
            <v>225</v>
          </cell>
          <cell r="E2160">
            <v>225</v>
          </cell>
          <cell r="F2160">
            <v>225</v>
          </cell>
          <cell r="G2160">
            <v>225</v>
          </cell>
          <cell r="H2160">
            <v>0</v>
          </cell>
        </row>
        <row r="2161">
          <cell r="A2161" t="str">
            <v>TRAPCBB</v>
          </cell>
          <cell r="B2161" t="str">
            <v>PCB  TRANSDUCER ASSEMBLED (REVISION 2 3)</v>
          </cell>
          <cell r="C2161">
            <v>165</v>
          </cell>
          <cell r="D2161">
            <v>165</v>
          </cell>
          <cell r="E2161">
            <v>165</v>
          </cell>
          <cell r="F2161">
            <v>165</v>
          </cell>
          <cell r="G2161">
            <v>165</v>
          </cell>
          <cell r="H2161">
            <v>0</v>
          </cell>
        </row>
        <row r="2162">
          <cell r="A2162" t="str">
            <v>TRAPCBS</v>
          </cell>
          <cell r="B2162" t="str">
            <v>TRANSDUCER PCB SUPPORT</v>
          </cell>
          <cell r="C2162">
            <v>18</v>
          </cell>
          <cell r="D2162">
            <v>18</v>
          </cell>
          <cell r="E2162">
            <v>18</v>
          </cell>
          <cell r="F2162">
            <v>18</v>
          </cell>
          <cell r="G2162">
            <v>18</v>
          </cell>
          <cell r="H2162">
            <v>0</v>
          </cell>
        </row>
        <row r="2163">
          <cell r="A2163" t="str">
            <v>TRATUIN</v>
          </cell>
          <cell r="B2163" t="str">
            <v>TRANSDUCER  INSERT TUBE STAINLESS STEEL</v>
          </cell>
          <cell r="C2163">
            <v>6.68</v>
          </cell>
          <cell r="D2163">
            <v>6.68</v>
          </cell>
          <cell r="E2163">
            <v>6.68</v>
          </cell>
          <cell r="F2163">
            <v>6.68</v>
          </cell>
          <cell r="G2163">
            <v>6.68</v>
          </cell>
          <cell r="H2163">
            <v>0</v>
          </cell>
        </row>
        <row r="2164">
          <cell r="A2164" t="str">
            <v>TRATUIO</v>
          </cell>
          <cell r="B2164" t="str">
            <v>TRANSDUCER  INSERT TUBE NYLON SWAGELOCK</v>
          </cell>
          <cell r="C2164">
            <v>3.69</v>
          </cell>
          <cell r="D2164">
            <v>3.69</v>
          </cell>
          <cell r="E2164">
            <v>3.69</v>
          </cell>
          <cell r="F2164">
            <v>3.69</v>
          </cell>
          <cell r="G2164">
            <v>3.69</v>
          </cell>
          <cell r="H2164">
            <v>0</v>
          </cell>
        </row>
        <row r="2165">
          <cell r="A2165" t="str">
            <v>TRAVBAG</v>
          </cell>
          <cell r="B2165" t="str">
            <v>STREAM TRAVELLER BAG</v>
          </cell>
          <cell r="C2165">
            <v>148.05000000000001</v>
          </cell>
          <cell r="D2165">
            <v>183.69</v>
          </cell>
          <cell r="E2165">
            <v>183.69</v>
          </cell>
          <cell r="F2165">
            <v>183.69</v>
          </cell>
          <cell r="G2165">
            <v>183.69</v>
          </cell>
          <cell r="H2165">
            <v>142.75</v>
          </cell>
          <cell r="I2165">
            <v>40015</v>
          </cell>
        </row>
        <row r="2166">
          <cell r="A2166" t="str">
            <v>TRAVBOCO</v>
          </cell>
          <cell r="B2166" t="str">
            <v>TRAVELLER - CONTROL PCB COMPLETE</v>
          </cell>
          <cell r="C2166">
            <v>349</v>
          </cell>
          <cell r="D2166">
            <v>432.15</v>
          </cell>
          <cell r="E2166">
            <v>432.15</v>
          </cell>
          <cell r="F2166">
            <v>432.15</v>
          </cell>
          <cell r="G2166">
            <v>432.15</v>
          </cell>
          <cell r="H2166">
            <v>375.93</v>
          </cell>
          <cell r="I2166">
            <v>40015</v>
          </cell>
        </row>
        <row r="2167">
          <cell r="A2167" t="str">
            <v>TRAVBORE</v>
          </cell>
          <cell r="B2167" t="str">
            <v>STREAM TRAVELLER REMOTE PCB</v>
          </cell>
          <cell r="C2167">
            <v>192</v>
          </cell>
          <cell r="D2167">
            <v>236.68</v>
          </cell>
          <cell r="E2167">
            <v>236.68</v>
          </cell>
          <cell r="F2167">
            <v>236.68</v>
          </cell>
          <cell r="G2167">
            <v>236.68</v>
          </cell>
          <cell r="H2167">
            <v>189.26</v>
          </cell>
          <cell r="I2167">
            <v>40015</v>
          </cell>
        </row>
        <row r="2168">
          <cell r="A2168" t="str">
            <v>TRAVCABP</v>
          </cell>
          <cell r="B2168" t="str">
            <v>TRAVELLER POWER CABLE</v>
          </cell>
          <cell r="C2168">
            <v>60</v>
          </cell>
          <cell r="D2168">
            <v>73.37</v>
          </cell>
          <cell r="E2168">
            <v>73.37</v>
          </cell>
          <cell r="F2168">
            <v>73.37</v>
          </cell>
          <cell r="G2168">
            <v>73.37</v>
          </cell>
          <cell r="H2168">
            <v>69.781000000000006</v>
          </cell>
          <cell r="I2168">
            <v>40015</v>
          </cell>
        </row>
        <row r="2169">
          <cell r="A2169" t="str">
            <v>TRAVCBP</v>
          </cell>
          <cell r="B2169" t="str">
            <v>CONTROL BOX BATTERY PAD KIT</v>
          </cell>
          <cell r="C2169">
            <v>30</v>
          </cell>
          <cell r="D2169">
            <v>37.090000000000003</v>
          </cell>
          <cell r="E2169">
            <v>37.090000000000003</v>
          </cell>
          <cell r="F2169">
            <v>37.090000000000003</v>
          </cell>
          <cell r="G2169">
            <v>37.090000000000003</v>
          </cell>
          <cell r="H2169">
            <v>28</v>
          </cell>
          <cell r="I2169">
            <v>40017</v>
          </cell>
        </row>
        <row r="2170">
          <cell r="A2170" t="str">
            <v>TRAVCHGR</v>
          </cell>
          <cell r="B2170" t="str">
            <v>STREAM TRAVELLER CHARGER</v>
          </cell>
          <cell r="C2170">
            <v>70</v>
          </cell>
          <cell r="D2170">
            <v>70</v>
          </cell>
          <cell r="E2170">
            <v>70</v>
          </cell>
          <cell r="F2170">
            <v>70</v>
          </cell>
          <cell r="G2170">
            <v>70</v>
          </cell>
          <cell r="H2170">
            <v>62.055</v>
          </cell>
        </row>
        <row r="2171">
          <cell r="A2171" t="str">
            <v>TRAVCOBK</v>
          </cell>
          <cell r="B2171" t="str">
            <v>TRAVELLER - CONTROL BOX KIT</v>
          </cell>
          <cell r="C2171">
            <v>675</v>
          </cell>
          <cell r="D2171">
            <v>750</v>
          </cell>
          <cell r="E2171">
            <v>750</v>
          </cell>
          <cell r="F2171">
            <v>750</v>
          </cell>
          <cell r="G2171">
            <v>750</v>
          </cell>
          <cell r="H2171">
            <v>637.55899999999997</v>
          </cell>
          <cell r="I2171">
            <v>40017</v>
          </cell>
        </row>
        <row r="2172">
          <cell r="A2172" t="str">
            <v>TRAVCOM</v>
          </cell>
          <cell r="B2172" t="str">
            <v>STREAM TRAVELLER</v>
          </cell>
          <cell r="C2172">
            <v>3450</v>
          </cell>
          <cell r="D2172">
            <v>3570</v>
          </cell>
          <cell r="E2172">
            <v>3570</v>
          </cell>
          <cell r="F2172">
            <v>3570</v>
          </cell>
          <cell r="G2172">
            <v>3570</v>
          </cell>
          <cell r="H2172">
            <v>2763.9969999999998</v>
          </cell>
          <cell r="I2172">
            <v>40161</v>
          </cell>
        </row>
        <row r="2173">
          <cell r="A2173" t="str">
            <v>TRAVCONC</v>
          </cell>
          <cell r="B2173" t="str">
            <v>TRAVELLER - CONTROL BOX COMPLETE</v>
          </cell>
          <cell r="C2173">
            <v>748</v>
          </cell>
          <cell r="D2173">
            <v>925.93</v>
          </cell>
          <cell r="E2173">
            <v>925.93</v>
          </cell>
          <cell r="F2173">
            <v>925.93</v>
          </cell>
          <cell r="G2173">
            <v>925.93</v>
          </cell>
          <cell r="H2173">
            <v>1158.5450000000001</v>
          </cell>
          <cell r="I2173">
            <v>40017</v>
          </cell>
        </row>
        <row r="2174">
          <cell r="A2174" t="str">
            <v>TRAVLINE</v>
          </cell>
          <cell r="B2174" t="str">
            <v>STREAM TRAVELLER SURVEY LINE</v>
          </cell>
          <cell r="C2174">
            <v>88</v>
          </cell>
          <cell r="D2174">
            <v>88</v>
          </cell>
          <cell r="E2174">
            <v>88</v>
          </cell>
          <cell r="F2174">
            <v>88</v>
          </cell>
          <cell r="G2174">
            <v>88</v>
          </cell>
          <cell r="H2174">
            <v>108.873</v>
          </cell>
        </row>
        <row r="2175">
          <cell r="A2175" t="str">
            <v>TRAVMEC</v>
          </cell>
          <cell r="B2175" t="str">
            <v>TRAVELLER - MECHANICAL ASSEMBLY</v>
          </cell>
          <cell r="C2175">
            <v>660</v>
          </cell>
          <cell r="D2175">
            <v>816.31</v>
          </cell>
          <cell r="E2175">
            <v>816.31</v>
          </cell>
          <cell r="F2175">
            <v>816.31</v>
          </cell>
          <cell r="G2175">
            <v>816.31</v>
          </cell>
          <cell r="H2175">
            <v>622.68600000000004</v>
          </cell>
          <cell r="I2175">
            <v>40015</v>
          </cell>
        </row>
        <row r="2176">
          <cell r="A2176" t="str">
            <v>TRAVMO</v>
          </cell>
          <cell r="B2176" t="str">
            <v>MOTOR 12V 3.9W 54RPW</v>
          </cell>
          <cell r="C2176">
            <v>100</v>
          </cell>
          <cell r="D2176">
            <v>120</v>
          </cell>
          <cell r="E2176">
            <v>120</v>
          </cell>
          <cell r="F2176">
            <v>120</v>
          </cell>
          <cell r="G2176">
            <v>120</v>
          </cell>
          <cell r="H2176">
            <v>127.758</v>
          </cell>
        </row>
        <row r="2177">
          <cell r="A2177" t="str">
            <v>TRAVMOT</v>
          </cell>
          <cell r="B2177" t="str">
            <v>TRAVELLER - MOTOR ASSEMBLY</v>
          </cell>
          <cell r="C2177">
            <v>204</v>
          </cell>
          <cell r="D2177">
            <v>251.72</v>
          </cell>
          <cell r="E2177">
            <v>251.72</v>
          </cell>
          <cell r="F2177">
            <v>251.72</v>
          </cell>
          <cell r="G2177">
            <v>251.72</v>
          </cell>
          <cell r="H2177">
            <v>216.48599999999999</v>
          </cell>
          <cell r="I2177">
            <v>40015</v>
          </cell>
        </row>
        <row r="2178">
          <cell r="A2178" t="str">
            <v>TRAVOR</v>
          </cell>
          <cell r="B2178" t="str">
            <v>TRAVELLER O-RING</v>
          </cell>
          <cell r="C2178">
            <v>0.8</v>
          </cell>
          <cell r="D2178">
            <v>0.8</v>
          </cell>
          <cell r="E2178">
            <v>0.8</v>
          </cell>
          <cell r="F2178">
            <v>0.8</v>
          </cell>
          <cell r="G2178">
            <v>0.8</v>
          </cell>
          <cell r="H2178">
            <v>0.46</v>
          </cell>
        </row>
        <row r="2179">
          <cell r="A2179" t="str">
            <v>TRAVPIN</v>
          </cell>
          <cell r="B2179" t="str">
            <v>EASY RELEASE LOCK PIN 1/4" X 1"</v>
          </cell>
          <cell r="C2179">
            <v>14.55</v>
          </cell>
          <cell r="D2179">
            <v>18.02</v>
          </cell>
          <cell r="E2179">
            <v>18.05</v>
          </cell>
          <cell r="F2179">
            <v>18.02</v>
          </cell>
          <cell r="G2179">
            <v>18.02</v>
          </cell>
          <cell r="H2179">
            <v>13.86</v>
          </cell>
        </row>
        <row r="2180">
          <cell r="A2180" t="str">
            <v>TRAVPUL</v>
          </cell>
          <cell r="B2180" t="str">
            <v>TRAVELLER - PULLEY ASSEMBLY</v>
          </cell>
          <cell r="C2180">
            <v>414</v>
          </cell>
          <cell r="D2180">
            <v>512.5</v>
          </cell>
          <cell r="E2180">
            <v>512.5</v>
          </cell>
          <cell r="F2180">
            <v>512.5</v>
          </cell>
          <cell r="G2180">
            <v>512.5</v>
          </cell>
          <cell r="H2180">
            <v>377.416</v>
          </cell>
          <cell r="I2180">
            <v>40015</v>
          </cell>
        </row>
        <row r="2181">
          <cell r="A2181" t="str">
            <v>TRAVREBK</v>
          </cell>
          <cell r="B2181" t="str">
            <v>STREAM TRAVELLER REMOTE BOX KIIT</v>
          </cell>
          <cell r="C2181">
            <v>70</v>
          </cell>
          <cell r="D2181">
            <v>86.22</v>
          </cell>
          <cell r="E2181">
            <v>86.22</v>
          </cell>
          <cell r="F2181">
            <v>86.22</v>
          </cell>
          <cell r="G2181">
            <v>86.22</v>
          </cell>
          <cell r="H2181">
            <v>135.684</v>
          </cell>
          <cell r="I2181">
            <v>40017</v>
          </cell>
        </row>
        <row r="2182">
          <cell r="A2182" t="str">
            <v>TRAVREBO</v>
          </cell>
          <cell r="B2182" t="str">
            <v>TRAVELLER REMOTE BOX (DRILLED)</v>
          </cell>
          <cell r="C2182">
            <v>30.45</v>
          </cell>
          <cell r="D2182">
            <v>37</v>
          </cell>
          <cell r="E2182">
            <v>37</v>
          </cell>
          <cell r="F2182">
            <v>37</v>
          </cell>
          <cell r="G2182">
            <v>37</v>
          </cell>
          <cell r="H2182">
            <v>27.954999999999998</v>
          </cell>
          <cell r="I2182">
            <v>40105</v>
          </cell>
        </row>
        <row r="2183">
          <cell r="A2183" t="str">
            <v>TRAVREM</v>
          </cell>
          <cell r="B2183" t="str">
            <v>STREAM TRAVELLER REMOTE - COMPLETE</v>
          </cell>
          <cell r="C2183">
            <v>303</v>
          </cell>
          <cell r="D2183">
            <v>370</v>
          </cell>
          <cell r="E2183">
            <v>370</v>
          </cell>
          <cell r="F2183">
            <v>370</v>
          </cell>
          <cell r="G2183">
            <v>370</v>
          </cell>
          <cell r="H2183">
            <v>302.95100000000002</v>
          </cell>
          <cell r="I2183">
            <v>40017</v>
          </cell>
        </row>
        <row r="2184">
          <cell r="A2184" t="str">
            <v>TRAVSHK</v>
          </cell>
          <cell r="B2184" t="str">
            <v>SPRING HOOK WITH EYELET 4mm</v>
          </cell>
          <cell r="C2184">
            <v>5</v>
          </cell>
          <cell r="D2184">
            <v>6.5</v>
          </cell>
          <cell r="E2184">
            <v>6.5</v>
          </cell>
          <cell r="F2184">
            <v>6.5</v>
          </cell>
          <cell r="G2184">
            <v>6.5</v>
          </cell>
          <cell r="H2184">
            <v>4.43</v>
          </cell>
        </row>
        <row r="2185">
          <cell r="A2185" t="str">
            <v>TRAVWEI</v>
          </cell>
          <cell r="B2185" t="str">
            <v>TRAVELLER - COUNTERWEIGHT</v>
          </cell>
          <cell r="C2185">
            <v>30</v>
          </cell>
          <cell r="D2185">
            <v>35.79</v>
          </cell>
          <cell r="E2185">
            <v>35.79</v>
          </cell>
          <cell r="F2185">
            <v>35.79</v>
          </cell>
          <cell r="G2185">
            <v>35.79</v>
          </cell>
          <cell r="H2185">
            <v>28.5</v>
          </cell>
          <cell r="I2185">
            <v>40015</v>
          </cell>
        </row>
        <row r="2186">
          <cell r="A2186" t="str">
            <v>TRAWHAD</v>
          </cell>
          <cell r="B2186" t="str">
            <v>TRANSDUCER WELL HEAD ADAPTER</v>
          </cell>
          <cell r="C2186">
            <v>220</v>
          </cell>
          <cell r="D2186">
            <v>220</v>
          </cell>
          <cell r="E2186">
            <v>220</v>
          </cell>
          <cell r="F2186">
            <v>220</v>
          </cell>
          <cell r="G2186">
            <v>220</v>
          </cell>
          <cell r="H2186">
            <v>0</v>
          </cell>
        </row>
        <row r="2187">
          <cell r="A2187" t="str">
            <v>TRN-BC327A</v>
          </cell>
          <cell r="B2187" t="str">
            <v>TRANSISTOR BC327 A B C</v>
          </cell>
          <cell r="C2187">
            <v>0.13</v>
          </cell>
          <cell r="D2187">
            <v>0.13</v>
          </cell>
          <cell r="E2187">
            <v>0.13</v>
          </cell>
          <cell r="F2187">
            <v>0.13</v>
          </cell>
          <cell r="G2187">
            <v>0.13</v>
          </cell>
          <cell r="H2187">
            <v>0.28000000000000003</v>
          </cell>
        </row>
        <row r="2188">
          <cell r="A2188" t="str">
            <v>TRN-C106A</v>
          </cell>
          <cell r="B2188" t="str">
            <v>TRANSISTOR C106A OR B</v>
          </cell>
          <cell r="C2188">
            <v>1.48</v>
          </cell>
          <cell r="D2188">
            <v>1.48</v>
          </cell>
          <cell r="E2188">
            <v>1.48</v>
          </cell>
          <cell r="F2188">
            <v>1.48</v>
          </cell>
          <cell r="G2188">
            <v>1.48</v>
          </cell>
          <cell r="H2188">
            <v>0.46100000000000002</v>
          </cell>
        </row>
        <row r="2189">
          <cell r="A2189" t="str">
            <v>TRN-MPSA13</v>
          </cell>
          <cell r="B2189" t="str">
            <v>TRANSISTOR MPSA12 OR 13</v>
          </cell>
          <cell r="C2189">
            <v>1.8</v>
          </cell>
          <cell r="D2189">
            <v>1.8</v>
          </cell>
          <cell r="E2189">
            <v>1.8</v>
          </cell>
          <cell r="F2189">
            <v>1.8</v>
          </cell>
          <cell r="G2189">
            <v>1.8</v>
          </cell>
          <cell r="H2189">
            <v>0</v>
          </cell>
        </row>
        <row r="2190">
          <cell r="A2190" t="str">
            <v>TRN-TIP31C</v>
          </cell>
          <cell r="B2190" t="str">
            <v>TRANSISTOR TIP31C</v>
          </cell>
          <cell r="C2190">
            <v>1.7</v>
          </cell>
          <cell r="D2190">
            <v>1.7</v>
          </cell>
          <cell r="E2190">
            <v>1.7</v>
          </cell>
          <cell r="F2190">
            <v>1.7</v>
          </cell>
          <cell r="G2190">
            <v>1.7</v>
          </cell>
          <cell r="H2190">
            <v>2.1</v>
          </cell>
        </row>
        <row r="2191">
          <cell r="A2191" t="str">
            <v>TRN-TIP32A</v>
          </cell>
          <cell r="B2191" t="str">
            <v>TRANSISTOR TIP32A</v>
          </cell>
          <cell r="C2191">
            <v>3.5</v>
          </cell>
          <cell r="D2191">
            <v>3.5</v>
          </cell>
          <cell r="E2191">
            <v>3.5</v>
          </cell>
          <cell r="F2191">
            <v>3.5</v>
          </cell>
          <cell r="G2191">
            <v>3.5</v>
          </cell>
          <cell r="H2191">
            <v>0.96699999999999997</v>
          </cell>
        </row>
        <row r="2192">
          <cell r="A2192" t="str">
            <v>TRN-TL431</v>
          </cell>
          <cell r="B2192" t="str">
            <v>TRANSISTOR  SHUNT REGULATOR TL431</v>
          </cell>
          <cell r="C2192">
            <v>1.4</v>
          </cell>
          <cell r="D2192">
            <v>1.4</v>
          </cell>
          <cell r="E2192">
            <v>1.4</v>
          </cell>
          <cell r="F2192">
            <v>1.4</v>
          </cell>
          <cell r="G2192">
            <v>1.4</v>
          </cell>
          <cell r="H2192">
            <v>0</v>
          </cell>
        </row>
        <row r="2193">
          <cell r="A2193" t="str">
            <v>TRN55NE</v>
          </cell>
          <cell r="B2193" t="str">
            <v>TRANSISTOR  FIELD EFFECT (FET) STP55NE06</v>
          </cell>
          <cell r="C2193">
            <v>15</v>
          </cell>
          <cell r="D2193">
            <v>15</v>
          </cell>
          <cell r="E2193">
            <v>15</v>
          </cell>
          <cell r="F2193">
            <v>15</v>
          </cell>
          <cell r="G2193">
            <v>15</v>
          </cell>
          <cell r="H2193">
            <v>5</v>
          </cell>
        </row>
        <row r="2194">
          <cell r="A2194" t="str">
            <v>TRNIR140</v>
          </cell>
          <cell r="B2194" t="str">
            <v>TRANSISTOR  FIELD EFFECT IRFP140</v>
          </cell>
          <cell r="C2194">
            <v>12</v>
          </cell>
          <cell r="D2194">
            <v>12</v>
          </cell>
          <cell r="E2194">
            <v>12</v>
          </cell>
          <cell r="F2194">
            <v>12</v>
          </cell>
          <cell r="G2194">
            <v>12</v>
          </cell>
          <cell r="H2194">
            <v>2.96</v>
          </cell>
        </row>
        <row r="2195">
          <cell r="A2195" t="str">
            <v>TRNIR50</v>
          </cell>
          <cell r="B2195" t="str">
            <v>TRANSISTOR  FIELD EFFECT IRFPE50</v>
          </cell>
          <cell r="C2195">
            <v>87.35</v>
          </cell>
          <cell r="D2195">
            <v>87.35</v>
          </cell>
          <cell r="E2195">
            <v>87.35</v>
          </cell>
          <cell r="F2195">
            <v>87.35</v>
          </cell>
          <cell r="G2195">
            <v>87.35</v>
          </cell>
          <cell r="H2195">
            <v>8.02</v>
          </cell>
        </row>
        <row r="2196">
          <cell r="A2196" t="str">
            <v>TRNSTW12</v>
          </cell>
          <cell r="B2196" t="str">
            <v>TRANSISTOR FET STW12NK802</v>
          </cell>
          <cell r="C2196">
            <v>13</v>
          </cell>
          <cell r="D2196">
            <v>13</v>
          </cell>
          <cell r="E2196">
            <v>13</v>
          </cell>
          <cell r="F2196">
            <v>13</v>
          </cell>
          <cell r="G2196">
            <v>13</v>
          </cell>
          <cell r="H2196">
            <v>10.1</v>
          </cell>
        </row>
        <row r="2197">
          <cell r="A2197" t="str">
            <v>TRUBOLT</v>
          </cell>
          <cell r="B2197" t="str">
            <v>TRUBOLT M16 x 125mm</v>
          </cell>
          <cell r="C2197">
            <v>4</v>
          </cell>
          <cell r="D2197">
            <v>4</v>
          </cell>
          <cell r="E2197">
            <v>4</v>
          </cell>
          <cell r="F2197">
            <v>4</v>
          </cell>
          <cell r="G2197">
            <v>4</v>
          </cell>
          <cell r="H2197">
            <v>2.8</v>
          </cell>
        </row>
        <row r="2198">
          <cell r="A2198" t="str">
            <v>TRUN40</v>
          </cell>
          <cell r="B2198" t="str">
            <v>TRUNKING HPM OPEN SLOTTED 40x40mm</v>
          </cell>
          <cell r="C2198">
            <v>30.3</v>
          </cell>
          <cell r="D2198">
            <v>30.3</v>
          </cell>
          <cell r="E2198">
            <v>30.3</v>
          </cell>
          <cell r="F2198">
            <v>30.3</v>
          </cell>
          <cell r="G2198">
            <v>30.3</v>
          </cell>
          <cell r="H2198">
            <v>23.31</v>
          </cell>
        </row>
        <row r="2199">
          <cell r="A2199" t="str">
            <v>TRUNMAR</v>
          </cell>
          <cell r="B2199" t="str">
            <v>TRUNKING MARLEY MINI 40x40x3 WHITE</v>
          </cell>
          <cell r="C2199">
            <v>60</v>
          </cell>
          <cell r="D2199">
            <v>60</v>
          </cell>
          <cell r="E2199">
            <v>60</v>
          </cell>
          <cell r="F2199">
            <v>60</v>
          </cell>
          <cell r="G2199">
            <v>60</v>
          </cell>
          <cell r="H2199">
            <v>26.53</v>
          </cell>
        </row>
        <row r="2200">
          <cell r="A2200" t="str">
            <v>ULTSOLO</v>
          </cell>
          <cell r="B2200" t="str">
            <v>SOFTWARE PC DATA-LOGGING.VER 2.1</v>
          </cell>
          <cell r="C2200">
            <v>249</v>
          </cell>
          <cell r="D2200">
            <v>249</v>
          </cell>
          <cell r="E2200">
            <v>249</v>
          </cell>
          <cell r="F2200">
            <v>249</v>
          </cell>
          <cell r="G2200">
            <v>249</v>
          </cell>
          <cell r="H2200">
            <v>0</v>
          </cell>
        </row>
        <row r="2201">
          <cell r="A2201" t="str">
            <v>UNIADFL</v>
          </cell>
          <cell r="B2201" t="str">
            <v>FLOAT ADAPTER TO KAINGA FLOAT LINE</v>
          </cell>
          <cell r="C2201">
            <v>27</v>
          </cell>
          <cell r="D2201">
            <v>27</v>
          </cell>
          <cell r="E2201">
            <v>27</v>
          </cell>
          <cell r="F2201">
            <v>27</v>
          </cell>
          <cell r="G2201">
            <v>27</v>
          </cell>
          <cell r="H2201">
            <v>0</v>
          </cell>
        </row>
        <row r="2202">
          <cell r="A2202" t="str">
            <v>UNIADPU</v>
          </cell>
          <cell r="B2202" t="str">
            <v>ENCODER ADAPTER TO KAINGA 100mm PULLEY</v>
          </cell>
          <cell r="C2202">
            <v>40</v>
          </cell>
          <cell r="D2202">
            <v>40</v>
          </cell>
          <cell r="E2202">
            <v>40</v>
          </cell>
          <cell r="F2202">
            <v>40</v>
          </cell>
          <cell r="G2202">
            <v>40</v>
          </cell>
          <cell r="H2202">
            <v>0</v>
          </cell>
        </row>
        <row r="2203">
          <cell r="A2203" t="str">
            <v>UNIAMDF</v>
          </cell>
          <cell r="B2203" t="str">
            <v>AMPLIFIER DC DIFFERENTAL</v>
          </cell>
          <cell r="C2203">
            <v>71.489999999999995</v>
          </cell>
          <cell r="D2203">
            <v>71.489999999999995</v>
          </cell>
          <cell r="E2203">
            <v>71.489999999999995</v>
          </cell>
          <cell r="F2203">
            <v>71.489999999999995</v>
          </cell>
          <cell r="G2203">
            <v>71.489999999999995</v>
          </cell>
          <cell r="H2203">
            <v>0</v>
          </cell>
        </row>
        <row r="2204">
          <cell r="A2204" t="str">
            <v>UNIAMUN</v>
          </cell>
          <cell r="B2204" t="str">
            <v>ISOLATED UNIVERSAL AMPLIFIER</v>
          </cell>
          <cell r="C2204">
            <v>150</v>
          </cell>
          <cell r="D2204">
            <v>150</v>
          </cell>
          <cell r="E2204">
            <v>150</v>
          </cell>
          <cell r="F2204">
            <v>150</v>
          </cell>
          <cell r="G2204">
            <v>150</v>
          </cell>
          <cell r="H2204">
            <v>74.418999999999997</v>
          </cell>
        </row>
        <row r="2205">
          <cell r="A2205" t="str">
            <v>UNIBAAL</v>
          </cell>
          <cell r="B2205" t="str">
            <v>STARLOGGER BATTERY PACK</v>
          </cell>
          <cell r="C2205">
            <v>61</v>
          </cell>
          <cell r="D2205">
            <v>61</v>
          </cell>
          <cell r="E2205">
            <v>61</v>
          </cell>
          <cell r="F2205">
            <v>61</v>
          </cell>
          <cell r="G2205">
            <v>61</v>
          </cell>
          <cell r="H2205">
            <v>49.064999999999998</v>
          </cell>
          <cell r="I2205">
            <v>40248</v>
          </cell>
        </row>
        <row r="2206">
          <cell r="A2206" t="str">
            <v>UNIBAEN</v>
          </cell>
          <cell r="B2206" t="str">
            <v>ENCODER BATTERY PACK</v>
          </cell>
          <cell r="C2206">
            <v>35.6</v>
          </cell>
          <cell r="D2206">
            <v>35.6</v>
          </cell>
          <cell r="E2206">
            <v>35.6</v>
          </cell>
          <cell r="F2206">
            <v>35.6</v>
          </cell>
          <cell r="G2206">
            <v>35.6</v>
          </cell>
          <cell r="H2206">
            <v>0</v>
          </cell>
        </row>
        <row r="2207">
          <cell r="A2207" t="str">
            <v>UNIBAXR</v>
          </cell>
          <cell r="B2207" t="str">
            <v>LITHIUM BATTERY FOR XRT</v>
          </cell>
          <cell r="C2207">
            <v>113</v>
          </cell>
          <cell r="D2207">
            <v>140</v>
          </cell>
          <cell r="E2207">
            <v>140</v>
          </cell>
          <cell r="F2207">
            <v>140</v>
          </cell>
          <cell r="G2207">
            <v>140</v>
          </cell>
          <cell r="H2207">
            <v>0</v>
          </cell>
          <cell r="I2207">
            <v>39884</v>
          </cell>
        </row>
        <row r="2208">
          <cell r="A2208" t="str">
            <v>UNIBECR</v>
          </cell>
          <cell r="B2208" t="str">
            <v>BEADED FLOATLINEFLOAT CRIMP 1MM</v>
          </cell>
          <cell r="C2208">
            <v>4</v>
          </cell>
          <cell r="D2208">
            <v>4</v>
          </cell>
          <cell r="E2208">
            <v>4</v>
          </cell>
          <cell r="F2208">
            <v>4</v>
          </cell>
          <cell r="G2208">
            <v>4</v>
          </cell>
          <cell r="H2208">
            <v>3.4169999999999998</v>
          </cell>
        </row>
        <row r="2209">
          <cell r="A2209" t="str">
            <v>UNIBEFL</v>
          </cell>
          <cell r="B2209" t="str">
            <v>BEADED FLOATLINE</v>
          </cell>
          <cell r="C2209">
            <v>19</v>
          </cell>
          <cell r="D2209">
            <v>22.5</v>
          </cell>
          <cell r="E2209">
            <v>22.5</v>
          </cell>
          <cell r="F2209">
            <v>22.5</v>
          </cell>
          <cell r="G2209">
            <v>22.5</v>
          </cell>
          <cell r="H2209">
            <v>17.556000000000001</v>
          </cell>
          <cell r="I2209">
            <v>40079</v>
          </cell>
        </row>
        <row r="2210">
          <cell r="A2210" t="str">
            <v>UNIBLLA</v>
          </cell>
          <cell r="B2210" t="str">
            <v>STARLOGGER BLUE FACED LABEL</v>
          </cell>
          <cell r="C2210">
            <v>102.37</v>
          </cell>
          <cell r="D2210">
            <v>102.37</v>
          </cell>
          <cell r="E2210">
            <v>102.37</v>
          </cell>
          <cell r="F2210">
            <v>102.37</v>
          </cell>
          <cell r="G2210">
            <v>102.37</v>
          </cell>
          <cell r="H2210">
            <v>0</v>
          </cell>
        </row>
        <row r="2211">
          <cell r="A2211" t="str">
            <v>UNIBRIP</v>
          </cell>
          <cell r="B2211" t="str">
            <v>BRACKET IDLER PULLEY</v>
          </cell>
          <cell r="C2211">
            <v>25</v>
          </cell>
          <cell r="D2211">
            <v>25</v>
          </cell>
          <cell r="E2211">
            <v>25</v>
          </cell>
          <cell r="F2211">
            <v>25</v>
          </cell>
          <cell r="G2211">
            <v>25</v>
          </cell>
          <cell r="H2211">
            <v>0</v>
          </cell>
        </row>
        <row r="2212">
          <cell r="A2212" t="str">
            <v>UNICON</v>
          </cell>
          <cell r="B2212" t="str">
            <v>6536 CONDUCTIVITY INSTRUMENT (NO</v>
          </cell>
          <cell r="C2212">
            <v>1295</v>
          </cell>
          <cell r="D2212">
            <v>1550</v>
          </cell>
          <cell r="E2212">
            <v>1550</v>
          </cell>
          <cell r="F2212">
            <v>1550</v>
          </cell>
          <cell r="G2212">
            <v>1550</v>
          </cell>
          <cell r="H2212">
            <v>1294.9369999999999</v>
          </cell>
          <cell r="I2212">
            <v>39878</v>
          </cell>
        </row>
        <row r="2213">
          <cell r="A2213" t="str">
            <v>UNICON10</v>
          </cell>
          <cell r="B2213" t="str">
            <v>CONDUCTIVITY METER 6536 C-W 10m PROBE</v>
          </cell>
          <cell r="C2213">
            <v>2495</v>
          </cell>
          <cell r="D2213">
            <v>2495</v>
          </cell>
          <cell r="E2213">
            <v>2495</v>
          </cell>
          <cell r="F2213">
            <v>2495</v>
          </cell>
          <cell r="G2213">
            <v>2495</v>
          </cell>
          <cell r="H2213">
            <v>1717.9760000000001</v>
          </cell>
          <cell r="I2213">
            <v>40259</v>
          </cell>
        </row>
        <row r="2214">
          <cell r="A2214" t="str">
            <v>UNICON20</v>
          </cell>
          <cell r="B2214" t="str">
            <v>CONDUCTIVITY METER 6536 C-W 20m PROBE</v>
          </cell>
          <cell r="C2214">
            <v>1635</v>
          </cell>
          <cell r="D2214">
            <v>2125</v>
          </cell>
          <cell r="E2214">
            <v>2125</v>
          </cell>
          <cell r="F2214">
            <v>2125</v>
          </cell>
          <cell r="G2214">
            <v>2125</v>
          </cell>
          <cell r="H2214">
            <v>1570</v>
          </cell>
          <cell r="I2214">
            <v>39836</v>
          </cell>
        </row>
        <row r="2215">
          <cell r="A2215" t="str">
            <v>UNICON30</v>
          </cell>
          <cell r="B2215" t="str">
            <v>CONDUCTIVITY METER 6536 C-W 30m PROBE</v>
          </cell>
          <cell r="C2215">
            <v>2200</v>
          </cell>
          <cell r="D2215">
            <v>2605</v>
          </cell>
          <cell r="E2215">
            <v>2605</v>
          </cell>
          <cell r="F2215">
            <v>2605</v>
          </cell>
          <cell r="G2215">
            <v>2605</v>
          </cell>
          <cell r="H2215">
            <v>1481.7729999999999</v>
          </cell>
          <cell r="I2215">
            <v>39965</v>
          </cell>
        </row>
        <row r="2216">
          <cell r="A2216" t="str">
            <v>UNICON50</v>
          </cell>
          <cell r="B2216" t="str">
            <v>CONDUCTIVITY METER 6536 c/w 50m PROBE</v>
          </cell>
          <cell r="C2216">
            <v>2250</v>
          </cell>
          <cell r="D2216">
            <v>2950</v>
          </cell>
          <cell r="E2216">
            <v>2950</v>
          </cell>
          <cell r="F2216">
            <v>2950</v>
          </cell>
          <cell r="G2216">
            <v>2950</v>
          </cell>
          <cell r="H2216">
            <v>1951.22</v>
          </cell>
          <cell r="I2216">
            <v>39965</v>
          </cell>
        </row>
        <row r="2217">
          <cell r="A2217" t="str">
            <v>UNICON90</v>
          </cell>
          <cell r="B2217" t="str">
            <v>CONDUCTIVITY METER 6536 C-W 90m PROBE</v>
          </cell>
          <cell r="C2217">
            <v>3745</v>
          </cell>
          <cell r="D2217">
            <v>3745</v>
          </cell>
          <cell r="E2217">
            <v>3745</v>
          </cell>
          <cell r="F2217">
            <v>3745</v>
          </cell>
          <cell r="G2217">
            <v>3745</v>
          </cell>
          <cell r="H2217">
            <v>2209.3020000000001</v>
          </cell>
        </row>
        <row r="2218">
          <cell r="A2218" t="str">
            <v>UNICONP30</v>
          </cell>
          <cell r="B2218" t="str">
            <v>CONDUCTIVITY PROBE 6536 30m CABLE</v>
          </cell>
          <cell r="C2218">
            <v>850</v>
          </cell>
          <cell r="D2218">
            <v>950</v>
          </cell>
          <cell r="E2218">
            <v>950</v>
          </cell>
          <cell r="F2218">
            <v>950</v>
          </cell>
          <cell r="G2218">
            <v>950</v>
          </cell>
          <cell r="H2218">
            <v>781.15200000000004</v>
          </cell>
          <cell r="I2218">
            <v>39836</v>
          </cell>
        </row>
        <row r="2219">
          <cell r="A2219" t="str">
            <v>UNICONP65</v>
          </cell>
          <cell r="B2219" t="str">
            <v>CONDUCTIVITY PROBE 6536 C/W 65M CABLE</v>
          </cell>
          <cell r="C2219">
            <v>850</v>
          </cell>
          <cell r="D2219">
            <v>850</v>
          </cell>
          <cell r="E2219">
            <v>850</v>
          </cell>
          <cell r="F2219">
            <v>850</v>
          </cell>
          <cell r="G2219">
            <v>850</v>
          </cell>
          <cell r="H2219">
            <v>748.23699999999997</v>
          </cell>
        </row>
        <row r="2220">
          <cell r="A2220" t="str">
            <v>UNICOUNT</v>
          </cell>
          <cell r="B2220" t="str">
            <v>UNIVERSAL COUNTER MODULE 6118A</v>
          </cell>
          <cell r="C2220">
            <v>180</v>
          </cell>
          <cell r="D2220">
            <v>235</v>
          </cell>
          <cell r="E2220">
            <v>235</v>
          </cell>
          <cell r="F2220">
            <v>235</v>
          </cell>
          <cell r="G2220">
            <v>235</v>
          </cell>
          <cell r="H2220">
            <v>184.5</v>
          </cell>
          <cell r="I2220">
            <v>39836</v>
          </cell>
        </row>
        <row r="2221">
          <cell r="A2221" t="str">
            <v>UNICSQ2</v>
          </cell>
          <cell r="B2221" t="str">
            <v>CABLE  SQL EXTENSION 5 METRE</v>
          </cell>
          <cell r="C2221">
            <v>130</v>
          </cell>
          <cell r="D2221">
            <v>169</v>
          </cell>
          <cell r="E2221">
            <v>169</v>
          </cell>
          <cell r="F2221">
            <v>169</v>
          </cell>
          <cell r="G2221">
            <v>169</v>
          </cell>
          <cell r="H2221">
            <v>0</v>
          </cell>
          <cell r="I2221">
            <v>39836</v>
          </cell>
        </row>
        <row r="2222">
          <cell r="A2222" t="str">
            <v>UNICSQ5</v>
          </cell>
          <cell r="B2222" t="str">
            <v>CABLE  SQL EXTENSION 10 METRE</v>
          </cell>
          <cell r="C2222">
            <v>149.5</v>
          </cell>
          <cell r="D2222">
            <v>194</v>
          </cell>
          <cell r="E2222">
            <v>194</v>
          </cell>
          <cell r="F2222">
            <v>194</v>
          </cell>
          <cell r="G2222">
            <v>194</v>
          </cell>
          <cell r="H2222">
            <v>0</v>
          </cell>
          <cell r="I2222">
            <v>39836</v>
          </cell>
        </row>
        <row r="2223">
          <cell r="A2223" t="str">
            <v>UNIDIGM</v>
          </cell>
          <cell r="B2223" t="str">
            <v>DIGITAL INPUT MODULE #6113A</v>
          </cell>
          <cell r="C2223">
            <v>335</v>
          </cell>
          <cell r="D2223">
            <v>395</v>
          </cell>
          <cell r="E2223">
            <v>395</v>
          </cell>
          <cell r="F2223">
            <v>395</v>
          </cell>
          <cell r="G2223">
            <v>395</v>
          </cell>
          <cell r="H2223">
            <v>316.92399999999998</v>
          </cell>
        </row>
        <row r="2224">
          <cell r="A2224" t="str">
            <v>UNIDUIN</v>
          </cell>
          <cell r="B2224" t="str">
            <v>DUAL INTERFACE</v>
          </cell>
          <cell r="C2224">
            <v>276</v>
          </cell>
          <cell r="D2224">
            <v>276</v>
          </cell>
          <cell r="E2224">
            <v>276</v>
          </cell>
          <cell r="F2224">
            <v>276</v>
          </cell>
          <cell r="G2224">
            <v>276</v>
          </cell>
          <cell r="H2224">
            <v>0</v>
          </cell>
        </row>
        <row r="2225">
          <cell r="A2225" t="str">
            <v>UNIE2V2B</v>
          </cell>
          <cell r="B2225" t="str">
            <v>EEPROM 2V2BLU</v>
          </cell>
          <cell r="C2225">
            <v>60</v>
          </cell>
          <cell r="D2225">
            <v>60</v>
          </cell>
          <cell r="E2225">
            <v>60</v>
          </cell>
          <cell r="F2225">
            <v>60</v>
          </cell>
          <cell r="G2225">
            <v>60</v>
          </cell>
          <cell r="H2225">
            <v>0</v>
          </cell>
        </row>
        <row r="2226">
          <cell r="A2226" t="str">
            <v>UNIE2V2Y</v>
          </cell>
          <cell r="B2226" t="str">
            <v>EEPROM 2V2YELLOW</v>
          </cell>
          <cell r="C2226">
            <v>68.5</v>
          </cell>
          <cell r="D2226">
            <v>68.5</v>
          </cell>
          <cell r="E2226">
            <v>68.5</v>
          </cell>
          <cell r="F2226">
            <v>68.5</v>
          </cell>
          <cell r="G2226">
            <v>68.5</v>
          </cell>
          <cell r="H2226">
            <v>0</v>
          </cell>
        </row>
        <row r="2227">
          <cell r="A2227" t="str">
            <v>UNIECLA</v>
          </cell>
          <cell r="B2227" t="str">
            <v>ECOLOGGER LABEL SET</v>
          </cell>
          <cell r="C2227">
            <v>40</v>
          </cell>
          <cell r="D2227">
            <v>40</v>
          </cell>
          <cell r="E2227">
            <v>40</v>
          </cell>
          <cell r="F2227">
            <v>40</v>
          </cell>
          <cell r="G2227">
            <v>40</v>
          </cell>
          <cell r="H2227">
            <v>17.899999999999999</v>
          </cell>
        </row>
        <row r="2228">
          <cell r="A2228" t="str">
            <v>UNIECLO</v>
          </cell>
          <cell r="B2228" t="str">
            <v>ECOLOGGER</v>
          </cell>
          <cell r="C2228">
            <v>995</v>
          </cell>
          <cell r="D2228">
            <v>995</v>
          </cell>
          <cell r="E2228">
            <v>995</v>
          </cell>
          <cell r="F2228">
            <v>995</v>
          </cell>
          <cell r="G2228">
            <v>995</v>
          </cell>
          <cell r="H2228">
            <v>730.01</v>
          </cell>
          <cell r="I2228">
            <v>40100</v>
          </cell>
        </row>
        <row r="2229">
          <cell r="A2229" t="str">
            <v>UNIECPCB</v>
          </cell>
          <cell r="B2229" t="str">
            <v>ECOLOGGER LOGGER PCB (NO BATTERY)</v>
          </cell>
          <cell r="C2229">
            <v>425</v>
          </cell>
          <cell r="D2229">
            <v>425</v>
          </cell>
          <cell r="E2229">
            <v>425</v>
          </cell>
          <cell r="F2229">
            <v>425</v>
          </cell>
          <cell r="G2229">
            <v>425</v>
          </cell>
          <cell r="H2229">
            <v>0</v>
          </cell>
        </row>
        <row r="2230">
          <cell r="A2230" t="str">
            <v>UNIENC31</v>
          </cell>
          <cell r="B2230" t="str">
            <v>SHAFT ENCODER 6531</v>
          </cell>
          <cell r="C2230">
            <v>0</v>
          </cell>
          <cell r="D2230">
            <v>0</v>
          </cell>
          <cell r="E2230">
            <v>0</v>
          </cell>
          <cell r="F2230">
            <v>0</v>
          </cell>
          <cell r="G2230">
            <v>0</v>
          </cell>
          <cell r="H2230">
            <v>0</v>
          </cell>
        </row>
        <row r="2231">
          <cell r="A2231" t="str">
            <v>UNIENC41</v>
          </cell>
          <cell r="B2231" t="str">
            <v>UNIDATA ENCODER  6541-11</v>
          </cell>
          <cell r="C2231">
            <v>1050</v>
          </cell>
          <cell r="D2231">
            <v>1050</v>
          </cell>
          <cell r="E2231">
            <v>1050</v>
          </cell>
          <cell r="F2231">
            <v>1050</v>
          </cell>
          <cell r="G2231">
            <v>1050</v>
          </cell>
          <cell r="H2231">
            <v>0</v>
          </cell>
        </row>
        <row r="2232">
          <cell r="A2232" t="str">
            <v>UNIENC41C</v>
          </cell>
          <cell r="B2232" t="str">
            <v>UNIDATA ENCODER 6541C-11</v>
          </cell>
          <cell r="C2232">
            <v>1375.5</v>
          </cell>
          <cell r="D2232">
            <v>1595</v>
          </cell>
          <cell r="E2232">
            <v>1595</v>
          </cell>
          <cell r="F2232">
            <v>1595</v>
          </cell>
          <cell r="G2232">
            <v>1595</v>
          </cell>
          <cell r="H2232">
            <v>1253.9970000000001</v>
          </cell>
          <cell r="I2232">
            <v>40058</v>
          </cell>
        </row>
        <row r="2233">
          <cell r="A2233" t="str">
            <v>UNIENC41MA</v>
          </cell>
          <cell r="B2233" t="str">
            <v>UNIDATA 6541C ENCODER 4-20mA OUTPUT</v>
          </cell>
          <cell r="C2233">
            <v>1815</v>
          </cell>
          <cell r="D2233">
            <v>2250</v>
          </cell>
          <cell r="E2233">
            <v>2250</v>
          </cell>
          <cell r="F2233">
            <v>2250</v>
          </cell>
          <cell r="G2233">
            <v>2250</v>
          </cell>
          <cell r="H2233">
            <v>1483.9269999999999</v>
          </cell>
          <cell r="I2233">
            <v>40073</v>
          </cell>
        </row>
        <row r="2234">
          <cell r="A2234" t="str">
            <v>UNIENC41N</v>
          </cell>
          <cell r="B2234" t="str">
            <v>WATER LEVEL INSTRUMENT - NRT</v>
          </cell>
          <cell r="C2234">
            <v>3120</v>
          </cell>
          <cell r="D2234">
            <v>4056</v>
          </cell>
          <cell r="E2234">
            <v>4056</v>
          </cell>
          <cell r="F2234">
            <v>4056</v>
          </cell>
          <cell r="G2234">
            <v>4056</v>
          </cell>
          <cell r="H2234">
            <v>3079.9560000000001</v>
          </cell>
          <cell r="I2234">
            <v>39836</v>
          </cell>
        </row>
        <row r="2235">
          <cell r="A2235" t="str">
            <v>UNIENDP</v>
          </cell>
          <cell r="B2235" t="str">
            <v>PCB  ENCODER DUAL OUTPUT</v>
          </cell>
          <cell r="C2235">
            <v>283.5</v>
          </cell>
          <cell r="D2235">
            <v>283.5</v>
          </cell>
          <cell r="E2235">
            <v>283.5</v>
          </cell>
          <cell r="F2235">
            <v>283.5</v>
          </cell>
          <cell r="G2235">
            <v>283.5</v>
          </cell>
          <cell r="H2235">
            <v>0</v>
          </cell>
        </row>
        <row r="2236">
          <cell r="A2236" t="str">
            <v>UNIEP256</v>
          </cell>
          <cell r="B2236" t="str">
            <v>EEPROM MLG6VI.BIN</v>
          </cell>
          <cell r="C2236">
            <v>36</v>
          </cell>
          <cell r="D2236">
            <v>36</v>
          </cell>
          <cell r="E2236">
            <v>36</v>
          </cell>
          <cell r="F2236">
            <v>36</v>
          </cell>
          <cell r="G2236">
            <v>36</v>
          </cell>
          <cell r="H2236">
            <v>0</v>
          </cell>
        </row>
        <row r="2237">
          <cell r="A2237" t="str">
            <v>UNIEP32K</v>
          </cell>
          <cell r="B2237" t="str">
            <v>EEPROM STL2V2BLU</v>
          </cell>
          <cell r="C2237">
            <v>80</v>
          </cell>
          <cell r="D2237">
            <v>99</v>
          </cell>
          <cell r="E2237">
            <v>99</v>
          </cell>
          <cell r="F2237">
            <v>99</v>
          </cell>
          <cell r="G2237">
            <v>99</v>
          </cell>
          <cell r="H2237">
            <v>0</v>
          </cell>
          <cell r="I2237">
            <v>39884</v>
          </cell>
        </row>
        <row r="2238">
          <cell r="A2238" t="str">
            <v>UNIEP6V2</v>
          </cell>
          <cell r="B2238" t="str">
            <v>EEPROM MLG6V2.BIN</v>
          </cell>
          <cell r="C2238">
            <v>50</v>
          </cell>
          <cell r="D2238">
            <v>50</v>
          </cell>
          <cell r="E2238">
            <v>50</v>
          </cell>
          <cell r="F2238">
            <v>50</v>
          </cell>
          <cell r="G2238">
            <v>50</v>
          </cell>
          <cell r="H2238">
            <v>0</v>
          </cell>
        </row>
        <row r="2239">
          <cell r="A2239" t="str">
            <v>UNIEPCB</v>
          </cell>
          <cell r="B2239" t="str">
            <v>PCB  ENCODER 6541A</v>
          </cell>
          <cell r="C2239">
            <v>380</v>
          </cell>
          <cell r="D2239">
            <v>380</v>
          </cell>
          <cell r="E2239">
            <v>380</v>
          </cell>
          <cell r="F2239">
            <v>380</v>
          </cell>
          <cell r="G2239">
            <v>380</v>
          </cell>
          <cell r="H2239">
            <v>0</v>
          </cell>
        </row>
        <row r="2240">
          <cell r="A2240" t="str">
            <v>UNIEPSDIA</v>
          </cell>
          <cell r="B2240" t="str">
            <v>EEPROM MLG6V1. SDI  VERSION A</v>
          </cell>
          <cell r="C2240">
            <v>46.8</v>
          </cell>
          <cell r="D2240">
            <v>46.8</v>
          </cell>
          <cell r="E2240">
            <v>46.8</v>
          </cell>
          <cell r="F2240">
            <v>46.8</v>
          </cell>
          <cell r="G2240">
            <v>46.8</v>
          </cell>
          <cell r="H2240">
            <v>0</v>
          </cell>
        </row>
        <row r="2241">
          <cell r="A2241" t="str">
            <v>UNIEPSDIB</v>
          </cell>
          <cell r="B2241" t="str">
            <v>EEPROM MLGV1. SDI VERSION B</v>
          </cell>
          <cell r="C2241">
            <v>46.8</v>
          </cell>
          <cell r="D2241">
            <v>46.8</v>
          </cell>
          <cell r="E2241">
            <v>46.8</v>
          </cell>
          <cell r="F2241">
            <v>46.8</v>
          </cell>
          <cell r="G2241">
            <v>46.8</v>
          </cell>
          <cell r="H2241">
            <v>0</v>
          </cell>
        </row>
        <row r="2242">
          <cell r="A2242" t="str">
            <v>UNIEPYE</v>
          </cell>
          <cell r="B2242" t="str">
            <v>EEPROM STL2V3 YELLOW</v>
          </cell>
          <cell r="C2242">
            <v>69</v>
          </cell>
          <cell r="D2242">
            <v>69</v>
          </cell>
          <cell r="E2242">
            <v>69</v>
          </cell>
          <cell r="F2242">
            <v>69</v>
          </cell>
          <cell r="G2242">
            <v>69</v>
          </cell>
          <cell r="H2242">
            <v>0</v>
          </cell>
        </row>
        <row r="2243">
          <cell r="A2243" t="str">
            <v>UNIEUPK</v>
          </cell>
          <cell r="B2243" t="str">
            <v>ENCODER 6541C UPGRADE KIT</v>
          </cell>
          <cell r="C2243">
            <v>640</v>
          </cell>
          <cell r="D2243">
            <v>640</v>
          </cell>
          <cell r="E2243">
            <v>640</v>
          </cell>
          <cell r="F2243">
            <v>640</v>
          </cell>
          <cell r="G2243">
            <v>640</v>
          </cell>
          <cell r="H2243">
            <v>480.13299999999998</v>
          </cell>
          <cell r="I2243">
            <v>40219</v>
          </cell>
        </row>
        <row r="2244">
          <cell r="A2244" t="str">
            <v>UNIFEPR</v>
          </cell>
          <cell r="B2244" t="str">
            <v>PROLOGGER CABLE FERRITE</v>
          </cell>
          <cell r="C2244">
            <v>0</v>
          </cell>
          <cell r="D2244">
            <v>0</v>
          </cell>
          <cell r="E2244">
            <v>0</v>
          </cell>
          <cell r="F2244">
            <v>0</v>
          </cell>
          <cell r="G2244">
            <v>0</v>
          </cell>
          <cell r="H2244">
            <v>0</v>
          </cell>
        </row>
        <row r="2245">
          <cell r="A2245" t="str">
            <v>UNIFEST</v>
          </cell>
          <cell r="B2245" t="str">
            <v>STARLOGGER CABLE FERRITE</v>
          </cell>
          <cell r="C2245">
            <v>15</v>
          </cell>
          <cell r="D2245">
            <v>18</v>
          </cell>
          <cell r="E2245">
            <v>18</v>
          </cell>
          <cell r="F2245">
            <v>18</v>
          </cell>
          <cell r="G2245">
            <v>18</v>
          </cell>
          <cell r="H2245">
            <v>13.946999999999999</v>
          </cell>
        </row>
        <row r="2246">
          <cell r="A2246" t="str">
            <v>UNIFL170</v>
          </cell>
          <cell r="B2246" t="str">
            <v>FLOAT 150MM</v>
          </cell>
          <cell r="C2246">
            <v>127</v>
          </cell>
          <cell r="D2246">
            <v>165</v>
          </cell>
          <cell r="E2246">
            <v>165</v>
          </cell>
          <cell r="F2246">
            <v>165</v>
          </cell>
          <cell r="G2246">
            <v>165</v>
          </cell>
          <cell r="H2246">
            <v>129.16200000000001</v>
          </cell>
          <cell r="I2246">
            <v>39836</v>
          </cell>
        </row>
        <row r="2247">
          <cell r="A2247" t="str">
            <v>UNIFL200</v>
          </cell>
          <cell r="B2247" t="str">
            <v>FLOAT 200MM</v>
          </cell>
          <cell r="C2247">
            <v>150</v>
          </cell>
          <cell r="D2247">
            <v>156</v>
          </cell>
          <cell r="E2247">
            <v>156</v>
          </cell>
          <cell r="F2247">
            <v>156</v>
          </cell>
          <cell r="G2247">
            <v>156</v>
          </cell>
          <cell r="H2247">
            <v>119.96</v>
          </cell>
          <cell r="I2247">
            <v>39836</v>
          </cell>
        </row>
        <row r="2248">
          <cell r="A2248" t="str">
            <v>UNIFL50</v>
          </cell>
          <cell r="B2248" t="str">
            <v>FLOAT &amp; COUNTER WEIGHT 60mm</v>
          </cell>
          <cell r="C2248">
            <v>85</v>
          </cell>
          <cell r="D2248">
            <v>93</v>
          </cell>
          <cell r="E2248">
            <v>93</v>
          </cell>
          <cell r="F2248">
            <v>93</v>
          </cell>
          <cell r="G2248">
            <v>93</v>
          </cell>
          <cell r="H2248">
            <v>112.991</v>
          </cell>
          <cell r="I2248">
            <v>39836</v>
          </cell>
        </row>
        <row r="2249">
          <cell r="A2249" t="str">
            <v>UNIFLBO</v>
          </cell>
          <cell r="B2249" t="str">
            <v>BOREHOLE ASSEMBLY 50mm</v>
          </cell>
          <cell r="C2249">
            <v>197</v>
          </cell>
          <cell r="D2249">
            <v>197</v>
          </cell>
          <cell r="E2249">
            <v>197</v>
          </cell>
          <cell r="F2249">
            <v>197</v>
          </cell>
          <cell r="G2249">
            <v>197</v>
          </cell>
          <cell r="H2249">
            <v>0</v>
          </cell>
        </row>
        <row r="2250">
          <cell r="A2250" t="str">
            <v>UNIFLCW</v>
          </cell>
          <cell r="B2250" t="str">
            <v>FLOAT &amp; COUNTER WEIGHT 90MM</v>
          </cell>
          <cell r="C2250">
            <v>85</v>
          </cell>
          <cell r="D2250">
            <v>104</v>
          </cell>
          <cell r="E2250">
            <v>104</v>
          </cell>
          <cell r="F2250">
            <v>104</v>
          </cell>
          <cell r="G2250">
            <v>104</v>
          </cell>
          <cell r="H2250">
            <v>81.510000000000005</v>
          </cell>
          <cell r="I2250">
            <v>39836</v>
          </cell>
        </row>
        <row r="2251">
          <cell r="A2251" t="str">
            <v>UNIFLGA</v>
          </cell>
          <cell r="B2251" t="str">
            <v>FLOWGAUGE 125ml WITH 30m CABLE</v>
          </cell>
          <cell r="C2251">
            <v>620</v>
          </cell>
          <cell r="D2251">
            <v>620</v>
          </cell>
          <cell r="E2251">
            <v>620</v>
          </cell>
          <cell r="F2251">
            <v>620</v>
          </cell>
          <cell r="G2251">
            <v>620</v>
          </cell>
          <cell r="H2251">
            <v>616.66300000000001</v>
          </cell>
        </row>
        <row r="2252">
          <cell r="A2252" t="str">
            <v>UNIFLWE</v>
          </cell>
          <cell r="B2252" t="str">
            <v>FLOAT COUNTERWEIGHT</v>
          </cell>
          <cell r="C2252">
            <v>17.3</v>
          </cell>
          <cell r="D2252">
            <v>22.5</v>
          </cell>
          <cell r="E2252">
            <v>22.5</v>
          </cell>
          <cell r="F2252">
            <v>22.5</v>
          </cell>
          <cell r="G2252">
            <v>22.5</v>
          </cell>
          <cell r="H2252">
            <v>12.085000000000001</v>
          </cell>
          <cell r="I2252">
            <v>39836</v>
          </cell>
        </row>
        <row r="2253">
          <cell r="A2253" t="str">
            <v>UNIFTSF</v>
          </cell>
          <cell r="B2253" t="str">
            <v>FTS FRAME</v>
          </cell>
          <cell r="C2253">
            <v>55</v>
          </cell>
          <cell r="D2253">
            <v>65</v>
          </cell>
          <cell r="E2253">
            <v>65</v>
          </cell>
          <cell r="F2253">
            <v>65</v>
          </cell>
          <cell r="G2253">
            <v>65</v>
          </cell>
          <cell r="H2253">
            <v>44.683999999999997</v>
          </cell>
        </row>
        <row r="2254">
          <cell r="A2254" t="str">
            <v>UNIGSMV</v>
          </cell>
          <cell r="B2254" t="str">
            <v>GSM VOICE SYNTHESIZER</v>
          </cell>
          <cell r="C2254">
            <v>318</v>
          </cell>
          <cell r="D2254">
            <v>394</v>
          </cell>
          <cell r="E2254">
            <v>394</v>
          </cell>
          <cell r="F2254">
            <v>394</v>
          </cell>
          <cell r="G2254">
            <v>394</v>
          </cell>
          <cell r="H2254">
            <v>222.90799999999999</v>
          </cell>
        </row>
        <row r="2255">
          <cell r="A2255" t="str">
            <v>UNIHYK1</v>
          </cell>
          <cell r="B2255" t="str">
            <v>HYDROLOGGER RF SUPRESSION KIT FOR 6109C</v>
          </cell>
          <cell r="C2255">
            <v>18</v>
          </cell>
          <cell r="D2255">
            <v>18</v>
          </cell>
          <cell r="E2255">
            <v>18</v>
          </cell>
          <cell r="F2255">
            <v>18</v>
          </cell>
          <cell r="G2255">
            <v>18</v>
          </cell>
          <cell r="H2255">
            <v>0</v>
          </cell>
        </row>
        <row r="2256">
          <cell r="A2256" t="str">
            <v>UNIHYK2</v>
          </cell>
          <cell r="B2256" t="str">
            <v>HYDROLOGGER RF SUPRESSION KIT FOR 6109D</v>
          </cell>
          <cell r="C2256">
            <v>18</v>
          </cell>
          <cell r="D2256">
            <v>18</v>
          </cell>
          <cell r="E2256">
            <v>18</v>
          </cell>
          <cell r="F2256">
            <v>18</v>
          </cell>
          <cell r="G2256">
            <v>18</v>
          </cell>
          <cell r="H2256">
            <v>0</v>
          </cell>
        </row>
        <row r="2257">
          <cell r="A2257" t="str">
            <v>UNIHYLA</v>
          </cell>
          <cell r="B2257" t="str">
            <v>HYDROLOGGER  LABEL 2000</v>
          </cell>
          <cell r="C2257">
            <v>25</v>
          </cell>
          <cell r="D2257">
            <v>25</v>
          </cell>
          <cell r="E2257">
            <v>25</v>
          </cell>
          <cell r="F2257">
            <v>25</v>
          </cell>
          <cell r="G2257">
            <v>25</v>
          </cell>
          <cell r="H2257">
            <v>18.61</v>
          </cell>
        </row>
        <row r="2258">
          <cell r="A2258" t="str">
            <v>UNIHYLAB</v>
          </cell>
          <cell r="B2258" t="str">
            <v>HYDROLOGGER LABEL 2001</v>
          </cell>
          <cell r="C2258">
            <v>28</v>
          </cell>
          <cell r="D2258">
            <v>28</v>
          </cell>
          <cell r="E2258">
            <v>28</v>
          </cell>
          <cell r="F2258">
            <v>28</v>
          </cell>
          <cell r="G2258">
            <v>28</v>
          </cell>
          <cell r="H2258">
            <v>18.8</v>
          </cell>
        </row>
        <row r="2259">
          <cell r="A2259" t="str">
            <v>UNIHYLO</v>
          </cell>
          <cell r="B2259" t="str">
            <v>HYDROLOGGER</v>
          </cell>
          <cell r="C2259">
            <v>1550</v>
          </cell>
          <cell r="D2259">
            <v>1600</v>
          </cell>
          <cell r="E2259">
            <v>1600</v>
          </cell>
          <cell r="F2259">
            <v>1600</v>
          </cell>
          <cell r="G2259">
            <v>1600</v>
          </cell>
          <cell r="H2259">
            <v>1421.8150000000001</v>
          </cell>
          <cell r="I2259">
            <v>40001</v>
          </cell>
        </row>
        <row r="2260">
          <cell r="A2260" t="str">
            <v>UNIHYLP</v>
          </cell>
          <cell r="B2260" t="str">
            <v>HYDROLOGGER LOCATING BRACKET</v>
          </cell>
          <cell r="C2260">
            <v>48</v>
          </cell>
          <cell r="D2260">
            <v>48</v>
          </cell>
          <cell r="E2260">
            <v>48</v>
          </cell>
          <cell r="F2260">
            <v>48</v>
          </cell>
          <cell r="G2260">
            <v>48</v>
          </cell>
          <cell r="H2260">
            <v>0</v>
          </cell>
        </row>
        <row r="2261">
          <cell r="A2261" t="str">
            <v>UNIHYPCB</v>
          </cell>
          <cell r="B2261" t="str">
            <v>PCB  HYDROLOGGER LOGGER C-W BATTERY</v>
          </cell>
          <cell r="C2261">
            <v>535</v>
          </cell>
          <cell r="D2261">
            <v>535</v>
          </cell>
          <cell r="E2261">
            <v>535</v>
          </cell>
          <cell r="F2261">
            <v>535</v>
          </cell>
          <cell r="G2261">
            <v>535</v>
          </cell>
          <cell r="H2261">
            <v>432.51499999999999</v>
          </cell>
        </row>
        <row r="2262">
          <cell r="A2262" t="str">
            <v>UNIINBAB</v>
          </cell>
          <cell r="B2262" t="str">
            <v>BABELSTAR INTERFACE 6543A</v>
          </cell>
          <cell r="C2262">
            <v>580</v>
          </cell>
          <cell r="D2262">
            <v>715</v>
          </cell>
          <cell r="E2262">
            <v>715</v>
          </cell>
          <cell r="F2262">
            <v>715</v>
          </cell>
          <cell r="G2262">
            <v>715</v>
          </cell>
          <cell r="H2262">
            <v>506.67700000000002</v>
          </cell>
          <cell r="I2262">
            <v>40035</v>
          </cell>
        </row>
        <row r="2263">
          <cell r="A2263" t="str">
            <v>UNIINCO</v>
          </cell>
          <cell r="B2263" t="str">
            <v>INPUT SIGNAL CONNECTOR</v>
          </cell>
          <cell r="C2263">
            <v>16</v>
          </cell>
          <cell r="D2263">
            <v>16</v>
          </cell>
          <cell r="E2263">
            <v>16</v>
          </cell>
          <cell r="F2263">
            <v>16</v>
          </cell>
          <cell r="G2263">
            <v>16</v>
          </cell>
          <cell r="H2263">
            <v>5.43</v>
          </cell>
        </row>
        <row r="2264">
          <cell r="A2264" t="str">
            <v>UNIINENC</v>
          </cell>
          <cell r="B2264" t="str">
            <v>INTERFACE 6541 SB 4-20mA PCB</v>
          </cell>
          <cell r="C2264">
            <v>273</v>
          </cell>
          <cell r="D2264">
            <v>273</v>
          </cell>
          <cell r="E2264">
            <v>273</v>
          </cell>
          <cell r="F2264">
            <v>273</v>
          </cell>
          <cell r="G2264">
            <v>273</v>
          </cell>
          <cell r="H2264">
            <v>0</v>
          </cell>
        </row>
        <row r="2265">
          <cell r="A2265" t="str">
            <v>UNIINIS</v>
          </cell>
          <cell r="B2265" t="str">
            <v>ISOLATED INTERFACE MODULE</v>
          </cell>
          <cell r="C2265">
            <v>52.5</v>
          </cell>
          <cell r="D2265">
            <v>52.5</v>
          </cell>
          <cell r="E2265">
            <v>52.5</v>
          </cell>
          <cell r="F2265">
            <v>52.5</v>
          </cell>
          <cell r="G2265">
            <v>52.5</v>
          </cell>
          <cell r="H2265">
            <v>0</v>
          </cell>
        </row>
        <row r="2266">
          <cell r="A2266" t="str">
            <v>UNIINMW</v>
          </cell>
          <cell r="B2266" t="str">
            <v>INTERFACE  MICROWIRE TO 4-20mA</v>
          </cell>
          <cell r="C2266">
            <v>350</v>
          </cell>
          <cell r="D2266">
            <v>350</v>
          </cell>
          <cell r="E2266">
            <v>350</v>
          </cell>
          <cell r="F2266">
            <v>350</v>
          </cell>
          <cell r="G2266">
            <v>350</v>
          </cell>
          <cell r="H2266">
            <v>0</v>
          </cell>
        </row>
        <row r="2267">
          <cell r="A2267" t="str">
            <v>UNIINMW2</v>
          </cell>
          <cell r="B2267" t="str">
            <v>INTERFACE MICROWIRE - DUAL VERSION</v>
          </cell>
          <cell r="C2267">
            <v>575</v>
          </cell>
          <cell r="D2267">
            <v>575</v>
          </cell>
          <cell r="E2267">
            <v>575</v>
          </cell>
          <cell r="F2267">
            <v>575</v>
          </cell>
          <cell r="G2267">
            <v>575</v>
          </cell>
          <cell r="H2267">
            <v>206.655</v>
          </cell>
        </row>
        <row r="2268">
          <cell r="A2268" t="str">
            <v>UNIINPD</v>
          </cell>
          <cell r="B2268" t="str">
            <v>INTERFACE PDL-PC #6800-B</v>
          </cell>
          <cell r="C2268">
            <v>109.71</v>
          </cell>
          <cell r="D2268">
            <v>109.71</v>
          </cell>
          <cell r="E2268">
            <v>109.71</v>
          </cell>
          <cell r="F2268">
            <v>109.71</v>
          </cell>
          <cell r="G2268">
            <v>109.71</v>
          </cell>
          <cell r="H2268">
            <v>0</v>
          </cell>
        </row>
        <row r="2269">
          <cell r="A2269" t="str">
            <v>UNIISCL</v>
          </cell>
          <cell r="B2269" t="str">
            <v>4-20mA CURRENT LOOP ISOLATOR #6141B</v>
          </cell>
          <cell r="C2269">
            <v>126.26</v>
          </cell>
          <cell r="D2269">
            <v>157</v>
          </cell>
          <cell r="E2269">
            <v>157</v>
          </cell>
          <cell r="F2269">
            <v>157</v>
          </cell>
          <cell r="G2269">
            <v>157</v>
          </cell>
          <cell r="H2269">
            <v>120.25</v>
          </cell>
          <cell r="I2269">
            <v>39836</v>
          </cell>
        </row>
        <row r="2270">
          <cell r="A2270" t="str">
            <v>UNILBOX</v>
          </cell>
          <cell r="B2270" t="str">
            <v>LOGGER DRILLED BOX</v>
          </cell>
          <cell r="C2270">
            <v>114.06</v>
          </cell>
          <cell r="D2270">
            <v>145</v>
          </cell>
          <cell r="E2270">
            <v>145</v>
          </cell>
          <cell r="F2270">
            <v>145</v>
          </cell>
          <cell r="G2270">
            <v>145</v>
          </cell>
          <cell r="H2270">
            <v>118.03</v>
          </cell>
          <cell r="I2270">
            <v>40058</v>
          </cell>
        </row>
        <row r="2271">
          <cell r="A2271" t="str">
            <v>UNILEWE</v>
          </cell>
          <cell r="B2271" t="str">
            <v>LEAF WETNESS SENSOR</v>
          </cell>
          <cell r="C2271">
            <v>120</v>
          </cell>
          <cell r="D2271">
            <v>120</v>
          </cell>
          <cell r="E2271">
            <v>120</v>
          </cell>
          <cell r="F2271">
            <v>120</v>
          </cell>
          <cell r="G2271">
            <v>120</v>
          </cell>
          <cell r="H2271">
            <v>0</v>
          </cell>
        </row>
        <row r="2272">
          <cell r="A2272" t="str">
            <v>UNILFTT</v>
          </cell>
          <cell r="B2272" t="str">
            <v>FIELD TERMINATION STRIP  STARLOGGER</v>
          </cell>
          <cell r="C2272">
            <v>140</v>
          </cell>
          <cell r="D2272">
            <v>160</v>
          </cell>
          <cell r="E2272">
            <v>160</v>
          </cell>
          <cell r="F2272">
            <v>160</v>
          </cell>
          <cell r="G2272">
            <v>160</v>
          </cell>
          <cell r="H2272">
            <v>140.952</v>
          </cell>
        </row>
        <row r="2273">
          <cell r="A2273" t="str">
            <v>UNILFTU</v>
          </cell>
          <cell r="B2273" t="str">
            <v>FIELD TERM STRIPS (MDL)  #7100B</v>
          </cell>
          <cell r="C2273">
            <v>169</v>
          </cell>
          <cell r="D2273">
            <v>220</v>
          </cell>
          <cell r="E2273">
            <v>220</v>
          </cell>
          <cell r="F2273">
            <v>220</v>
          </cell>
          <cell r="G2273">
            <v>220</v>
          </cell>
          <cell r="H2273">
            <v>147.78299999999999</v>
          </cell>
          <cell r="I2273">
            <v>39836</v>
          </cell>
        </row>
        <row r="2274">
          <cell r="A2274" t="str">
            <v>UNIMBOX</v>
          </cell>
          <cell r="B2274" t="str">
            <v>MICROLOGGER DRILLED BOX</v>
          </cell>
          <cell r="C2274">
            <v>150.66</v>
          </cell>
          <cell r="D2274">
            <v>150.66</v>
          </cell>
          <cell r="E2274">
            <v>150.66</v>
          </cell>
          <cell r="F2274">
            <v>150.66</v>
          </cell>
          <cell r="G2274">
            <v>150.66</v>
          </cell>
          <cell r="H2274">
            <v>0</v>
          </cell>
        </row>
        <row r="2275">
          <cell r="A2275" t="str">
            <v>UNIMIDO</v>
          </cell>
          <cell r="B2275" t="str">
            <v>MICROLOGGER DONGLE</v>
          </cell>
          <cell r="C2275">
            <v>60</v>
          </cell>
          <cell r="D2275">
            <v>60</v>
          </cell>
          <cell r="E2275">
            <v>60</v>
          </cell>
          <cell r="F2275">
            <v>60</v>
          </cell>
          <cell r="G2275">
            <v>60</v>
          </cell>
          <cell r="H2275">
            <v>0</v>
          </cell>
        </row>
        <row r="2276">
          <cell r="A2276" t="str">
            <v>UNIMILA</v>
          </cell>
          <cell r="B2276" t="str">
            <v>MICROLOGGER LABEL</v>
          </cell>
          <cell r="C2276">
            <v>30</v>
          </cell>
          <cell r="D2276">
            <v>30</v>
          </cell>
          <cell r="E2276">
            <v>30</v>
          </cell>
          <cell r="F2276">
            <v>30</v>
          </cell>
          <cell r="G2276">
            <v>30</v>
          </cell>
          <cell r="H2276">
            <v>0</v>
          </cell>
        </row>
        <row r="2277">
          <cell r="A2277" t="str">
            <v>UNIMLCO</v>
          </cell>
          <cell r="B2277" t="str">
            <v>MICROLOGGER MODULE COMPLETE</v>
          </cell>
          <cell r="C2277">
            <v>995</v>
          </cell>
          <cell r="D2277">
            <v>995</v>
          </cell>
          <cell r="E2277">
            <v>995</v>
          </cell>
          <cell r="F2277">
            <v>995</v>
          </cell>
          <cell r="G2277">
            <v>995</v>
          </cell>
          <cell r="H2277">
            <v>0</v>
          </cell>
        </row>
        <row r="2278">
          <cell r="A2278" t="str">
            <v>UNIMSPS</v>
          </cell>
          <cell r="B2278" t="str">
            <v>MICROLOGGER SPACER SET</v>
          </cell>
          <cell r="C2278">
            <v>5</v>
          </cell>
          <cell r="D2278">
            <v>5</v>
          </cell>
          <cell r="E2278">
            <v>5</v>
          </cell>
          <cell r="F2278">
            <v>5</v>
          </cell>
          <cell r="G2278">
            <v>5</v>
          </cell>
          <cell r="H2278">
            <v>0</v>
          </cell>
        </row>
        <row r="2279">
          <cell r="A2279" t="str">
            <v>UNINBFL</v>
          </cell>
          <cell r="B2279" t="str">
            <v>NON-BEADED FLOAT LINE 1MM DIA</v>
          </cell>
          <cell r="C2279">
            <v>7</v>
          </cell>
          <cell r="D2279">
            <v>7</v>
          </cell>
          <cell r="E2279">
            <v>7</v>
          </cell>
          <cell r="F2279">
            <v>7</v>
          </cell>
          <cell r="G2279">
            <v>7</v>
          </cell>
          <cell r="H2279">
            <v>0</v>
          </cell>
        </row>
        <row r="2280">
          <cell r="A2280" t="str">
            <v>UNINCS</v>
          </cell>
          <cell r="B2280" t="str">
            <v>NEON CAMERA SYSTEM</v>
          </cell>
          <cell r="C2280">
            <v>2995</v>
          </cell>
          <cell r="D2280">
            <v>2995</v>
          </cell>
          <cell r="E2280">
            <v>2995</v>
          </cell>
          <cell r="F2280">
            <v>2995</v>
          </cell>
          <cell r="G2280">
            <v>2995</v>
          </cell>
          <cell r="H2280">
            <v>2298.6370000000002</v>
          </cell>
        </row>
        <row r="2281">
          <cell r="A2281" t="str">
            <v>UNINMM</v>
          </cell>
          <cell r="B2281" t="str">
            <v>NEON METERING MODULE #2201C</v>
          </cell>
          <cell r="C2281">
            <v>1411.45</v>
          </cell>
          <cell r="D2281">
            <v>1630</v>
          </cell>
          <cell r="E2281">
            <v>1630</v>
          </cell>
          <cell r="F2281">
            <v>1630</v>
          </cell>
          <cell r="G2281">
            <v>1630</v>
          </cell>
          <cell r="H2281">
            <v>815.09799999999996</v>
          </cell>
          <cell r="I2281">
            <v>40337</v>
          </cell>
        </row>
        <row r="2282">
          <cell r="A2282" t="str">
            <v>UNINMM1</v>
          </cell>
          <cell r="B2282" t="str">
            <v>NEON METERING MODULE 8Mbit/1MB VER</v>
          </cell>
          <cell r="C2282">
            <v>1050</v>
          </cell>
          <cell r="D2282">
            <v>1435</v>
          </cell>
          <cell r="E2282">
            <v>1435</v>
          </cell>
          <cell r="F2282">
            <v>1435</v>
          </cell>
          <cell r="G2282">
            <v>1435</v>
          </cell>
          <cell r="H2282">
            <v>1524.979</v>
          </cell>
        </row>
        <row r="2283">
          <cell r="A2283" t="str">
            <v>UNINMM1P</v>
          </cell>
          <cell r="B2283" t="str">
            <v>NEON METERING MODULE 1M PANEL</v>
          </cell>
          <cell r="C2283">
            <v>1870</v>
          </cell>
          <cell r="D2283">
            <v>2195</v>
          </cell>
          <cell r="E2283">
            <v>2195</v>
          </cell>
          <cell r="F2283">
            <v>2195</v>
          </cell>
          <cell r="G2283">
            <v>2195</v>
          </cell>
          <cell r="H2283">
            <v>1884.1769999999999</v>
          </cell>
        </row>
        <row r="2284">
          <cell r="A2284" t="str">
            <v>UNINMMP</v>
          </cell>
          <cell r="B2284" t="str">
            <v>NEON METERING MODULE PANEL</v>
          </cell>
          <cell r="C2284">
            <v>1647.87</v>
          </cell>
          <cell r="D2284">
            <v>1900</v>
          </cell>
          <cell r="E2284">
            <v>1900</v>
          </cell>
          <cell r="F2284">
            <v>1900</v>
          </cell>
          <cell r="G2284">
            <v>1900</v>
          </cell>
          <cell r="H2284">
            <v>1481.251</v>
          </cell>
          <cell r="I2284">
            <v>40004</v>
          </cell>
        </row>
        <row r="2285">
          <cell r="A2285" t="str">
            <v>UNINRTC</v>
          </cell>
          <cell r="B2285" t="str">
            <v>NRT SATELLITE EXTENDED CABLE</v>
          </cell>
          <cell r="C2285">
            <v>58.5</v>
          </cell>
          <cell r="D2285">
            <v>58.5</v>
          </cell>
          <cell r="E2285">
            <v>58.5</v>
          </cell>
          <cell r="F2285">
            <v>58.5</v>
          </cell>
          <cell r="G2285">
            <v>58.5</v>
          </cell>
          <cell r="H2285">
            <v>44.9</v>
          </cell>
          <cell r="I2285">
            <v>40268</v>
          </cell>
        </row>
        <row r="2286">
          <cell r="A2286" t="str">
            <v>UNINRTCD</v>
          </cell>
          <cell r="B2286" t="str">
            <v>NRT TERMINAL CDMA VERSION</v>
          </cell>
          <cell r="C2286">
            <v>1300</v>
          </cell>
          <cell r="D2286">
            <v>1300</v>
          </cell>
          <cell r="E2286">
            <v>1300</v>
          </cell>
          <cell r="F2286">
            <v>1300</v>
          </cell>
          <cell r="G2286">
            <v>1300</v>
          </cell>
          <cell r="H2286">
            <v>1108.9739999999999</v>
          </cell>
        </row>
        <row r="2287">
          <cell r="A2287" t="str">
            <v>UNINRTF</v>
          </cell>
          <cell r="B2287" t="str">
            <v>NRT FIELD TERMINATION STRIP #2103B</v>
          </cell>
          <cell r="C2287">
            <v>95</v>
          </cell>
          <cell r="D2287">
            <v>124</v>
          </cell>
          <cell r="E2287">
            <v>124</v>
          </cell>
          <cell r="F2287">
            <v>124</v>
          </cell>
          <cell r="G2287">
            <v>124</v>
          </cell>
          <cell r="H2287">
            <v>52.667999999999999</v>
          </cell>
          <cell r="I2287">
            <v>39836</v>
          </cell>
        </row>
        <row r="2288">
          <cell r="A2288" t="str">
            <v>UNINRTM</v>
          </cell>
          <cell r="B2288" t="str">
            <v>NRT SATELLITE AERIAL MOUNT</v>
          </cell>
          <cell r="C2288">
            <v>142</v>
          </cell>
          <cell r="D2288">
            <v>175</v>
          </cell>
          <cell r="E2288">
            <v>175</v>
          </cell>
          <cell r="F2288">
            <v>175</v>
          </cell>
          <cell r="G2288">
            <v>175</v>
          </cell>
          <cell r="H2288">
            <v>138.56299999999999</v>
          </cell>
          <cell r="I2288">
            <v>40150</v>
          </cell>
        </row>
        <row r="2289">
          <cell r="A2289" t="str">
            <v>UNINRTP</v>
          </cell>
          <cell r="B2289" t="str">
            <v>NRT PCB/MODEM AND ANTENNA</v>
          </cell>
          <cell r="C2289">
            <v>1080</v>
          </cell>
          <cell r="D2289">
            <v>1080</v>
          </cell>
          <cell r="E2289">
            <v>1080</v>
          </cell>
          <cell r="F2289">
            <v>1080</v>
          </cell>
          <cell r="G2289">
            <v>1080</v>
          </cell>
          <cell r="H2289">
            <v>837.74800000000005</v>
          </cell>
        </row>
        <row r="2290">
          <cell r="A2290" t="str">
            <v>UNINRTS</v>
          </cell>
          <cell r="B2290" t="str">
            <v>NRT SATELLITE TERMINAL #2002C-10</v>
          </cell>
          <cell r="C2290">
            <v>3300</v>
          </cell>
          <cell r="D2290">
            <v>3795</v>
          </cell>
          <cell r="E2290">
            <v>3795</v>
          </cell>
          <cell r="F2290">
            <v>3795</v>
          </cell>
          <cell r="G2290">
            <v>3795</v>
          </cell>
          <cell r="H2290">
            <v>3104.8969999999999</v>
          </cell>
          <cell r="I2290">
            <v>40099</v>
          </cell>
        </row>
        <row r="2291">
          <cell r="A2291" t="str">
            <v>UNINRTT</v>
          </cell>
          <cell r="B2291" t="str">
            <v>NRT TERMINAL  #2001B-811</v>
          </cell>
          <cell r="C2291">
            <v>1195</v>
          </cell>
          <cell r="D2291">
            <v>1495</v>
          </cell>
          <cell r="E2291">
            <v>1495</v>
          </cell>
          <cell r="F2291">
            <v>1495</v>
          </cell>
          <cell r="G2291">
            <v>1495</v>
          </cell>
          <cell r="H2291">
            <v>1170.191</v>
          </cell>
          <cell r="I2291">
            <v>39946</v>
          </cell>
        </row>
        <row r="2292">
          <cell r="A2292" t="str">
            <v>UNIPCBM</v>
          </cell>
          <cell r="B2292" t="str">
            <v>PCB  MICROLOGGER</v>
          </cell>
          <cell r="C2292">
            <v>345</v>
          </cell>
          <cell r="D2292">
            <v>427</v>
          </cell>
          <cell r="E2292">
            <v>427</v>
          </cell>
          <cell r="F2292">
            <v>427</v>
          </cell>
          <cell r="G2292">
            <v>427</v>
          </cell>
          <cell r="H2292">
            <v>0</v>
          </cell>
          <cell r="I2292">
            <v>39884</v>
          </cell>
        </row>
        <row r="2293">
          <cell r="A2293" t="str">
            <v>UNIPCBM2</v>
          </cell>
          <cell r="B2293" t="str">
            <v>PCB  MICROLOGGER 2ND HAND VER B</v>
          </cell>
          <cell r="C2293">
            <v>160</v>
          </cell>
          <cell r="D2293">
            <v>160</v>
          </cell>
          <cell r="E2293">
            <v>160</v>
          </cell>
          <cell r="F2293">
            <v>160</v>
          </cell>
          <cell r="G2293">
            <v>160</v>
          </cell>
          <cell r="H2293">
            <v>0</v>
          </cell>
        </row>
        <row r="2294">
          <cell r="A2294" t="str">
            <v>UNIPCBR</v>
          </cell>
          <cell r="B2294" t="str">
            <v>PCB  RELAY CONTROL MODULE</v>
          </cell>
          <cell r="C2294">
            <v>243</v>
          </cell>
          <cell r="D2294">
            <v>243</v>
          </cell>
          <cell r="E2294">
            <v>243</v>
          </cell>
          <cell r="F2294">
            <v>243</v>
          </cell>
          <cell r="G2294">
            <v>243</v>
          </cell>
          <cell r="H2294">
            <v>0</v>
          </cell>
        </row>
        <row r="2295">
          <cell r="A2295" t="str">
            <v>UNIPCBSB</v>
          </cell>
          <cell r="B2295" t="str">
            <v>PCB  STARLOGGER BLUE</v>
          </cell>
          <cell r="C2295">
            <v>650</v>
          </cell>
          <cell r="D2295">
            <v>650</v>
          </cell>
          <cell r="E2295">
            <v>650</v>
          </cell>
          <cell r="F2295">
            <v>650</v>
          </cell>
          <cell r="G2295">
            <v>650</v>
          </cell>
          <cell r="H2295">
            <v>0</v>
          </cell>
        </row>
        <row r="2296">
          <cell r="A2296" t="str">
            <v>UNIPCBSY</v>
          </cell>
          <cell r="B2296" t="str">
            <v>PCB  STARLOGGER YELLOW</v>
          </cell>
          <cell r="C2296">
            <v>1065.75</v>
          </cell>
          <cell r="D2296">
            <v>1319.5</v>
          </cell>
          <cell r="E2296">
            <v>1319.5</v>
          </cell>
          <cell r="F2296">
            <v>1319.5</v>
          </cell>
          <cell r="G2296">
            <v>1319.5</v>
          </cell>
          <cell r="H2296">
            <v>0</v>
          </cell>
          <cell r="I2296">
            <v>39884</v>
          </cell>
        </row>
        <row r="2297">
          <cell r="A2297" t="str">
            <v>UNIPFTS</v>
          </cell>
          <cell r="B2297" t="str">
            <v>FIELD TERMINATION STRIP PROLOGGER</v>
          </cell>
          <cell r="C2297">
            <v>175</v>
          </cell>
          <cell r="D2297">
            <v>175</v>
          </cell>
          <cell r="E2297">
            <v>175</v>
          </cell>
          <cell r="F2297">
            <v>175</v>
          </cell>
          <cell r="G2297">
            <v>175</v>
          </cell>
          <cell r="H2297">
            <v>95.349000000000004</v>
          </cell>
        </row>
        <row r="2298">
          <cell r="A2298" t="str">
            <v>UNIPOLO</v>
          </cell>
          <cell r="B2298" t="str">
            <v>PORTABLE LOGGER WITH 64K &amp; 6901B BAT</v>
          </cell>
          <cell r="C2298">
            <v>925.98</v>
          </cell>
          <cell r="D2298">
            <v>925.98</v>
          </cell>
          <cell r="E2298">
            <v>925.98</v>
          </cell>
          <cell r="F2298">
            <v>925.98</v>
          </cell>
          <cell r="G2298">
            <v>925.98</v>
          </cell>
          <cell r="H2298">
            <v>0</v>
          </cell>
        </row>
        <row r="2299">
          <cell r="A2299" t="str">
            <v>UNIPROL</v>
          </cell>
          <cell r="B2299" t="str">
            <v>PROLOGGER</v>
          </cell>
          <cell r="C2299">
            <v>1670</v>
          </cell>
          <cell r="D2299">
            <v>1670</v>
          </cell>
          <cell r="E2299">
            <v>1670</v>
          </cell>
          <cell r="F2299">
            <v>1670</v>
          </cell>
          <cell r="G2299">
            <v>1670</v>
          </cell>
          <cell r="H2299">
            <v>0</v>
          </cell>
        </row>
        <row r="2300">
          <cell r="A2300" t="str">
            <v>UNIPSF</v>
          </cell>
          <cell r="B2300" t="str">
            <v>POWER SUPPLY FILTER FOR LOGGERS/ENCODERS</v>
          </cell>
          <cell r="C2300">
            <v>12.5</v>
          </cell>
          <cell r="D2300">
            <v>12.5</v>
          </cell>
          <cell r="E2300">
            <v>12.5</v>
          </cell>
          <cell r="F2300">
            <v>12.5</v>
          </cell>
          <cell r="G2300">
            <v>12.5</v>
          </cell>
          <cell r="H2300">
            <v>9.5869999999999997</v>
          </cell>
          <cell r="I2300">
            <v>40286</v>
          </cell>
        </row>
        <row r="2301">
          <cell r="A2301" t="str">
            <v>UNIPU250</v>
          </cell>
          <cell r="B2301" t="str">
            <v>PULLEY 250MM</v>
          </cell>
          <cell r="C2301">
            <v>50</v>
          </cell>
          <cell r="D2301">
            <v>50</v>
          </cell>
          <cell r="E2301">
            <v>50</v>
          </cell>
          <cell r="F2301">
            <v>50</v>
          </cell>
          <cell r="G2301">
            <v>50</v>
          </cell>
          <cell r="H2301">
            <v>0</v>
          </cell>
        </row>
        <row r="2302">
          <cell r="A2302" t="str">
            <v>UNIPUFL</v>
          </cell>
          <cell r="B2302" t="str">
            <v>PULLEY 100mm (FLOATLINE TO UNIDATA ENCOD</v>
          </cell>
          <cell r="C2302">
            <v>54.01</v>
          </cell>
          <cell r="D2302">
            <v>54.01</v>
          </cell>
          <cell r="E2302">
            <v>54.01</v>
          </cell>
          <cell r="F2302">
            <v>54.01</v>
          </cell>
          <cell r="G2302">
            <v>54.01</v>
          </cell>
          <cell r="H2302">
            <v>0</v>
          </cell>
        </row>
        <row r="2303">
          <cell r="A2303" t="str">
            <v>UNIPUL100</v>
          </cell>
          <cell r="B2303" t="str">
            <v>PULLEY  100mm (HYDROLOGGER)</v>
          </cell>
          <cell r="C2303">
            <v>50</v>
          </cell>
          <cell r="D2303">
            <v>50</v>
          </cell>
          <cell r="E2303">
            <v>50</v>
          </cell>
          <cell r="F2303">
            <v>50</v>
          </cell>
          <cell r="G2303">
            <v>50</v>
          </cell>
          <cell r="H2303">
            <v>13.452</v>
          </cell>
        </row>
        <row r="2304">
          <cell r="A2304" t="str">
            <v>UNIRABK</v>
          </cell>
          <cell r="B2304" t="str">
            <v>RAINLOGGER BRACKETS</v>
          </cell>
          <cell r="C2304">
            <v>4.5</v>
          </cell>
          <cell r="D2304">
            <v>4.5</v>
          </cell>
          <cell r="E2304">
            <v>4.5</v>
          </cell>
          <cell r="F2304">
            <v>4.5</v>
          </cell>
          <cell r="G2304">
            <v>4.5</v>
          </cell>
          <cell r="H2304">
            <v>0</v>
          </cell>
        </row>
        <row r="2305">
          <cell r="A2305" t="str">
            <v>UNIRABO</v>
          </cell>
          <cell r="B2305" t="str">
            <v>RAINLOGGER DRILLED BOX</v>
          </cell>
          <cell r="C2305">
            <v>41.55</v>
          </cell>
          <cell r="D2305">
            <v>41.55</v>
          </cell>
          <cell r="E2305">
            <v>41.55</v>
          </cell>
          <cell r="F2305">
            <v>41.55</v>
          </cell>
          <cell r="G2305">
            <v>41.55</v>
          </cell>
          <cell r="H2305">
            <v>0</v>
          </cell>
        </row>
        <row r="2306">
          <cell r="A2306" t="str">
            <v>UNIRABV</v>
          </cell>
          <cell r="B2306" t="str">
            <v>RAINLOGGER BRACKET - VELCRO</v>
          </cell>
          <cell r="C2306">
            <v>13.95</v>
          </cell>
          <cell r="D2306">
            <v>13.95</v>
          </cell>
          <cell r="E2306">
            <v>13.95</v>
          </cell>
          <cell r="F2306">
            <v>13.95</v>
          </cell>
          <cell r="G2306">
            <v>13.95</v>
          </cell>
          <cell r="H2306">
            <v>0</v>
          </cell>
        </row>
        <row r="2307">
          <cell r="A2307" t="str">
            <v>UNIRAIN</v>
          </cell>
          <cell r="B2307" t="str">
            <v>TIPPING BUCKET RAINGAUGE</v>
          </cell>
          <cell r="C2307">
            <v>835</v>
          </cell>
          <cell r="D2307">
            <v>835</v>
          </cell>
          <cell r="E2307">
            <v>835</v>
          </cell>
          <cell r="F2307">
            <v>835</v>
          </cell>
          <cell r="G2307">
            <v>835</v>
          </cell>
          <cell r="H2307">
            <v>820.15099999999995</v>
          </cell>
        </row>
        <row r="2308">
          <cell r="A2308" t="str">
            <v>UNIRALA</v>
          </cell>
          <cell r="B2308" t="str">
            <v>RAINLOGGER LABEL</v>
          </cell>
          <cell r="C2308">
            <v>0.02</v>
          </cell>
          <cell r="D2308">
            <v>0.02</v>
          </cell>
          <cell r="E2308">
            <v>0.02</v>
          </cell>
          <cell r="F2308">
            <v>0.02</v>
          </cell>
          <cell r="G2308">
            <v>0.02</v>
          </cell>
          <cell r="H2308">
            <v>0</v>
          </cell>
        </row>
        <row r="2309">
          <cell r="A2309" t="str">
            <v>UNIRALO</v>
          </cell>
          <cell r="B2309" t="str">
            <v>RAINLOGGER</v>
          </cell>
          <cell r="C2309">
            <v>750</v>
          </cell>
          <cell r="D2309">
            <v>750</v>
          </cell>
          <cell r="E2309">
            <v>750</v>
          </cell>
          <cell r="F2309">
            <v>750</v>
          </cell>
          <cell r="G2309">
            <v>750</v>
          </cell>
          <cell r="H2309">
            <v>0</v>
          </cell>
        </row>
        <row r="2310">
          <cell r="A2310" t="str">
            <v>UNIRCMO</v>
          </cell>
          <cell r="B2310" t="str">
            <v>RELAY CONTROL MODULE</v>
          </cell>
          <cell r="C2310">
            <v>225</v>
          </cell>
          <cell r="D2310">
            <v>275</v>
          </cell>
          <cell r="E2310">
            <v>275</v>
          </cell>
          <cell r="F2310">
            <v>275</v>
          </cell>
          <cell r="G2310">
            <v>275</v>
          </cell>
          <cell r="H2310">
            <v>199.76300000000001</v>
          </cell>
          <cell r="I2310">
            <v>39836</v>
          </cell>
        </row>
        <row r="2311">
          <cell r="A2311" t="str">
            <v>UNIRCMS</v>
          </cell>
          <cell r="B2311" t="str">
            <v>RELAY CONTROL MOD SINGLE CHANNEL #6114A</v>
          </cell>
          <cell r="C2311">
            <v>75.400000000000006</v>
          </cell>
          <cell r="D2311">
            <v>93.5</v>
          </cell>
          <cell r="E2311">
            <v>93.5</v>
          </cell>
          <cell r="F2311">
            <v>93.5</v>
          </cell>
          <cell r="G2311">
            <v>93.5</v>
          </cell>
          <cell r="H2311">
            <v>62.22</v>
          </cell>
          <cell r="I2311">
            <v>39884</v>
          </cell>
        </row>
        <row r="2312">
          <cell r="A2312" t="str">
            <v>UNIRECA</v>
          </cell>
          <cell r="B2312" t="str">
            <v>READER  PCMCIA CARD</v>
          </cell>
          <cell r="C2312">
            <v>750</v>
          </cell>
          <cell r="D2312">
            <v>750</v>
          </cell>
          <cell r="E2312">
            <v>750</v>
          </cell>
          <cell r="F2312">
            <v>750</v>
          </cell>
          <cell r="G2312">
            <v>750</v>
          </cell>
          <cell r="H2312">
            <v>0</v>
          </cell>
        </row>
        <row r="2313">
          <cell r="A2313" t="str">
            <v>UNISFDO</v>
          </cell>
          <cell r="B2313" t="str">
            <v>ULTRASONIC STARFLOW DOPPLER 5m RANGE</v>
          </cell>
          <cell r="C2313">
            <v>3080</v>
          </cell>
          <cell r="D2313">
            <v>3080</v>
          </cell>
          <cell r="E2313">
            <v>3080</v>
          </cell>
          <cell r="F2313">
            <v>3080</v>
          </cell>
          <cell r="G2313">
            <v>3080</v>
          </cell>
          <cell r="H2313">
            <v>2366.71</v>
          </cell>
          <cell r="I2313">
            <v>40219</v>
          </cell>
        </row>
        <row r="2314">
          <cell r="A2314" t="str">
            <v>UNISFDO2</v>
          </cell>
          <cell r="B2314" t="str">
            <v>UNIDATA STARFLOW DOPPLER 2m</v>
          </cell>
          <cell r="C2314">
            <v>1868</v>
          </cell>
          <cell r="D2314">
            <v>2650</v>
          </cell>
          <cell r="E2314">
            <v>2650</v>
          </cell>
          <cell r="F2314">
            <v>2650</v>
          </cell>
          <cell r="G2314">
            <v>2650</v>
          </cell>
          <cell r="H2314">
            <v>2366.71</v>
          </cell>
          <cell r="I2314">
            <v>40046</v>
          </cell>
        </row>
        <row r="2315">
          <cell r="A2315" t="str">
            <v>UNISFDU</v>
          </cell>
          <cell r="B2315" t="str">
            <v>STARFLOW LCD DISPLAY UNIT - C</v>
          </cell>
          <cell r="C2315">
            <v>407.07</v>
          </cell>
          <cell r="D2315">
            <v>504</v>
          </cell>
          <cell r="E2315">
            <v>504</v>
          </cell>
          <cell r="F2315">
            <v>504</v>
          </cell>
          <cell r="G2315">
            <v>504</v>
          </cell>
          <cell r="H2315">
            <v>349.04700000000003</v>
          </cell>
          <cell r="I2315">
            <v>39988</v>
          </cell>
        </row>
        <row r="2316">
          <cell r="A2316" t="str">
            <v>UNISFEB</v>
          </cell>
          <cell r="B2316" t="str">
            <v>STARFLOW EXPANDING BAND KIT 1800mm BAND</v>
          </cell>
          <cell r="C2316">
            <v>110</v>
          </cell>
          <cell r="D2316">
            <v>110</v>
          </cell>
          <cell r="E2316">
            <v>110</v>
          </cell>
          <cell r="F2316">
            <v>110</v>
          </cell>
          <cell r="G2316">
            <v>110</v>
          </cell>
          <cell r="H2316">
            <v>69.353999999999999</v>
          </cell>
        </row>
        <row r="2317">
          <cell r="A2317" t="str">
            <v>UNISFECL</v>
          </cell>
          <cell r="B2317" t="str">
            <v>STARFLOW EXPANDING BAND CLAMP LARGE</v>
          </cell>
          <cell r="C2317">
            <v>114</v>
          </cell>
          <cell r="D2317">
            <v>148</v>
          </cell>
          <cell r="E2317">
            <v>148</v>
          </cell>
          <cell r="F2317">
            <v>148</v>
          </cell>
          <cell r="G2317">
            <v>148</v>
          </cell>
          <cell r="H2317">
            <v>142.63300000000001</v>
          </cell>
          <cell r="I2317">
            <v>39836</v>
          </cell>
        </row>
        <row r="2318">
          <cell r="A2318" t="str">
            <v>UNISFECS</v>
          </cell>
          <cell r="B2318" t="str">
            <v>STARFLOW EXPANDING BAND CLAMP SMALL</v>
          </cell>
          <cell r="C2318">
            <v>93</v>
          </cell>
          <cell r="D2318">
            <v>121</v>
          </cell>
          <cell r="E2318">
            <v>121</v>
          </cell>
          <cell r="F2318">
            <v>121</v>
          </cell>
          <cell r="G2318">
            <v>121</v>
          </cell>
          <cell r="H2318">
            <v>116.462</v>
          </cell>
          <cell r="I2318">
            <v>39836</v>
          </cell>
        </row>
        <row r="2319">
          <cell r="A2319" t="str">
            <v>UNISFEN</v>
          </cell>
          <cell r="B2319" t="str">
            <v>STARFLOW W/PROOF ENCLOSURE WITH LCD</v>
          </cell>
          <cell r="C2319">
            <v>939</v>
          </cell>
          <cell r="D2319">
            <v>1163</v>
          </cell>
          <cell r="E2319">
            <v>1163</v>
          </cell>
          <cell r="F2319">
            <v>1163</v>
          </cell>
          <cell r="G2319">
            <v>1163</v>
          </cell>
          <cell r="H2319">
            <v>791.375</v>
          </cell>
          <cell r="I2319">
            <v>39884</v>
          </cell>
        </row>
        <row r="2320">
          <cell r="A2320" t="str">
            <v>UNISFFL</v>
          </cell>
          <cell r="B2320" t="str">
            <v>STARFLOW DOPPLER LARGE FILTER</v>
          </cell>
          <cell r="C2320">
            <v>15</v>
          </cell>
          <cell r="D2320">
            <v>15</v>
          </cell>
          <cell r="E2320">
            <v>15</v>
          </cell>
          <cell r="F2320">
            <v>15</v>
          </cell>
          <cell r="G2320">
            <v>15</v>
          </cell>
          <cell r="H2320">
            <v>0</v>
          </cell>
        </row>
        <row r="2321">
          <cell r="A2321" t="str">
            <v>UNISFFS</v>
          </cell>
          <cell r="B2321" t="str">
            <v>STARFLOW DOPPLER SMALL FILTER</v>
          </cell>
          <cell r="C2321">
            <v>15</v>
          </cell>
          <cell r="D2321">
            <v>15</v>
          </cell>
          <cell r="E2321">
            <v>15</v>
          </cell>
          <cell r="F2321">
            <v>15</v>
          </cell>
          <cell r="G2321">
            <v>15</v>
          </cell>
          <cell r="H2321">
            <v>0</v>
          </cell>
        </row>
        <row r="2322">
          <cell r="A2322" t="str">
            <v>UNISFVC</v>
          </cell>
          <cell r="B2322" t="str">
            <v>STARFLOW VENTED CABLE 20m #6603V/20</v>
          </cell>
          <cell r="C2322">
            <v>182</v>
          </cell>
          <cell r="D2322">
            <v>182</v>
          </cell>
          <cell r="E2322">
            <v>182</v>
          </cell>
          <cell r="F2322">
            <v>182</v>
          </cell>
          <cell r="G2322">
            <v>182</v>
          </cell>
          <cell r="H2322">
            <v>140</v>
          </cell>
        </row>
        <row r="2323">
          <cell r="A2323" t="str">
            <v>UNISHAF</v>
          </cell>
          <cell r="B2323" t="str">
            <v>SHAFT ENCODER MECHANISM</v>
          </cell>
          <cell r="C2323">
            <v>350</v>
          </cell>
          <cell r="D2323">
            <v>350</v>
          </cell>
          <cell r="E2323">
            <v>350</v>
          </cell>
          <cell r="F2323">
            <v>350</v>
          </cell>
          <cell r="G2323">
            <v>350</v>
          </cell>
          <cell r="H2323">
            <v>0</v>
          </cell>
        </row>
        <row r="2324">
          <cell r="A2324" t="str">
            <v>UNISLBO</v>
          </cell>
          <cell r="B2324" t="str">
            <v>STARLOGGER BOX KIT (NO LOGGER)</v>
          </cell>
          <cell r="C2324">
            <v>565</v>
          </cell>
          <cell r="D2324">
            <v>565</v>
          </cell>
          <cell r="E2324">
            <v>565</v>
          </cell>
          <cell r="F2324">
            <v>565</v>
          </cell>
          <cell r="G2324">
            <v>565</v>
          </cell>
          <cell r="H2324">
            <v>728.93499999999995</v>
          </cell>
        </row>
        <row r="2325">
          <cell r="A2325" t="str">
            <v>UNISLLA</v>
          </cell>
          <cell r="B2325" t="str">
            <v>LABEL  STARLOGGER MODULE</v>
          </cell>
          <cell r="C2325">
            <v>20.25</v>
          </cell>
          <cell r="D2325">
            <v>25</v>
          </cell>
          <cell r="E2325">
            <v>25</v>
          </cell>
          <cell r="F2325">
            <v>25</v>
          </cell>
          <cell r="G2325">
            <v>25</v>
          </cell>
          <cell r="H2325">
            <v>20</v>
          </cell>
          <cell r="I2325">
            <v>39883</v>
          </cell>
        </row>
        <row r="2326">
          <cell r="A2326" t="str">
            <v>UNISLMY</v>
          </cell>
          <cell r="B2326" t="str">
            <v>STARLOGGER MODULE YELLOW COMPLETE</v>
          </cell>
          <cell r="C2326">
            <v>1950</v>
          </cell>
          <cell r="D2326">
            <v>1950</v>
          </cell>
          <cell r="E2326">
            <v>1950</v>
          </cell>
          <cell r="F2326">
            <v>1950</v>
          </cell>
          <cell r="G2326">
            <v>1950</v>
          </cell>
          <cell r="H2326">
            <v>1438.04</v>
          </cell>
        </row>
        <row r="2327">
          <cell r="A2327" t="str">
            <v>UNISLSWB</v>
          </cell>
          <cell r="B2327" t="str">
            <v>STARLOGGER SWITCH BRACKET</v>
          </cell>
          <cell r="C2327">
            <v>0</v>
          </cell>
          <cell r="D2327">
            <v>0</v>
          </cell>
          <cell r="E2327">
            <v>0</v>
          </cell>
          <cell r="F2327">
            <v>0</v>
          </cell>
          <cell r="G2327">
            <v>0</v>
          </cell>
          <cell r="H2327">
            <v>0</v>
          </cell>
        </row>
        <row r="2328">
          <cell r="A2328" t="str">
            <v>UNISMCI</v>
          </cell>
          <cell r="B2328" t="str">
            <v>TRANSDUCER  SOIL-MOISTURE C-W INTERFACE</v>
          </cell>
          <cell r="C2328">
            <v>100</v>
          </cell>
          <cell r="D2328">
            <v>100</v>
          </cell>
          <cell r="E2328">
            <v>100</v>
          </cell>
          <cell r="F2328">
            <v>100</v>
          </cell>
          <cell r="G2328">
            <v>100</v>
          </cell>
          <cell r="H2328">
            <v>0</v>
          </cell>
        </row>
        <row r="2329">
          <cell r="A2329" t="str">
            <v>UNISMPR</v>
          </cell>
          <cell r="B2329" t="str">
            <v>TRANSDUCER  SOIL MOISTURE (GYPSUM BLOCK</v>
          </cell>
          <cell r="C2329">
            <v>65</v>
          </cell>
          <cell r="D2329">
            <v>65</v>
          </cell>
          <cell r="E2329">
            <v>65</v>
          </cell>
          <cell r="F2329">
            <v>65</v>
          </cell>
          <cell r="G2329">
            <v>65</v>
          </cell>
          <cell r="H2329">
            <v>0</v>
          </cell>
        </row>
        <row r="2330">
          <cell r="A2330" t="str">
            <v>UNISORE</v>
          </cell>
          <cell r="B2330" t="str">
            <v>RECORDER SOFTWARE (HYDROLOGGER 2001 LICE</v>
          </cell>
          <cell r="C2330">
            <v>210</v>
          </cell>
          <cell r="D2330">
            <v>210</v>
          </cell>
          <cell r="E2330">
            <v>210</v>
          </cell>
          <cell r="F2330">
            <v>210</v>
          </cell>
          <cell r="G2330">
            <v>210</v>
          </cell>
          <cell r="H2330">
            <v>0</v>
          </cell>
        </row>
        <row r="2331">
          <cell r="A2331" t="str">
            <v>UNISORS</v>
          </cell>
          <cell r="B2331" t="str">
            <v>RECORDER SOFTWARE STARFLOW</v>
          </cell>
          <cell r="C2331">
            <v>210</v>
          </cell>
          <cell r="D2331">
            <v>210</v>
          </cell>
          <cell r="E2331">
            <v>210</v>
          </cell>
          <cell r="F2331">
            <v>210</v>
          </cell>
          <cell r="G2331">
            <v>210</v>
          </cell>
          <cell r="H2331">
            <v>0</v>
          </cell>
        </row>
        <row r="2332">
          <cell r="A2332" t="str">
            <v>UNISOST</v>
          </cell>
          <cell r="B2332" t="str">
            <v>STARLITE SOFTWARE</v>
          </cell>
          <cell r="C2332">
            <v>270</v>
          </cell>
          <cell r="D2332">
            <v>270</v>
          </cell>
          <cell r="E2332">
            <v>270</v>
          </cell>
          <cell r="F2332">
            <v>270</v>
          </cell>
          <cell r="G2332">
            <v>270</v>
          </cell>
          <cell r="H2332">
            <v>0</v>
          </cell>
        </row>
        <row r="2333">
          <cell r="A2333" t="str">
            <v>UNISOUN3</v>
          </cell>
          <cell r="B2333" t="str">
            <v>STARLOG VERSION 3 SOFTWARE</v>
          </cell>
          <cell r="C2333">
            <v>300</v>
          </cell>
          <cell r="D2333">
            <v>300</v>
          </cell>
          <cell r="E2333">
            <v>300</v>
          </cell>
          <cell r="F2333">
            <v>300</v>
          </cell>
          <cell r="G2333">
            <v>300</v>
          </cell>
          <cell r="H2333">
            <v>0</v>
          </cell>
        </row>
        <row r="2334">
          <cell r="A2334" t="str">
            <v>UNISTLM</v>
          </cell>
          <cell r="B2334" t="str">
            <v>STARLOGGER MODULE BLUE COMPLETE</v>
          </cell>
          <cell r="C2334">
            <v>1850</v>
          </cell>
          <cell r="D2334">
            <v>2095</v>
          </cell>
          <cell r="E2334">
            <v>2095</v>
          </cell>
          <cell r="F2334">
            <v>2095</v>
          </cell>
          <cell r="G2334">
            <v>2095</v>
          </cell>
          <cell r="H2334">
            <v>1903.9580000000001</v>
          </cell>
          <cell r="I2334">
            <v>40136</v>
          </cell>
        </row>
        <row r="2335">
          <cell r="A2335" t="str">
            <v>UNISTLO</v>
          </cell>
          <cell r="B2335" t="str">
            <v>STARLOGGER BLUE</v>
          </cell>
          <cell r="C2335">
            <v>948</v>
          </cell>
          <cell r="D2335">
            <v>1233</v>
          </cell>
          <cell r="E2335">
            <v>1233</v>
          </cell>
          <cell r="F2335">
            <v>1233</v>
          </cell>
          <cell r="G2335">
            <v>1233</v>
          </cell>
          <cell r="H2335">
            <v>1003.198</v>
          </cell>
          <cell r="I2335">
            <v>39836</v>
          </cell>
        </row>
        <row r="2336">
          <cell r="A2336" t="str">
            <v>UNISTMP</v>
          </cell>
          <cell r="B2336" t="str">
            <v>UNIDATA PROLOGGER MODULE COMPLETE</v>
          </cell>
          <cell r="C2336">
            <v>2250</v>
          </cell>
          <cell r="D2336">
            <v>2250</v>
          </cell>
          <cell r="E2336">
            <v>2250</v>
          </cell>
          <cell r="F2336">
            <v>2250</v>
          </cell>
          <cell r="G2336">
            <v>2250</v>
          </cell>
          <cell r="H2336">
            <v>0</v>
          </cell>
        </row>
        <row r="2337">
          <cell r="A2337" t="str">
            <v>UNISTSO</v>
          </cell>
          <cell r="B2337" t="str">
            <v>PROBE  SOIL TEMPERATURE LM34</v>
          </cell>
          <cell r="C2337">
            <v>196</v>
          </cell>
          <cell r="D2337">
            <v>243</v>
          </cell>
          <cell r="E2337">
            <v>243</v>
          </cell>
          <cell r="F2337">
            <v>243</v>
          </cell>
          <cell r="G2337">
            <v>243</v>
          </cell>
          <cell r="H2337">
            <v>189.959</v>
          </cell>
          <cell r="I2337">
            <v>39884</v>
          </cell>
        </row>
        <row r="2338">
          <cell r="A2338" t="str">
            <v>UNISTWB</v>
          </cell>
          <cell r="B2338" t="str">
            <v>STARLOGGER YELLOW</v>
          </cell>
          <cell r="C2338">
            <v>1344.12</v>
          </cell>
          <cell r="D2338">
            <v>1344.12</v>
          </cell>
          <cell r="E2338">
            <v>1344.12</v>
          </cell>
          <cell r="F2338">
            <v>1344.12</v>
          </cell>
          <cell r="G2338">
            <v>1344.12</v>
          </cell>
          <cell r="H2338">
            <v>903.04</v>
          </cell>
        </row>
        <row r="2339">
          <cell r="A2339" t="str">
            <v>UNITPCA</v>
          </cell>
          <cell r="B2339" t="str">
            <v>PROBE  TEMPERATURE LM34</v>
          </cell>
          <cell r="C2339">
            <v>312</v>
          </cell>
          <cell r="D2339">
            <v>312</v>
          </cell>
          <cell r="E2339">
            <v>312</v>
          </cell>
          <cell r="F2339">
            <v>312</v>
          </cell>
          <cell r="G2339">
            <v>312</v>
          </cell>
          <cell r="H2339">
            <v>241.34</v>
          </cell>
          <cell r="I2339">
            <v>40266</v>
          </cell>
        </row>
        <row r="2340">
          <cell r="A2340" t="str">
            <v>UNITPCA2</v>
          </cell>
          <cell r="B2340" t="str">
            <v>PROBE TEMPARATURE LM34 C/W 20m CABLE</v>
          </cell>
          <cell r="C2340">
            <v>237</v>
          </cell>
          <cell r="D2340">
            <v>263</v>
          </cell>
          <cell r="E2340">
            <v>263</v>
          </cell>
          <cell r="F2340">
            <v>263</v>
          </cell>
          <cell r="G2340">
            <v>263</v>
          </cell>
          <cell r="H2340">
            <v>213.18100000000001</v>
          </cell>
          <cell r="I2340">
            <v>39836</v>
          </cell>
        </row>
        <row r="2341">
          <cell r="A2341" t="str">
            <v>UNITRD1</v>
          </cell>
          <cell r="B2341" t="str">
            <v>THERMISTOR  RED .1%  C-W 11M CABLE</v>
          </cell>
          <cell r="C2341">
            <v>210</v>
          </cell>
          <cell r="D2341">
            <v>210</v>
          </cell>
          <cell r="E2341">
            <v>210</v>
          </cell>
          <cell r="F2341">
            <v>210</v>
          </cell>
          <cell r="G2341">
            <v>210</v>
          </cell>
          <cell r="H2341">
            <v>95.349000000000004</v>
          </cell>
        </row>
        <row r="2342">
          <cell r="A2342" t="str">
            <v>UNIWAVE</v>
          </cell>
          <cell r="B2342" t="str">
            <v>WAVECOM MODEM Q2438F</v>
          </cell>
          <cell r="C2342">
            <v>350</v>
          </cell>
          <cell r="D2342">
            <v>350</v>
          </cell>
          <cell r="E2342">
            <v>350</v>
          </cell>
          <cell r="F2342">
            <v>350</v>
          </cell>
          <cell r="G2342">
            <v>350</v>
          </cell>
          <cell r="H2342">
            <v>262.209</v>
          </cell>
        </row>
        <row r="2343">
          <cell r="A2343" t="str">
            <v>UNIWDP</v>
          </cell>
          <cell r="B2343" t="str">
            <v>WDP WATER DEPTH PROBE</v>
          </cell>
          <cell r="C2343">
            <v>2450</v>
          </cell>
          <cell r="D2343">
            <v>2450</v>
          </cell>
          <cell r="E2343">
            <v>2450</v>
          </cell>
          <cell r="F2343">
            <v>2450</v>
          </cell>
          <cell r="G2343">
            <v>2450</v>
          </cell>
          <cell r="H2343">
            <v>1412.7909999999999</v>
          </cell>
        </row>
        <row r="2344">
          <cell r="A2344" t="str">
            <v>UNIWDP10</v>
          </cell>
          <cell r="B2344" t="str">
            <v>UNIDATA WATER DEPTH PROBE 10m RANGE</v>
          </cell>
          <cell r="C2344">
            <v>1995</v>
          </cell>
          <cell r="D2344">
            <v>1995</v>
          </cell>
          <cell r="E2344">
            <v>1995</v>
          </cell>
          <cell r="F2344">
            <v>1995</v>
          </cell>
          <cell r="G2344">
            <v>1995</v>
          </cell>
          <cell r="H2344">
            <v>1599.3589999999999</v>
          </cell>
        </row>
        <row r="2345">
          <cell r="A2345" t="str">
            <v>UNIWDP5</v>
          </cell>
          <cell r="B2345" t="str">
            <v>UNIDATA WATER DEPTH PROBE 5m RANGE</v>
          </cell>
          <cell r="C2345">
            <v>1995</v>
          </cell>
          <cell r="D2345">
            <v>1995</v>
          </cell>
          <cell r="E2345">
            <v>1995</v>
          </cell>
          <cell r="F2345">
            <v>1995</v>
          </cell>
          <cell r="G2345">
            <v>1995</v>
          </cell>
          <cell r="H2345">
            <v>1393.758</v>
          </cell>
        </row>
        <row r="2346">
          <cell r="A2346" t="str">
            <v>UNIWDPB</v>
          </cell>
          <cell r="B2346" t="str">
            <v>WDP BATTERY PACK</v>
          </cell>
          <cell r="C2346">
            <v>195</v>
          </cell>
          <cell r="D2346">
            <v>195</v>
          </cell>
          <cell r="E2346">
            <v>195</v>
          </cell>
          <cell r="F2346">
            <v>195</v>
          </cell>
          <cell r="G2346">
            <v>195</v>
          </cell>
          <cell r="H2346">
            <v>0</v>
          </cell>
        </row>
        <row r="2347">
          <cell r="A2347" t="str">
            <v>UNIWDPC</v>
          </cell>
          <cell r="B2347" t="str">
            <v>WDP CABLE CLAMP</v>
          </cell>
          <cell r="C2347">
            <v>30</v>
          </cell>
          <cell r="D2347">
            <v>30</v>
          </cell>
          <cell r="E2347">
            <v>30</v>
          </cell>
          <cell r="F2347">
            <v>30</v>
          </cell>
          <cell r="G2347">
            <v>30</v>
          </cell>
          <cell r="H2347">
            <v>19</v>
          </cell>
        </row>
        <row r="2348">
          <cell r="A2348" t="str">
            <v>UNIWMIN</v>
          </cell>
          <cell r="B2348" t="str">
            <v>WIND MONITOR INTERFACE</v>
          </cell>
          <cell r="C2348">
            <v>127</v>
          </cell>
          <cell r="D2348">
            <v>127</v>
          </cell>
          <cell r="E2348">
            <v>127</v>
          </cell>
          <cell r="F2348">
            <v>127</v>
          </cell>
          <cell r="G2348">
            <v>127</v>
          </cell>
          <cell r="H2348">
            <v>0</v>
          </cell>
        </row>
        <row r="2349">
          <cell r="A2349" t="str">
            <v>UNIWSBR</v>
          </cell>
          <cell r="B2349" t="str">
            <v>WIND SPEED &amp; DIRECTION SENSOR BEARING</v>
          </cell>
          <cell r="C2349">
            <v>59.38</v>
          </cell>
          <cell r="D2349">
            <v>59.38</v>
          </cell>
          <cell r="E2349">
            <v>59.38</v>
          </cell>
          <cell r="F2349">
            <v>59.38</v>
          </cell>
          <cell r="G2349">
            <v>59.38</v>
          </cell>
          <cell r="H2349">
            <v>0</v>
          </cell>
        </row>
        <row r="2350">
          <cell r="A2350" t="str">
            <v>UNIWSCU</v>
          </cell>
          <cell r="B2350" t="str">
            <v>WIND SPEED &amp; DIRECTION CUPS</v>
          </cell>
          <cell r="C2350">
            <v>20.079999999999998</v>
          </cell>
          <cell r="D2350">
            <v>20.079999999999998</v>
          </cell>
          <cell r="E2350">
            <v>20.079999999999998</v>
          </cell>
          <cell r="F2350">
            <v>20.079999999999998</v>
          </cell>
          <cell r="G2350">
            <v>20.079999999999998</v>
          </cell>
          <cell r="H2350">
            <v>0</v>
          </cell>
        </row>
        <row r="2351">
          <cell r="A2351" t="str">
            <v>UNIWSPD</v>
          </cell>
          <cell r="B2351" t="str">
            <v>WIND SPEED &amp; DIRECTION SENSOR</v>
          </cell>
          <cell r="C2351">
            <v>1350</v>
          </cell>
          <cell r="D2351">
            <v>1350</v>
          </cell>
          <cell r="E2351">
            <v>1350</v>
          </cell>
          <cell r="F2351">
            <v>1350</v>
          </cell>
          <cell r="G2351">
            <v>1350</v>
          </cell>
          <cell r="H2351">
            <v>0</v>
          </cell>
        </row>
        <row r="2352">
          <cell r="A2352" t="str">
            <v>UNIXRCO</v>
          </cell>
          <cell r="B2352" t="str">
            <v>XRT PCB COVER</v>
          </cell>
          <cell r="C2352">
            <v>65</v>
          </cell>
          <cell r="D2352">
            <v>79.95</v>
          </cell>
          <cell r="E2352">
            <v>79.95</v>
          </cell>
          <cell r="F2352">
            <v>79.95</v>
          </cell>
          <cell r="G2352">
            <v>79.95</v>
          </cell>
          <cell r="H2352">
            <v>61.5</v>
          </cell>
          <cell r="I2352">
            <v>39988</v>
          </cell>
        </row>
        <row r="2353">
          <cell r="A2353" t="str">
            <v>UNIXRPI</v>
          </cell>
          <cell r="B2353" t="str">
            <v>XRT PCB PILLAR</v>
          </cell>
          <cell r="C2353">
            <v>14.12</v>
          </cell>
          <cell r="D2353">
            <v>17.5</v>
          </cell>
          <cell r="E2353">
            <v>17.5</v>
          </cell>
          <cell r="F2353">
            <v>17.5</v>
          </cell>
          <cell r="G2353">
            <v>17.5</v>
          </cell>
          <cell r="H2353">
            <v>13.75</v>
          </cell>
          <cell r="I2353">
            <v>39883</v>
          </cell>
        </row>
        <row r="2354">
          <cell r="A2354" t="str">
            <v>UNIXRT</v>
          </cell>
          <cell r="B2354" t="str">
            <v>XRT - GPRS 900-1800 BATTERY &amp; ANTENNA</v>
          </cell>
          <cell r="C2354">
            <v>1110</v>
          </cell>
          <cell r="D2354">
            <v>1110</v>
          </cell>
          <cell r="E2354">
            <v>1110</v>
          </cell>
          <cell r="F2354">
            <v>1110</v>
          </cell>
          <cell r="G2354">
            <v>1110</v>
          </cell>
          <cell r="H2354">
            <v>865.44</v>
          </cell>
        </row>
        <row r="2355">
          <cell r="A2355" t="str">
            <v>UNIXRTA</v>
          </cell>
          <cell r="B2355" t="str">
            <v>XRT ANTENNA</v>
          </cell>
          <cell r="C2355">
            <v>120</v>
          </cell>
          <cell r="D2355">
            <v>120</v>
          </cell>
          <cell r="E2355">
            <v>120</v>
          </cell>
          <cell r="F2355">
            <v>120</v>
          </cell>
          <cell r="G2355">
            <v>120</v>
          </cell>
          <cell r="H2355">
            <v>88.242000000000004</v>
          </cell>
        </row>
        <row r="2356">
          <cell r="A2356" t="str">
            <v>UNIXRTM</v>
          </cell>
          <cell r="B2356" t="str">
            <v>XRT MODEM</v>
          </cell>
          <cell r="C2356">
            <v>195</v>
          </cell>
          <cell r="D2356">
            <v>195</v>
          </cell>
          <cell r="E2356">
            <v>195</v>
          </cell>
          <cell r="F2356">
            <v>195</v>
          </cell>
          <cell r="G2356">
            <v>195</v>
          </cell>
          <cell r="H2356">
            <v>129.36199999999999</v>
          </cell>
        </row>
        <row r="2357">
          <cell r="A2357" t="str">
            <v>UNIXRTN</v>
          </cell>
          <cell r="B2357" t="str">
            <v>XRT MODULE - NO MODEM</v>
          </cell>
          <cell r="C2357">
            <v>650</v>
          </cell>
          <cell r="D2357">
            <v>650</v>
          </cell>
          <cell r="E2357">
            <v>650</v>
          </cell>
          <cell r="F2357">
            <v>650</v>
          </cell>
          <cell r="G2357">
            <v>650</v>
          </cell>
          <cell r="H2357">
            <v>475.52600000000001</v>
          </cell>
        </row>
        <row r="2358">
          <cell r="A2358" t="str">
            <v>UNIXRTS</v>
          </cell>
          <cell r="B2358" t="str">
            <v>UNIDATA XRT SUPPORT BOARD</v>
          </cell>
          <cell r="C2358">
            <v>500</v>
          </cell>
          <cell r="D2358">
            <v>500</v>
          </cell>
          <cell r="E2358">
            <v>500</v>
          </cell>
          <cell r="F2358">
            <v>500</v>
          </cell>
          <cell r="G2358">
            <v>500</v>
          </cell>
          <cell r="H2358">
            <v>354.62200000000001</v>
          </cell>
        </row>
        <row r="2359">
          <cell r="A2359" t="str">
            <v>UNIXRTT</v>
          </cell>
          <cell r="B2359" t="str">
            <v>XRT TERMINATION STRIP</v>
          </cell>
          <cell r="C2359">
            <v>70</v>
          </cell>
          <cell r="D2359">
            <v>70</v>
          </cell>
          <cell r="E2359">
            <v>70</v>
          </cell>
          <cell r="F2359">
            <v>70</v>
          </cell>
          <cell r="G2359">
            <v>70</v>
          </cell>
          <cell r="H2359">
            <v>51.621000000000002</v>
          </cell>
        </row>
        <row r="2360">
          <cell r="A2360" t="str">
            <v>UNIYLLA</v>
          </cell>
          <cell r="B2360" t="str">
            <v>STARLOGGER YELLOW FACED LABEL</v>
          </cell>
          <cell r="C2360">
            <v>105</v>
          </cell>
          <cell r="D2360">
            <v>105</v>
          </cell>
          <cell r="E2360">
            <v>105</v>
          </cell>
          <cell r="F2360">
            <v>105</v>
          </cell>
          <cell r="G2360">
            <v>105</v>
          </cell>
          <cell r="H2360">
            <v>81.394999999999996</v>
          </cell>
        </row>
        <row r="2361">
          <cell r="A2361" t="str">
            <v>USBSERI</v>
          </cell>
          <cell r="B2361" t="str">
            <v>KEYSPAN USB SERIAL ADAPTER</v>
          </cell>
          <cell r="C2361">
            <v>90</v>
          </cell>
          <cell r="D2361">
            <v>99</v>
          </cell>
          <cell r="E2361">
            <v>99</v>
          </cell>
          <cell r="F2361">
            <v>99</v>
          </cell>
          <cell r="G2361">
            <v>99</v>
          </cell>
          <cell r="H2361">
            <v>68.656999999999996</v>
          </cell>
        </row>
        <row r="2362">
          <cell r="A2362" t="str">
            <v>USGSCMC</v>
          </cell>
          <cell r="B2362" t="str">
            <v>CURRENT METER SIGNAL PROCESSOR</v>
          </cell>
          <cell r="C2362">
            <v>1250</v>
          </cell>
          <cell r="D2362">
            <v>1500</v>
          </cell>
          <cell r="E2362">
            <v>1500</v>
          </cell>
          <cell r="F2362">
            <v>1500</v>
          </cell>
          <cell r="G2362">
            <v>1500</v>
          </cell>
          <cell r="H2362">
            <v>1035.7570000000001</v>
          </cell>
        </row>
        <row r="2363">
          <cell r="A2363" t="str">
            <v>USGSGPA</v>
          </cell>
          <cell r="B2363" t="str">
            <v>USGS CONOFLOW GAS PURGE ASSY</v>
          </cell>
          <cell r="C2363">
            <v>1500</v>
          </cell>
          <cell r="D2363">
            <v>1950</v>
          </cell>
          <cell r="E2363">
            <v>1950</v>
          </cell>
          <cell r="F2363">
            <v>1950</v>
          </cell>
          <cell r="G2363">
            <v>1950</v>
          </cell>
          <cell r="H2363">
            <v>1292.895</v>
          </cell>
          <cell r="I2363">
            <v>40029</v>
          </cell>
        </row>
        <row r="2364">
          <cell r="A2364" t="str">
            <v>UWCLECO</v>
          </cell>
          <cell r="B2364" t="str">
            <v>ECOTRIPLET CLAMP SET</v>
          </cell>
          <cell r="C2364">
            <v>185</v>
          </cell>
          <cell r="D2364">
            <v>185</v>
          </cell>
          <cell r="E2364">
            <v>185</v>
          </cell>
          <cell r="F2364">
            <v>185</v>
          </cell>
          <cell r="G2364">
            <v>185</v>
          </cell>
          <cell r="H2364">
            <v>105.77800000000001</v>
          </cell>
        </row>
        <row r="2365">
          <cell r="A2365" t="str">
            <v>UWCLGS</v>
          </cell>
          <cell r="B2365" t="str">
            <v>GREENSPAN CLAMP SET</v>
          </cell>
          <cell r="C2365">
            <v>180</v>
          </cell>
          <cell r="D2365">
            <v>180</v>
          </cell>
          <cell r="E2365">
            <v>180</v>
          </cell>
          <cell r="F2365">
            <v>180</v>
          </cell>
          <cell r="G2365">
            <v>180</v>
          </cell>
          <cell r="H2365">
            <v>129.6</v>
          </cell>
        </row>
        <row r="2366">
          <cell r="A2366" t="str">
            <v>UWCLSQ</v>
          </cell>
          <cell r="B2366" t="str">
            <v>SQUIRTEK CLAMP SET</v>
          </cell>
          <cell r="C2366">
            <v>130</v>
          </cell>
          <cell r="D2366">
            <v>150</v>
          </cell>
          <cell r="E2366">
            <v>150</v>
          </cell>
          <cell r="F2366">
            <v>150</v>
          </cell>
          <cell r="G2366">
            <v>150</v>
          </cell>
          <cell r="H2366">
            <v>113.128</v>
          </cell>
        </row>
        <row r="2367">
          <cell r="A2367" t="str">
            <v>UWCSCPA</v>
          </cell>
          <cell r="B2367" t="str">
            <v>CLUTHA SQUIRTEK CHEMICAL PIPE ASSY</v>
          </cell>
          <cell r="C2367">
            <v>297.14999999999998</v>
          </cell>
          <cell r="D2367">
            <v>367.9</v>
          </cell>
          <cell r="E2367">
            <v>367.9</v>
          </cell>
          <cell r="F2367">
            <v>367.9</v>
          </cell>
          <cell r="G2367">
            <v>367.9</v>
          </cell>
          <cell r="H2367">
            <v>283</v>
          </cell>
          <cell r="I2367">
            <v>39882</v>
          </cell>
        </row>
        <row r="2368">
          <cell r="A2368" t="str">
            <v>UWJBATC</v>
          </cell>
          <cell r="B2368" t="str">
            <v>UNDERWATER JUNCTION BATTERY CASE</v>
          </cell>
          <cell r="C2368">
            <v>328</v>
          </cell>
          <cell r="D2368">
            <v>406</v>
          </cell>
          <cell r="E2368">
            <v>406</v>
          </cell>
          <cell r="F2368">
            <v>406</v>
          </cell>
          <cell r="G2368">
            <v>406</v>
          </cell>
          <cell r="H2368">
            <v>312.13299999999998</v>
          </cell>
        </row>
        <row r="2369">
          <cell r="A2369" t="str">
            <v>UWJBOX</v>
          </cell>
          <cell r="B2369" t="str">
            <v>UNDERWATER JUNCTION BOX (NO HOLES)</v>
          </cell>
          <cell r="C2369">
            <v>76.650000000000006</v>
          </cell>
          <cell r="D2369">
            <v>94.9</v>
          </cell>
          <cell r="E2369">
            <v>94.9</v>
          </cell>
          <cell r="F2369">
            <v>94.9</v>
          </cell>
          <cell r="G2369">
            <v>94.9</v>
          </cell>
          <cell r="H2369">
            <v>73</v>
          </cell>
        </row>
        <row r="2370">
          <cell r="A2370" t="str">
            <v>UWJBOX1</v>
          </cell>
          <cell r="B2370" t="str">
            <v>TYPE 1 UNDERWATER JUNCTION BOX</v>
          </cell>
          <cell r="C2370">
            <v>80.430000000000007</v>
          </cell>
          <cell r="D2370">
            <v>99.58</v>
          </cell>
          <cell r="E2370">
            <v>99.58</v>
          </cell>
          <cell r="F2370">
            <v>99.58</v>
          </cell>
          <cell r="G2370">
            <v>99.58</v>
          </cell>
          <cell r="H2370">
            <v>76.599999999999994</v>
          </cell>
        </row>
        <row r="2371">
          <cell r="A2371" t="str">
            <v>UWJBOX2</v>
          </cell>
          <cell r="B2371" t="str">
            <v>TYPE 2 UNDERWATER JUNCTION BOX</v>
          </cell>
          <cell r="C2371">
            <v>0</v>
          </cell>
          <cell r="D2371">
            <v>0</v>
          </cell>
          <cell r="E2371">
            <v>0</v>
          </cell>
          <cell r="F2371">
            <v>0</v>
          </cell>
          <cell r="G2371">
            <v>0</v>
          </cell>
          <cell r="H2371">
            <v>96.6</v>
          </cell>
        </row>
        <row r="2372">
          <cell r="A2372" t="str">
            <v>UWJBOX3</v>
          </cell>
          <cell r="B2372" t="str">
            <v>TYPE 3 UNDERWATER JUNCTION BOX</v>
          </cell>
          <cell r="C2372">
            <v>93.24</v>
          </cell>
          <cell r="D2372">
            <v>115.44</v>
          </cell>
          <cell r="E2372">
            <v>115.44</v>
          </cell>
          <cell r="F2372">
            <v>115.44</v>
          </cell>
          <cell r="G2372">
            <v>115.44</v>
          </cell>
          <cell r="H2372">
            <v>88.8</v>
          </cell>
        </row>
        <row r="2373">
          <cell r="A2373" t="str">
            <v>UWJFAKT</v>
          </cell>
          <cell r="B2373" t="str">
            <v>JUNCTION BOX FASTENER KIT</v>
          </cell>
          <cell r="C2373">
            <v>99.75</v>
          </cell>
          <cell r="D2373">
            <v>123.5</v>
          </cell>
          <cell r="E2373">
            <v>123.5</v>
          </cell>
          <cell r="F2373">
            <v>123.5</v>
          </cell>
          <cell r="G2373">
            <v>123.5</v>
          </cell>
          <cell r="H2373">
            <v>95</v>
          </cell>
          <cell r="I2373">
            <v>39884</v>
          </cell>
        </row>
        <row r="2374">
          <cell r="A2374" t="str">
            <v>UWJLID</v>
          </cell>
          <cell r="B2374" t="str">
            <v>UNDERWATER JUNCTION BOX LID</v>
          </cell>
          <cell r="C2374">
            <v>61.4</v>
          </cell>
          <cell r="D2374">
            <v>76.02</v>
          </cell>
          <cell r="E2374">
            <v>76.02</v>
          </cell>
          <cell r="F2374">
            <v>76.02</v>
          </cell>
          <cell r="G2374">
            <v>76.02</v>
          </cell>
          <cell r="H2374">
            <v>70.363</v>
          </cell>
        </row>
        <row r="2375">
          <cell r="A2375" t="str">
            <v>UWJMTBR</v>
          </cell>
          <cell r="B2375" t="str">
            <v>UNDERWATER JUNCTION MOUNTING BRACKET</v>
          </cell>
          <cell r="C2375">
            <v>54.6</v>
          </cell>
          <cell r="D2375">
            <v>67.599999999999994</v>
          </cell>
          <cell r="E2375">
            <v>67.599999999999994</v>
          </cell>
          <cell r="F2375">
            <v>67.599999999999994</v>
          </cell>
          <cell r="G2375">
            <v>67.599999999999994</v>
          </cell>
          <cell r="H2375">
            <v>52</v>
          </cell>
        </row>
        <row r="2376">
          <cell r="A2376" t="str">
            <v>UWJWRG</v>
          </cell>
          <cell r="B2376" t="str">
            <v>WIRE ROPE GRIP 10mm 316 S/STEEL</v>
          </cell>
          <cell r="C2376">
            <v>11.5</v>
          </cell>
          <cell r="D2376">
            <v>11.5</v>
          </cell>
          <cell r="E2376">
            <v>11.5</v>
          </cell>
          <cell r="F2376">
            <v>11.5</v>
          </cell>
          <cell r="G2376">
            <v>11.5</v>
          </cell>
          <cell r="H2376">
            <v>8.74</v>
          </cell>
        </row>
        <row r="2377">
          <cell r="A2377" t="str">
            <v>UWSPUMP</v>
          </cell>
          <cell r="B2377" t="str">
            <v>SQUIRTEK PUMP UNIT</v>
          </cell>
          <cell r="C2377">
            <v>431.55</v>
          </cell>
          <cell r="D2377">
            <v>534.29999999999995</v>
          </cell>
          <cell r="E2377">
            <v>534.29999999999995</v>
          </cell>
          <cell r="F2377">
            <v>534.29999999999995</v>
          </cell>
          <cell r="G2377">
            <v>534.29999999999995</v>
          </cell>
          <cell r="H2377">
            <v>476.79500000000002</v>
          </cell>
          <cell r="I2377">
            <v>39882</v>
          </cell>
        </row>
        <row r="2378">
          <cell r="A2378" t="str">
            <v>VAICO2C</v>
          </cell>
          <cell r="B2378" t="str">
            <v>VAISALA CO2 TRANSMITTER 10m PROBE CABLE</v>
          </cell>
          <cell r="C2378">
            <v>127</v>
          </cell>
          <cell r="D2378">
            <v>157.36000000000001</v>
          </cell>
          <cell r="E2378">
            <v>157.36000000000001</v>
          </cell>
          <cell r="F2378">
            <v>157.36000000000001</v>
          </cell>
          <cell r="G2378">
            <v>157.36000000000001</v>
          </cell>
          <cell r="H2378">
            <v>148.83699999999999</v>
          </cell>
        </row>
        <row r="2379">
          <cell r="A2379" t="str">
            <v>VAICO2CL</v>
          </cell>
          <cell r="B2379" t="str">
            <v>VAISALA C02 TRANSMITTER MOUNTING CLIP</v>
          </cell>
          <cell r="C2379">
            <v>0</v>
          </cell>
          <cell r="D2379">
            <v>0</v>
          </cell>
          <cell r="E2379">
            <v>0</v>
          </cell>
          <cell r="F2379">
            <v>0</v>
          </cell>
          <cell r="G2379">
            <v>0</v>
          </cell>
          <cell r="H2379">
            <v>11.628</v>
          </cell>
        </row>
        <row r="2380">
          <cell r="A2380" t="str">
            <v>VAICO2F</v>
          </cell>
          <cell r="B2380" t="str">
            <v>VAISALA CO2 TRANSMITTER MOUNTING FLANGE</v>
          </cell>
          <cell r="C2380">
            <v>0</v>
          </cell>
          <cell r="D2380">
            <v>0</v>
          </cell>
          <cell r="E2380">
            <v>0</v>
          </cell>
          <cell r="F2380">
            <v>0</v>
          </cell>
          <cell r="G2380">
            <v>0</v>
          </cell>
          <cell r="H2380">
            <v>67.441999999999993</v>
          </cell>
        </row>
        <row r="2381">
          <cell r="A2381" t="str">
            <v>VAICO2T</v>
          </cell>
          <cell r="B2381" t="str">
            <v>VAISALA GMT222 TRANSMITTER ppm CO2</v>
          </cell>
          <cell r="C2381">
            <v>0</v>
          </cell>
          <cell r="D2381">
            <v>0</v>
          </cell>
          <cell r="E2381">
            <v>0</v>
          </cell>
          <cell r="F2381">
            <v>0</v>
          </cell>
          <cell r="G2381">
            <v>0</v>
          </cell>
          <cell r="H2381">
            <v>1337.2090000000001</v>
          </cell>
        </row>
        <row r="2382">
          <cell r="A2382" t="str">
            <v>VAIFIL35</v>
          </cell>
          <cell r="B2382" t="str">
            <v>VAISALA FILTER MEMBRANE (HMP35D SENSOR)</v>
          </cell>
          <cell r="C2382">
            <v>56.76</v>
          </cell>
          <cell r="D2382">
            <v>56.76</v>
          </cell>
          <cell r="E2382">
            <v>56.76</v>
          </cell>
          <cell r="F2382">
            <v>56.76</v>
          </cell>
          <cell r="G2382">
            <v>56.76</v>
          </cell>
          <cell r="H2382">
            <v>28.876999999999999</v>
          </cell>
        </row>
        <row r="2383">
          <cell r="A2383" t="str">
            <v>VAIFIL50</v>
          </cell>
          <cell r="B2383" t="str">
            <v>VAISALA FILTER MEMBRANE (50Y SENSOR)</v>
          </cell>
          <cell r="C2383">
            <v>47</v>
          </cell>
          <cell r="D2383">
            <v>47</v>
          </cell>
          <cell r="E2383">
            <v>47</v>
          </cell>
          <cell r="F2383">
            <v>47</v>
          </cell>
          <cell r="G2383">
            <v>47</v>
          </cell>
          <cell r="H2383">
            <v>34.884</v>
          </cell>
        </row>
        <row r="2384">
          <cell r="A2384" t="str">
            <v>VAIHU35</v>
          </cell>
          <cell r="B2384" t="str">
            <v>VAISALA HUMIDITY CAPACITOR (HMP35D SENSO</v>
          </cell>
          <cell r="C2384">
            <v>216</v>
          </cell>
          <cell r="D2384">
            <v>216</v>
          </cell>
          <cell r="E2384">
            <v>216</v>
          </cell>
          <cell r="F2384">
            <v>216</v>
          </cell>
          <cell r="G2384">
            <v>216</v>
          </cell>
          <cell r="H2384">
            <v>172.143</v>
          </cell>
        </row>
        <row r="2385">
          <cell r="A2385" t="str">
            <v>VAIHU45</v>
          </cell>
          <cell r="B2385" t="str">
            <v>VAISALA HUMIDITY CAPACITOR (HMP45D SENSO</v>
          </cell>
          <cell r="C2385">
            <v>270</v>
          </cell>
          <cell r="D2385">
            <v>270</v>
          </cell>
          <cell r="E2385">
            <v>270</v>
          </cell>
          <cell r="F2385">
            <v>270</v>
          </cell>
          <cell r="G2385">
            <v>270</v>
          </cell>
          <cell r="H2385">
            <v>200</v>
          </cell>
        </row>
        <row r="2386">
          <cell r="A2386" t="str">
            <v>VAIHU50</v>
          </cell>
          <cell r="B2386" t="str">
            <v>VAISALA HUMIDITY CAPACITOR (50Y SENSOR)</v>
          </cell>
          <cell r="C2386">
            <v>141</v>
          </cell>
          <cell r="D2386">
            <v>174</v>
          </cell>
          <cell r="E2386">
            <v>174</v>
          </cell>
          <cell r="F2386">
            <v>174</v>
          </cell>
          <cell r="G2386">
            <v>174</v>
          </cell>
          <cell r="H2386">
            <v>133.721</v>
          </cell>
          <cell r="I2386">
            <v>39884</v>
          </cell>
        </row>
        <row r="2387">
          <cell r="A2387" t="str">
            <v>VAIRETE</v>
          </cell>
          <cell r="B2387" t="str">
            <v>VAISALA TEMPERATURE RESISTOR (HMP35D SEN</v>
          </cell>
          <cell r="C2387">
            <v>110.3</v>
          </cell>
          <cell r="D2387">
            <v>110.3</v>
          </cell>
          <cell r="E2387">
            <v>110.3</v>
          </cell>
          <cell r="F2387">
            <v>110.3</v>
          </cell>
          <cell r="G2387">
            <v>110.3</v>
          </cell>
          <cell r="H2387">
            <v>0</v>
          </cell>
        </row>
        <row r="2388">
          <cell r="A2388" t="str">
            <v>VAISAK2</v>
          </cell>
          <cell r="B2388" t="str">
            <v>VAISALA READY DOSED K2SO4 SALT PACKAGE C</v>
          </cell>
          <cell r="C2388">
            <v>90</v>
          </cell>
          <cell r="D2388">
            <v>90</v>
          </cell>
          <cell r="E2388">
            <v>90</v>
          </cell>
          <cell r="F2388">
            <v>90</v>
          </cell>
          <cell r="G2388">
            <v>90</v>
          </cell>
          <cell r="H2388">
            <v>51.994999999999997</v>
          </cell>
        </row>
        <row r="2389">
          <cell r="A2389" t="str">
            <v>VAISALI</v>
          </cell>
          <cell r="B2389" t="str">
            <v>VAISALA READY DOSED LiCl SALT PACKAGE C/</v>
          </cell>
          <cell r="C2389">
            <v>90</v>
          </cell>
          <cell r="D2389">
            <v>90</v>
          </cell>
          <cell r="E2389">
            <v>90</v>
          </cell>
          <cell r="F2389">
            <v>90</v>
          </cell>
          <cell r="G2389">
            <v>90</v>
          </cell>
          <cell r="H2389">
            <v>67.727999999999994</v>
          </cell>
        </row>
        <row r="2390">
          <cell r="A2390" t="str">
            <v>VAISAMG</v>
          </cell>
          <cell r="B2390" t="str">
            <v>VAISALA READY DOSED MgCl2 SALT PACKAGE C</v>
          </cell>
          <cell r="C2390">
            <v>90</v>
          </cell>
          <cell r="D2390">
            <v>90</v>
          </cell>
          <cell r="E2390">
            <v>90</v>
          </cell>
          <cell r="F2390">
            <v>90</v>
          </cell>
          <cell r="G2390">
            <v>90</v>
          </cell>
          <cell r="H2390">
            <v>67.727999999999994</v>
          </cell>
        </row>
        <row r="2391">
          <cell r="A2391" t="str">
            <v>VAISANA</v>
          </cell>
          <cell r="B2391" t="str">
            <v>VAISALA READY DOSED NaCl SALT PACKAGE C/</v>
          </cell>
          <cell r="C2391">
            <v>90</v>
          </cell>
          <cell r="D2391">
            <v>90</v>
          </cell>
          <cell r="E2391">
            <v>90</v>
          </cell>
          <cell r="F2391">
            <v>90</v>
          </cell>
          <cell r="G2391">
            <v>90</v>
          </cell>
          <cell r="H2391">
            <v>63.06</v>
          </cell>
        </row>
        <row r="2392">
          <cell r="A2392" t="str">
            <v>VAISAP2</v>
          </cell>
          <cell r="B2392" t="str">
            <v>ATMOSPHERIC PRESSURE SENSOR</v>
          </cell>
          <cell r="C2392">
            <v>1450</v>
          </cell>
          <cell r="D2392">
            <v>1450</v>
          </cell>
          <cell r="E2392">
            <v>1450</v>
          </cell>
          <cell r="F2392">
            <v>1450</v>
          </cell>
          <cell r="G2392">
            <v>1450</v>
          </cell>
          <cell r="H2392">
            <v>1033.155</v>
          </cell>
        </row>
        <row r="2393">
          <cell r="A2393" t="str">
            <v>VAISAPC</v>
          </cell>
          <cell r="B2393" t="str">
            <v>VAISALA  5 WAY MALE CONNECTOR (PTB100 SE</v>
          </cell>
          <cell r="C2393">
            <v>36</v>
          </cell>
          <cell r="D2393">
            <v>36</v>
          </cell>
          <cell r="E2393">
            <v>36</v>
          </cell>
          <cell r="F2393">
            <v>36</v>
          </cell>
          <cell r="G2393">
            <v>36</v>
          </cell>
          <cell r="H2393">
            <v>0</v>
          </cell>
        </row>
        <row r="2394">
          <cell r="A2394" t="str">
            <v>VAISAPR</v>
          </cell>
          <cell r="B2394" t="str">
            <v>ATMOSPHERIC PRESSURE SENSOR</v>
          </cell>
          <cell r="C2394">
            <v>1450</v>
          </cell>
          <cell r="D2394">
            <v>1450</v>
          </cell>
          <cell r="E2394">
            <v>1450</v>
          </cell>
          <cell r="F2394">
            <v>1450</v>
          </cell>
          <cell r="G2394">
            <v>1450</v>
          </cell>
          <cell r="H2394">
            <v>1044.8320000000001</v>
          </cell>
        </row>
        <row r="2395">
          <cell r="A2395" t="str">
            <v>VAISRH1</v>
          </cell>
          <cell r="B2395" t="str">
            <v>VAISALA RH SENSOR HMP155D</v>
          </cell>
          <cell r="C2395">
            <v>1001</v>
          </cell>
          <cell r="D2395">
            <v>1001</v>
          </cell>
          <cell r="E2395">
            <v>1001</v>
          </cell>
          <cell r="F2395">
            <v>1001</v>
          </cell>
          <cell r="G2395">
            <v>1001</v>
          </cell>
          <cell r="H2395">
            <v>769.53099999999995</v>
          </cell>
          <cell r="I2395">
            <v>40238</v>
          </cell>
        </row>
        <row r="2396">
          <cell r="A2396" t="str">
            <v>VAISRH5</v>
          </cell>
          <cell r="B2396" t="str">
            <v>VAISALA RH &amp; TEMP SENSOR 50Y 0-1 V OUTPU</v>
          </cell>
          <cell r="C2396">
            <v>385</v>
          </cell>
          <cell r="D2396">
            <v>385</v>
          </cell>
          <cell r="E2396">
            <v>385</v>
          </cell>
          <cell r="F2396">
            <v>385</v>
          </cell>
          <cell r="G2396">
            <v>385</v>
          </cell>
          <cell r="H2396">
            <v>338</v>
          </cell>
        </row>
        <row r="2397">
          <cell r="A2397" t="str">
            <v>VAISURP</v>
          </cell>
          <cell r="B2397" t="str">
            <v>SURGE PROTECTOR #WSP150</v>
          </cell>
          <cell r="C2397">
            <v>835</v>
          </cell>
          <cell r="D2397">
            <v>1050</v>
          </cell>
          <cell r="E2397">
            <v>1050</v>
          </cell>
          <cell r="F2397">
            <v>1050</v>
          </cell>
          <cell r="G2397">
            <v>1050</v>
          </cell>
          <cell r="H2397">
            <v>740.92700000000002</v>
          </cell>
        </row>
        <row r="2398">
          <cell r="A2398" t="str">
            <v>VAIWETR</v>
          </cell>
          <cell r="B2398" t="str">
            <v>VAISALA WXT520 WEATHER TRANSMITTER</v>
          </cell>
          <cell r="C2398">
            <v>4075</v>
          </cell>
          <cell r="D2398">
            <v>4650</v>
          </cell>
          <cell r="E2398">
            <v>4650</v>
          </cell>
          <cell r="F2398">
            <v>4650</v>
          </cell>
          <cell r="G2398">
            <v>4650</v>
          </cell>
          <cell r="H2398">
            <v>3794.7429999999999</v>
          </cell>
          <cell r="I2398">
            <v>40252</v>
          </cell>
        </row>
        <row r="2399">
          <cell r="A2399" t="str">
            <v>VAIWXPM</v>
          </cell>
          <cell r="B2399" t="str">
            <v>WXT510 WEATHER TRANSMITTER PTU MODULE</v>
          </cell>
          <cell r="C2399">
            <v>425.98</v>
          </cell>
          <cell r="D2399">
            <v>527</v>
          </cell>
          <cell r="E2399">
            <v>527</v>
          </cell>
          <cell r="F2399">
            <v>527</v>
          </cell>
          <cell r="G2399">
            <v>527</v>
          </cell>
          <cell r="H2399">
            <v>417.95299999999997</v>
          </cell>
          <cell r="I2399">
            <v>39884</v>
          </cell>
        </row>
        <row r="2400">
          <cell r="A2400" t="str">
            <v>VALADAP</v>
          </cell>
          <cell r="B2400" t="str">
            <v>VALVE ADAPTER</v>
          </cell>
          <cell r="C2400">
            <v>65</v>
          </cell>
          <cell r="D2400">
            <v>65</v>
          </cell>
          <cell r="E2400">
            <v>65</v>
          </cell>
          <cell r="F2400">
            <v>65</v>
          </cell>
          <cell r="G2400">
            <v>65</v>
          </cell>
          <cell r="H2400">
            <v>0</v>
          </cell>
        </row>
        <row r="2401">
          <cell r="A2401" t="str">
            <v>VALS12V</v>
          </cell>
          <cell r="B2401" t="str">
            <v>SOLENOID VALVE 12V JOUCOMATIC</v>
          </cell>
          <cell r="C2401">
            <v>175</v>
          </cell>
          <cell r="D2401">
            <v>175</v>
          </cell>
          <cell r="E2401">
            <v>175</v>
          </cell>
          <cell r="F2401">
            <v>175</v>
          </cell>
          <cell r="G2401">
            <v>175</v>
          </cell>
          <cell r="H2401">
            <v>130</v>
          </cell>
        </row>
        <row r="2402">
          <cell r="A2402" t="str">
            <v>VAR-MO60AC</v>
          </cell>
          <cell r="B2402" t="str">
            <v>VARISTOR METAL OXIDE 60AC 20JOULES</v>
          </cell>
          <cell r="C2402">
            <v>11.25</v>
          </cell>
          <cell r="D2402">
            <v>11.25</v>
          </cell>
          <cell r="E2402">
            <v>11.25</v>
          </cell>
          <cell r="F2402">
            <v>11.25</v>
          </cell>
          <cell r="G2402">
            <v>11.25</v>
          </cell>
          <cell r="H2402">
            <v>0</v>
          </cell>
        </row>
        <row r="2403">
          <cell r="A2403" t="str">
            <v>VECANEM</v>
          </cell>
          <cell r="B2403" t="str">
            <v>VECTOR ANEMOMETER A101M C-W 11M CABLE</v>
          </cell>
          <cell r="C2403">
            <v>930</v>
          </cell>
          <cell r="D2403">
            <v>930</v>
          </cell>
          <cell r="E2403">
            <v>930</v>
          </cell>
          <cell r="F2403">
            <v>930</v>
          </cell>
          <cell r="G2403">
            <v>930</v>
          </cell>
          <cell r="H2403">
            <v>700</v>
          </cell>
          <cell r="I2403">
            <v>40252</v>
          </cell>
        </row>
        <row r="2404">
          <cell r="A2404" t="str">
            <v>VECBEAR</v>
          </cell>
          <cell r="B2404" t="str">
            <v>VECTOR  BEARING FOR A101M ANEMOMETER</v>
          </cell>
          <cell r="C2404">
            <v>22.5</v>
          </cell>
          <cell r="D2404">
            <v>22.5</v>
          </cell>
          <cell r="E2404">
            <v>22.5</v>
          </cell>
          <cell r="F2404">
            <v>22.5</v>
          </cell>
          <cell r="G2404">
            <v>22.5</v>
          </cell>
          <cell r="H2404">
            <v>0</v>
          </cell>
        </row>
        <row r="2405">
          <cell r="A2405" t="str">
            <v>VECHEEL</v>
          </cell>
          <cell r="B2405" t="str">
            <v>VECTOR ANTIICING HEATING ELEMENT 12V</v>
          </cell>
          <cell r="C2405">
            <v>220</v>
          </cell>
          <cell r="D2405">
            <v>220</v>
          </cell>
          <cell r="E2405">
            <v>220</v>
          </cell>
          <cell r="F2405">
            <v>220</v>
          </cell>
          <cell r="G2405">
            <v>220</v>
          </cell>
          <cell r="H2405">
            <v>165</v>
          </cell>
        </row>
        <row r="2406">
          <cell r="A2406" t="str">
            <v>VECMOFA</v>
          </cell>
          <cell r="B2406" t="str">
            <v>VECTOR T302 MOTOR &amp; FAN</v>
          </cell>
          <cell r="C2406">
            <v>525</v>
          </cell>
          <cell r="D2406">
            <v>311.35000000000002</v>
          </cell>
          <cell r="E2406">
            <v>311.35000000000002</v>
          </cell>
          <cell r="F2406">
            <v>311.35000000000002</v>
          </cell>
          <cell r="G2406">
            <v>311.35000000000002</v>
          </cell>
          <cell r="H2406">
            <v>239.5</v>
          </cell>
          <cell r="I2406">
            <v>39988</v>
          </cell>
        </row>
        <row r="2407">
          <cell r="A2407" t="str">
            <v>VECOPSW</v>
          </cell>
          <cell r="B2407" t="str">
            <v>VECTOR A101M OPTICAL SWITCH</v>
          </cell>
          <cell r="C2407">
            <v>23</v>
          </cell>
          <cell r="D2407">
            <v>28</v>
          </cell>
          <cell r="E2407">
            <v>28</v>
          </cell>
          <cell r="F2407">
            <v>28</v>
          </cell>
          <cell r="G2407">
            <v>28</v>
          </cell>
          <cell r="H2407">
            <v>22.2</v>
          </cell>
          <cell r="I2407">
            <v>39988</v>
          </cell>
        </row>
        <row r="2408">
          <cell r="A2408" t="str">
            <v>VECPOT1</v>
          </cell>
          <cell r="B2408" t="str">
            <v>VECTOR  W200P WIND DIRECTION SENSOR 1K P</v>
          </cell>
          <cell r="C2408">
            <v>815</v>
          </cell>
          <cell r="D2408">
            <v>1009.45</v>
          </cell>
          <cell r="E2408">
            <v>1009.45</v>
          </cell>
          <cell r="F2408">
            <v>1009.45</v>
          </cell>
          <cell r="G2408">
            <v>1009.45</v>
          </cell>
          <cell r="H2408">
            <v>735</v>
          </cell>
          <cell r="I2408">
            <v>39884</v>
          </cell>
        </row>
        <row r="2409">
          <cell r="A2409" t="str">
            <v>VECRORS</v>
          </cell>
          <cell r="B2409" t="str">
            <v>VECTOR A100R ROTOR &amp; REED SWITCH ASSY</v>
          </cell>
          <cell r="C2409">
            <v>240</v>
          </cell>
          <cell r="D2409">
            <v>240</v>
          </cell>
          <cell r="E2409">
            <v>240</v>
          </cell>
          <cell r="F2409">
            <v>240</v>
          </cell>
          <cell r="G2409">
            <v>240</v>
          </cell>
          <cell r="H2409">
            <v>0</v>
          </cell>
        </row>
        <row r="2410">
          <cell r="A2410" t="str">
            <v>VECROTT</v>
          </cell>
          <cell r="B2410" t="str">
            <v>ROTOR (CUPSET) MOD R30 FOR VECTOR ANENOM</v>
          </cell>
          <cell r="C2410">
            <v>400</v>
          </cell>
          <cell r="D2410">
            <v>400</v>
          </cell>
          <cell r="E2410">
            <v>400</v>
          </cell>
          <cell r="F2410">
            <v>400</v>
          </cell>
          <cell r="G2410">
            <v>400</v>
          </cell>
          <cell r="H2410">
            <v>339.5</v>
          </cell>
        </row>
        <row r="2411">
          <cell r="A2411" t="str">
            <v>VECSEAL</v>
          </cell>
          <cell r="B2411" t="str">
            <v>VECTOR A101M TOP SEAL (NON TOUCHING)</v>
          </cell>
          <cell r="C2411">
            <v>10</v>
          </cell>
          <cell r="D2411">
            <v>10</v>
          </cell>
          <cell r="E2411">
            <v>10</v>
          </cell>
          <cell r="F2411">
            <v>10</v>
          </cell>
          <cell r="G2411">
            <v>10</v>
          </cell>
          <cell r="H2411">
            <v>6.7750000000000004</v>
          </cell>
        </row>
        <row r="2412">
          <cell r="A2412" t="str">
            <v>VECSETP</v>
          </cell>
          <cell r="B2412" t="str">
            <v>VECTOR TEMPERATURE PROFILE SENSOR T302</v>
          </cell>
          <cell r="C2412">
            <v>2072.4899999999998</v>
          </cell>
          <cell r="D2412">
            <v>2565.94</v>
          </cell>
          <cell r="E2412">
            <v>2565.94</v>
          </cell>
          <cell r="F2412">
            <v>2565.94</v>
          </cell>
          <cell r="G2412">
            <v>2565.94</v>
          </cell>
          <cell r="H2412">
            <v>0</v>
          </cell>
          <cell r="I2412">
            <v>39884</v>
          </cell>
        </row>
        <row r="2413">
          <cell r="A2413" t="str">
            <v>VECWIDI</v>
          </cell>
          <cell r="B2413" t="str">
            <v>VECTOR WIND DIRECTION SENSOR W200P C-W 1</v>
          </cell>
          <cell r="C2413">
            <v>1750</v>
          </cell>
          <cell r="D2413">
            <v>1750</v>
          </cell>
          <cell r="E2413">
            <v>1750</v>
          </cell>
          <cell r="F2413">
            <v>1750</v>
          </cell>
          <cell r="G2413">
            <v>1750</v>
          </cell>
          <cell r="H2413">
            <v>1316</v>
          </cell>
          <cell r="I2413">
            <v>40323</v>
          </cell>
        </row>
        <row r="2414">
          <cell r="A2414" t="str">
            <v>VEGAB17</v>
          </cell>
          <cell r="B2414" t="str">
            <v>VEGABAR 17 SENSOR</v>
          </cell>
          <cell r="C2414">
            <v>750</v>
          </cell>
          <cell r="D2414">
            <v>950</v>
          </cell>
          <cell r="E2414">
            <v>950</v>
          </cell>
          <cell r="F2414">
            <v>950</v>
          </cell>
          <cell r="G2414">
            <v>950</v>
          </cell>
          <cell r="H2414">
            <v>712</v>
          </cell>
        </row>
        <row r="2415">
          <cell r="A2415" t="str">
            <v>VEWDFIN</v>
          </cell>
          <cell r="B2415" t="str">
            <v>VECTOR W200P WIND DIRECTION FIN</v>
          </cell>
          <cell r="C2415">
            <v>330</v>
          </cell>
          <cell r="D2415">
            <v>410</v>
          </cell>
          <cell r="E2415">
            <v>410</v>
          </cell>
          <cell r="F2415">
            <v>410</v>
          </cell>
          <cell r="G2415">
            <v>410</v>
          </cell>
          <cell r="H2415">
            <v>316</v>
          </cell>
        </row>
        <row r="2416">
          <cell r="A2416" t="str">
            <v>WADRBOX</v>
          </cell>
          <cell r="B2416" t="str">
            <v>WADING ROD SET BOX</v>
          </cell>
          <cell r="C2416">
            <v>250</v>
          </cell>
          <cell r="D2416">
            <v>250</v>
          </cell>
          <cell r="E2416">
            <v>250</v>
          </cell>
          <cell r="F2416">
            <v>250</v>
          </cell>
          <cell r="G2416">
            <v>250</v>
          </cell>
          <cell r="H2416">
            <v>213</v>
          </cell>
        </row>
        <row r="2417">
          <cell r="A2417" t="str">
            <v>WADRDAD</v>
          </cell>
          <cell r="B2417" t="str">
            <v>WADING ROD ADAPTER C-W THUMB SCREW.</v>
          </cell>
          <cell r="C2417">
            <v>150</v>
          </cell>
          <cell r="D2417">
            <v>150</v>
          </cell>
          <cell r="E2417">
            <v>150</v>
          </cell>
          <cell r="F2417">
            <v>150</v>
          </cell>
          <cell r="G2417">
            <v>150</v>
          </cell>
          <cell r="H2417">
            <v>0</v>
          </cell>
        </row>
        <row r="2418">
          <cell r="A2418" t="str">
            <v>WADROBP</v>
          </cell>
          <cell r="B2418" t="str">
            <v>WADING ROD BASE PLATE</v>
          </cell>
          <cell r="C2418">
            <v>91.35</v>
          </cell>
          <cell r="D2418">
            <v>113.1</v>
          </cell>
          <cell r="E2418">
            <v>113.1</v>
          </cell>
          <cell r="F2418">
            <v>113.1</v>
          </cell>
          <cell r="G2418">
            <v>113.1</v>
          </cell>
          <cell r="H2418">
            <v>87</v>
          </cell>
          <cell r="I2418">
            <v>39883</v>
          </cell>
        </row>
        <row r="2419">
          <cell r="A2419" t="str">
            <v>WADRODN</v>
          </cell>
          <cell r="B2419" t="str">
            <v>WADING ROD SET COMPLETE</v>
          </cell>
          <cell r="C2419">
            <v>675</v>
          </cell>
          <cell r="D2419">
            <v>775</v>
          </cell>
          <cell r="E2419">
            <v>775</v>
          </cell>
          <cell r="F2419">
            <v>775</v>
          </cell>
          <cell r="G2419">
            <v>775</v>
          </cell>
          <cell r="H2419">
            <v>850</v>
          </cell>
        </row>
        <row r="2420">
          <cell r="A2420" t="str">
            <v>WADROHA</v>
          </cell>
          <cell r="B2420" t="str">
            <v>WADING ROD HANDLE</v>
          </cell>
          <cell r="C2420">
            <v>30</v>
          </cell>
          <cell r="D2420">
            <v>30</v>
          </cell>
          <cell r="E2420">
            <v>30</v>
          </cell>
          <cell r="F2420">
            <v>30</v>
          </cell>
          <cell r="G2420">
            <v>30</v>
          </cell>
          <cell r="H2420">
            <v>0</v>
          </cell>
        </row>
        <row r="2421">
          <cell r="A2421" t="str">
            <v>WADROST</v>
          </cell>
          <cell r="B2421" t="str">
            <v>WADING ROD THUMB SCREW</v>
          </cell>
          <cell r="C2421">
            <v>28</v>
          </cell>
          <cell r="D2421">
            <v>28</v>
          </cell>
          <cell r="E2421">
            <v>28</v>
          </cell>
          <cell r="F2421">
            <v>28</v>
          </cell>
          <cell r="G2421">
            <v>28</v>
          </cell>
          <cell r="H2421">
            <v>0</v>
          </cell>
        </row>
        <row r="2422">
          <cell r="A2422" t="str">
            <v>WADRTOB</v>
          </cell>
          <cell r="B2422" t="str">
            <v>TOP SETTING WADING RODS BUMPER</v>
          </cell>
          <cell r="C2422">
            <v>6</v>
          </cell>
          <cell r="D2422">
            <v>8</v>
          </cell>
          <cell r="E2422">
            <v>8</v>
          </cell>
          <cell r="F2422">
            <v>8</v>
          </cell>
          <cell r="G2422">
            <v>8</v>
          </cell>
          <cell r="H2422">
            <v>8.0820000000000007</v>
          </cell>
        </row>
        <row r="2423">
          <cell r="A2423" t="str">
            <v>WADRTOP</v>
          </cell>
          <cell r="B2423" t="str">
            <v>WADING RODS TOP SETTING 1.2m</v>
          </cell>
          <cell r="C2423">
            <v>750</v>
          </cell>
          <cell r="D2423">
            <v>820</v>
          </cell>
          <cell r="E2423">
            <v>820</v>
          </cell>
          <cell r="F2423">
            <v>820</v>
          </cell>
          <cell r="G2423">
            <v>820</v>
          </cell>
          <cell r="H2423">
            <v>842.65599999999995</v>
          </cell>
        </row>
        <row r="2424">
          <cell r="A2424" t="str">
            <v>WADTHSCR</v>
          </cell>
          <cell r="B2424" t="str">
            <v>WADING ROD SMALL THUMBSCREW</v>
          </cell>
          <cell r="C2424">
            <v>7.88</v>
          </cell>
          <cell r="D2424">
            <v>9.75</v>
          </cell>
          <cell r="E2424">
            <v>9.75</v>
          </cell>
          <cell r="F2424">
            <v>9.75</v>
          </cell>
          <cell r="G2424">
            <v>9.75</v>
          </cell>
          <cell r="H2424">
            <v>8.1980000000000004</v>
          </cell>
          <cell r="I2424">
            <v>40000</v>
          </cell>
        </row>
        <row r="2425">
          <cell r="A2425" t="str">
            <v>WAS-M05FLAT</v>
          </cell>
          <cell r="B2425" t="str">
            <v>WASHER M5 S/STEEL FLAT</v>
          </cell>
          <cell r="C2425">
            <v>0.15</v>
          </cell>
          <cell r="D2425">
            <v>0.15</v>
          </cell>
          <cell r="E2425">
            <v>0.15</v>
          </cell>
          <cell r="F2425">
            <v>0.15</v>
          </cell>
          <cell r="G2425">
            <v>0.15</v>
          </cell>
          <cell r="H2425">
            <v>8.5000000000000006E-2</v>
          </cell>
        </row>
        <row r="2426">
          <cell r="A2426" t="str">
            <v>WAS-M06FLAT</v>
          </cell>
          <cell r="B2426" t="str">
            <v>WASHER M6 S/STEEL FLAT</v>
          </cell>
          <cell r="C2426">
            <v>0.3</v>
          </cell>
          <cell r="D2426">
            <v>0.3</v>
          </cell>
          <cell r="E2426">
            <v>0.3</v>
          </cell>
          <cell r="F2426">
            <v>0.3</v>
          </cell>
          <cell r="G2426">
            <v>0.3</v>
          </cell>
          <cell r="H2426">
            <v>8.5999999999999993E-2</v>
          </cell>
        </row>
        <row r="2427">
          <cell r="A2427" t="str">
            <v>WAS-M06SPR</v>
          </cell>
          <cell r="B2427" t="str">
            <v>WASHER M6 S/STEEL  SPRING</v>
          </cell>
          <cell r="C2427">
            <v>0.15</v>
          </cell>
          <cell r="D2427">
            <v>0.15</v>
          </cell>
          <cell r="E2427">
            <v>0.15</v>
          </cell>
          <cell r="F2427">
            <v>0.15</v>
          </cell>
          <cell r="G2427">
            <v>0.15</v>
          </cell>
          <cell r="H2427">
            <v>0.06</v>
          </cell>
        </row>
        <row r="2428">
          <cell r="A2428" t="str">
            <v>WAS-M08FLAT</v>
          </cell>
          <cell r="B2428" t="str">
            <v>WASHER S/STEEL M8 FLAT</v>
          </cell>
          <cell r="C2428">
            <v>1.5</v>
          </cell>
          <cell r="D2428">
            <v>1.5</v>
          </cell>
          <cell r="E2428">
            <v>1.5</v>
          </cell>
          <cell r="F2428">
            <v>1.5</v>
          </cell>
          <cell r="G2428">
            <v>1.5</v>
          </cell>
          <cell r="H2428">
            <v>0.10100000000000001</v>
          </cell>
        </row>
        <row r="2429">
          <cell r="A2429" t="str">
            <v>WAS-M08SPR</v>
          </cell>
          <cell r="B2429" t="str">
            <v>WASHER M8 S/STEEL SPRING</v>
          </cell>
          <cell r="C2429">
            <v>0.45</v>
          </cell>
          <cell r="D2429">
            <v>0.45</v>
          </cell>
          <cell r="E2429">
            <v>0.45</v>
          </cell>
          <cell r="F2429">
            <v>0.45</v>
          </cell>
          <cell r="G2429">
            <v>0.45</v>
          </cell>
          <cell r="H2429">
            <v>0.09</v>
          </cell>
        </row>
        <row r="2430">
          <cell r="A2430" t="str">
            <v>WAS-M10SPR</v>
          </cell>
          <cell r="B2430" t="str">
            <v>WASHER S/STEEL M10 SPRING</v>
          </cell>
          <cell r="C2430">
            <v>0.75</v>
          </cell>
          <cell r="D2430">
            <v>0.75</v>
          </cell>
          <cell r="E2430">
            <v>0.75</v>
          </cell>
          <cell r="F2430">
            <v>0.75</v>
          </cell>
          <cell r="G2430">
            <v>0.75</v>
          </cell>
          <cell r="H2430">
            <v>0.16</v>
          </cell>
        </row>
        <row r="2431">
          <cell r="A2431" t="str">
            <v>WAS-M4INTLOCK</v>
          </cell>
          <cell r="B2431" t="str">
            <v>WASHER INTERNAL LOCK S/STEEL M4</v>
          </cell>
          <cell r="C2431">
            <v>0.18</v>
          </cell>
          <cell r="D2431">
            <v>0.18</v>
          </cell>
          <cell r="E2431">
            <v>0.18</v>
          </cell>
          <cell r="F2431">
            <v>0.18</v>
          </cell>
          <cell r="G2431">
            <v>0.18</v>
          </cell>
          <cell r="H2431">
            <v>0.2</v>
          </cell>
        </row>
        <row r="2432">
          <cell r="A2432" t="str">
            <v>WATHABA</v>
          </cell>
          <cell r="B2432" t="str">
            <v>WATTS CURRENT METER HANGER BAR</v>
          </cell>
          <cell r="C2432">
            <v>150</v>
          </cell>
          <cell r="D2432">
            <v>150</v>
          </cell>
          <cell r="E2432">
            <v>150</v>
          </cell>
          <cell r="F2432">
            <v>150</v>
          </cell>
          <cell r="G2432">
            <v>150</v>
          </cell>
          <cell r="H2432">
            <v>0</v>
          </cell>
        </row>
        <row r="2433">
          <cell r="A2433" t="str">
            <v>WATSMES</v>
          </cell>
          <cell r="B2433" t="str">
            <v>WATER SAMPLER MESSENGER</v>
          </cell>
          <cell r="C2433">
            <v>225</v>
          </cell>
          <cell r="D2433">
            <v>225</v>
          </cell>
          <cell r="E2433">
            <v>225</v>
          </cell>
          <cell r="F2433">
            <v>225</v>
          </cell>
          <cell r="G2433">
            <v>225</v>
          </cell>
          <cell r="H2433">
            <v>0</v>
          </cell>
        </row>
        <row r="2434">
          <cell r="A2434" t="str">
            <v>WCLCOSH</v>
          </cell>
          <cell r="B2434" t="str">
            <v>WATER CLARITY SWATCH COLOUR SHEETS</v>
          </cell>
          <cell r="C2434">
            <v>95</v>
          </cell>
          <cell r="D2434">
            <v>95</v>
          </cell>
          <cell r="E2434">
            <v>95</v>
          </cell>
          <cell r="F2434">
            <v>95</v>
          </cell>
          <cell r="G2434">
            <v>95</v>
          </cell>
          <cell r="H2434">
            <v>0</v>
          </cell>
        </row>
        <row r="2435">
          <cell r="A2435" t="str">
            <v>WCLDISK</v>
          </cell>
          <cell r="B2435" t="str">
            <v>WATER CLARITY BLACK DISK SET</v>
          </cell>
          <cell r="C2435">
            <v>375</v>
          </cell>
          <cell r="D2435">
            <v>375</v>
          </cell>
          <cell r="E2435">
            <v>375</v>
          </cell>
          <cell r="F2435">
            <v>375</v>
          </cell>
          <cell r="G2435">
            <v>375</v>
          </cell>
          <cell r="H2435">
            <v>288</v>
          </cell>
          <cell r="I2435">
            <v>40382</v>
          </cell>
        </row>
        <row r="2436">
          <cell r="A2436" t="str">
            <v>WCLKBOX</v>
          </cell>
          <cell r="B2436" t="str">
            <v>WATER CLARITY KIT BOX</v>
          </cell>
          <cell r="C2436">
            <v>174.3</v>
          </cell>
          <cell r="D2436">
            <v>215.8</v>
          </cell>
          <cell r="E2436">
            <v>215.8</v>
          </cell>
          <cell r="F2436">
            <v>215.8</v>
          </cell>
          <cell r="G2436">
            <v>215.8</v>
          </cell>
          <cell r="H2436">
            <v>13.5</v>
          </cell>
          <cell r="I2436">
            <v>39884</v>
          </cell>
        </row>
        <row r="2437">
          <cell r="A2437" t="str">
            <v>WCLMIRR</v>
          </cell>
          <cell r="B2437" t="str">
            <v>WATER CLARITY VIEWER MIRROR</v>
          </cell>
          <cell r="C2437">
            <v>30</v>
          </cell>
          <cell r="D2437">
            <v>30</v>
          </cell>
          <cell r="E2437">
            <v>30</v>
          </cell>
          <cell r="F2437">
            <v>30</v>
          </cell>
          <cell r="G2437">
            <v>30</v>
          </cell>
          <cell r="H2437">
            <v>20</v>
          </cell>
        </row>
        <row r="2438">
          <cell r="A2438" t="str">
            <v>WCLTRSA</v>
          </cell>
          <cell r="B2438" t="str">
            <v>WATER CLARITY SAMPLE TROUGH</v>
          </cell>
          <cell r="C2438">
            <v>70</v>
          </cell>
          <cell r="D2438">
            <v>70</v>
          </cell>
          <cell r="E2438">
            <v>70</v>
          </cell>
          <cell r="F2438">
            <v>70</v>
          </cell>
          <cell r="G2438">
            <v>70</v>
          </cell>
          <cell r="H2438">
            <v>0</v>
          </cell>
        </row>
        <row r="2439">
          <cell r="A2439" t="str">
            <v>WCLVCSW</v>
          </cell>
          <cell r="B2439" t="str">
            <v>WATER CLARITY SWATCH COLOUR SET</v>
          </cell>
          <cell r="C2439">
            <v>350</v>
          </cell>
          <cell r="D2439">
            <v>350</v>
          </cell>
          <cell r="E2439">
            <v>350</v>
          </cell>
          <cell r="F2439">
            <v>350</v>
          </cell>
          <cell r="G2439">
            <v>350</v>
          </cell>
          <cell r="H2439">
            <v>346.89100000000002</v>
          </cell>
          <cell r="I2439">
            <v>39988</v>
          </cell>
        </row>
        <row r="2440">
          <cell r="A2440" t="str">
            <v>WCLVIEW</v>
          </cell>
          <cell r="B2440" t="str">
            <v>WATER CLARITY VIEWER</v>
          </cell>
          <cell r="C2440">
            <v>218</v>
          </cell>
          <cell r="D2440">
            <v>218</v>
          </cell>
          <cell r="E2440">
            <v>218</v>
          </cell>
          <cell r="F2440">
            <v>218</v>
          </cell>
          <cell r="G2440">
            <v>218</v>
          </cell>
          <cell r="H2440">
            <v>167</v>
          </cell>
          <cell r="I2440">
            <v>40221</v>
          </cell>
        </row>
        <row r="2441">
          <cell r="A2441" t="str">
            <v>WINDANE</v>
          </cell>
          <cell r="B2441" t="str">
            <v>WINDSONIC 2D ANEMOMETER</v>
          </cell>
          <cell r="C2441">
            <v>0</v>
          </cell>
          <cell r="D2441">
            <v>0</v>
          </cell>
          <cell r="E2441">
            <v>0</v>
          </cell>
          <cell r="F2441">
            <v>0</v>
          </cell>
          <cell r="G2441">
            <v>0</v>
          </cell>
          <cell r="H2441">
            <v>3148.855</v>
          </cell>
        </row>
        <row r="2442">
          <cell r="A2442" t="str">
            <v>WINDANT</v>
          </cell>
          <cell r="B2442" t="str">
            <v>SCOTT BASE 30m WIND TOWER</v>
          </cell>
          <cell r="C2442">
            <v>17300</v>
          </cell>
          <cell r="D2442">
            <v>17300</v>
          </cell>
          <cell r="E2442">
            <v>17300</v>
          </cell>
          <cell r="F2442">
            <v>17300</v>
          </cell>
          <cell r="G2442">
            <v>17300</v>
          </cell>
          <cell r="H2442">
            <v>11690.328</v>
          </cell>
        </row>
        <row r="2443">
          <cell r="A2443" t="str">
            <v>WINRIVR</v>
          </cell>
          <cell r="B2443" t="str">
            <v>WINRIVER SECTION BY SECTION SOFTWARE</v>
          </cell>
          <cell r="C2443">
            <v>0</v>
          </cell>
          <cell r="D2443">
            <v>0</v>
          </cell>
          <cell r="E2443">
            <v>0</v>
          </cell>
          <cell r="F2443">
            <v>0</v>
          </cell>
          <cell r="G2443">
            <v>0</v>
          </cell>
          <cell r="H2443">
            <v>1794.9490000000001</v>
          </cell>
        </row>
        <row r="2444">
          <cell r="A2444" t="str">
            <v>WINRIVRR</v>
          </cell>
          <cell r="B2444" t="str">
            <v>WINRIVER II SECTION BY SECTION</v>
          </cell>
          <cell r="C2444">
            <v>2500</v>
          </cell>
          <cell r="D2444">
            <v>0</v>
          </cell>
          <cell r="E2444">
            <v>0</v>
          </cell>
          <cell r="F2444">
            <v>0</v>
          </cell>
          <cell r="G2444">
            <v>0</v>
          </cell>
          <cell r="H2444">
            <v>1296.424</v>
          </cell>
        </row>
        <row r="2445">
          <cell r="A2445" t="str">
            <v>WINRIVS</v>
          </cell>
          <cell r="B2445" t="str">
            <v>WINRIVER SECTION BY SECTION SOFTWARE</v>
          </cell>
          <cell r="C2445">
            <v>651.73</v>
          </cell>
          <cell r="D2445">
            <v>806.91</v>
          </cell>
          <cell r="E2445">
            <v>806.91</v>
          </cell>
          <cell r="F2445">
            <v>806.91</v>
          </cell>
          <cell r="G2445">
            <v>806.91</v>
          </cell>
          <cell r="H2445">
            <v>570.83900000000006</v>
          </cell>
        </row>
        <row r="2446">
          <cell r="A2446" t="str">
            <v>WORK-DYMOBC</v>
          </cell>
          <cell r="B2446" t="str">
            <v>DYMO TAPE - BLACK ON CLEAR 12mm</v>
          </cell>
          <cell r="C2446">
            <v>45</v>
          </cell>
          <cell r="D2446">
            <v>45</v>
          </cell>
          <cell r="E2446">
            <v>45</v>
          </cell>
          <cell r="F2446">
            <v>45</v>
          </cell>
          <cell r="G2446">
            <v>45</v>
          </cell>
          <cell r="H2446">
            <v>25</v>
          </cell>
        </row>
        <row r="2447">
          <cell r="A2447" t="str">
            <v>WORK-MCF</v>
          </cell>
          <cell r="B2447" t="str">
            <v>ELECTROLUBE MCF (MINIMAL CHARGING FREEZE</v>
          </cell>
          <cell r="C2447">
            <v>36</v>
          </cell>
          <cell r="D2447">
            <v>36</v>
          </cell>
          <cell r="E2447">
            <v>36</v>
          </cell>
          <cell r="F2447">
            <v>36</v>
          </cell>
          <cell r="G2447">
            <v>36</v>
          </cell>
          <cell r="H2447">
            <v>24.03</v>
          </cell>
        </row>
        <row r="2448">
          <cell r="A2448" t="str">
            <v>WORK-SOLDER</v>
          </cell>
          <cell r="B2448" t="str">
            <v>SOLDER  MULTICORE 366 SAVBIT 0.90mm 500g</v>
          </cell>
          <cell r="C2448">
            <v>15</v>
          </cell>
          <cell r="D2448">
            <v>15</v>
          </cell>
          <cell r="E2448">
            <v>15</v>
          </cell>
          <cell r="F2448">
            <v>15</v>
          </cell>
          <cell r="G2448">
            <v>15</v>
          </cell>
          <cell r="H2448">
            <v>19.82</v>
          </cell>
        </row>
        <row r="2449">
          <cell r="A2449" t="str">
            <v>WORK-ULTRAS</v>
          </cell>
          <cell r="B2449" t="str">
            <v>ULTRASOLVE ELECTROLUBE PCB CLEANER</v>
          </cell>
          <cell r="C2449">
            <v>21.39</v>
          </cell>
          <cell r="D2449">
            <v>21.39</v>
          </cell>
          <cell r="E2449">
            <v>21.39</v>
          </cell>
          <cell r="F2449">
            <v>21.39</v>
          </cell>
          <cell r="G2449">
            <v>21.39</v>
          </cell>
          <cell r="H2449">
            <v>8</v>
          </cell>
        </row>
        <row r="2450">
          <cell r="A2450" t="str">
            <v>YSIMEKI</v>
          </cell>
          <cell r="B2450" t="str">
            <v>YSI DO METER MEMBRANE KIT</v>
          </cell>
          <cell r="C2450">
            <v>58</v>
          </cell>
          <cell r="D2450">
            <v>58</v>
          </cell>
          <cell r="E2450">
            <v>58</v>
          </cell>
          <cell r="F2450">
            <v>58</v>
          </cell>
          <cell r="G2450">
            <v>58</v>
          </cell>
          <cell r="H2450">
            <v>0</v>
          </cell>
        </row>
        <row r="2451">
          <cell r="A2451" t="str">
            <v>ZBARBUL</v>
          </cell>
          <cell r="B2451" t="str">
            <v>BARBED BULKHEAD FITTING</v>
          </cell>
          <cell r="C2451">
            <v>17.062999999999999</v>
          </cell>
          <cell r="D2451">
            <v>21.125</v>
          </cell>
          <cell r="E2451">
            <v>21.125</v>
          </cell>
          <cell r="F2451">
            <v>21.125</v>
          </cell>
          <cell r="G2451">
            <v>21.125</v>
          </cell>
          <cell r="H2451">
            <v>16.25</v>
          </cell>
          <cell r="I2451">
            <v>39883</v>
          </cell>
        </row>
        <row r="2452">
          <cell r="A2452" t="str">
            <v>ZBENCH</v>
          </cell>
          <cell r="B2452" t="str">
            <v>BENCHKOTE 46 x 57cm</v>
          </cell>
          <cell r="C2452">
            <v>4.04</v>
          </cell>
          <cell r="D2452">
            <v>5.01</v>
          </cell>
          <cell r="E2452">
            <v>5.01</v>
          </cell>
          <cell r="F2452">
            <v>5.01</v>
          </cell>
          <cell r="G2452">
            <v>5.01</v>
          </cell>
          <cell r="H2452">
            <v>3.85</v>
          </cell>
          <cell r="I2452">
            <v>39910</v>
          </cell>
        </row>
        <row r="2453">
          <cell r="A2453" t="str">
            <v>ZBOTP60</v>
          </cell>
          <cell r="B2453" t="str">
            <v>POLYSTYRENE BOTTLE 60ml</v>
          </cell>
          <cell r="C2453">
            <v>0.18</v>
          </cell>
          <cell r="D2453">
            <v>0.23</v>
          </cell>
          <cell r="E2453">
            <v>0.23</v>
          </cell>
          <cell r="F2453">
            <v>0.23</v>
          </cell>
          <cell r="G2453">
            <v>0.23</v>
          </cell>
          <cell r="H2453">
            <v>0.16200000000000001</v>
          </cell>
          <cell r="I2453">
            <v>39910</v>
          </cell>
        </row>
        <row r="2454">
          <cell r="A2454" t="str">
            <v>ZBOXLABM</v>
          </cell>
          <cell r="B2454" t="str">
            <v>BOX OF LABSERV MICROSCOPE 75x25MM (100PK</v>
          </cell>
          <cell r="C2454">
            <v>32.603000000000002</v>
          </cell>
          <cell r="D2454">
            <v>40.365000000000002</v>
          </cell>
          <cell r="E2454">
            <v>40.365000000000002</v>
          </cell>
          <cell r="F2454">
            <v>40.365000000000002</v>
          </cell>
          <cell r="G2454">
            <v>40.365000000000002</v>
          </cell>
          <cell r="H2454">
            <v>31.05</v>
          </cell>
          <cell r="I2454">
            <v>39996</v>
          </cell>
        </row>
        <row r="2455">
          <cell r="A2455" t="str">
            <v>ZCASSEM</v>
          </cell>
          <cell r="B2455" t="str">
            <v>CASSETTE EMBEDDING WITH BLUE LID</v>
          </cell>
          <cell r="C2455">
            <v>0.12</v>
          </cell>
          <cell r="D2455">
            <v>0.14000000000000001</v>
          </cell>
          <cell r="E2455">
            <v>0.14000000000000001</v>
          </cell>
          <cell r="F2455">
            <v>0.14000000000000001</v>
          </cell>
          <cell r="G2455">
            <v>0.14000000000000001</v>
          </cell>
          <cell r="H2455">
            <v>0.08</v>
          </cell>
          <cell r="I2455">
            <v>39910</v>
          </cell>
        </row>
        <row r="2456">
          <cell r="A2456" t="str">
            <v>ZCELPLA</v>
          </cell>
          <cell r="B2456" t="str">
            <v>CELL PLATES  6 WELL</v>
          </cell>
          <cell r="C2456">
            <v>250</v>
          </cell>
          <cell r="D2456">
            <v>250</v>
          </cell>
          <cell r="E2456">
            <v>250</v>
          </cell>
          <cell r="F2456">
            <v>250</v>
          </cell>
          <cell r="G2456">
            <v>250</v>
          </cell>
          <cell r="H2456">
            <v>0</v>
          </cell>
        </row>
        <row r="2457">
          <cell r="A2457" t="str">
            <v>ZCENTUB</v>
          </cell>
          <cell r="B2457" t="str">
            <v>CENTRIFUGE TUBE 10ml</v>
          </cell>
          <cell r="C2457">
            <v>0.18</v>
          </cell>
          <cell r="D2457">
            <v>0.22</v>
          </cell>
          <cell r="E2457">
            <v>0.22</v>
          </cell>
          <cell r="F2457">
            <v>0.22</v>
          </cell>
          <cell r="G2457">
            <v>0.22</v>
          </cell>
          <cell r="H2457">
            <v>0.111</v>
          </cell>
          <cell r="I2457">
            <v>39910</v>
          </cell>
        </row>
        <row r="2458">
          <cell r="A2458" t="str">
            <v>ZCENTUBS</v>
          </cell>
          <cell r="B2458" t="str">
            <v>CENTRIFUGE TUBES WITH SKIRT 50ml</v>
          </cell>
          <cell r="C2458">
            <v>0.21</v>
          </cell>
          <cell r="D2458">
            <v>0.26</v>
          </cell>
          <cell r="E2458">
            <v>0.26</v>
          </cell>
          <cell r="F2458">
            <v>0.26</v>
          </cell>
          <cell r="G2458">
            <v>0.26</v>
          </cell>
          <cell r="H2458">
            <v>0.16</v>
          </cell>
          <cell r="I2458">
            <v>39910</v>
          </cell>
        </row>
        <row r="2459">
          <cell r="A2459" t="str">
            <v>ZCON130</v>
          </cell>
          <cell r="B2459" t="str">
            <v>CONTAINER 130ml</v>
          </cell>
          <cell r="C2459">
            <v>0.32500000000000001</v>
          </cell>
          <cell r="D2459">
            <v>0.4</v>
          </cell>
          <cell r="E2459">
            <v>0.4</v>
          </cell>
          <cell r="F2459">
            <v>0.4</v>
          </cell>
          <cell r="G2459">
            <v>0.4</v>
          </cell>
          <cell r="H2459">
            <v>0.29799999999999999</v>
          </cell>
          <cell r="I2459">
            <v>40156</v>
          </cell>
        </row>
        <row r="2460">
          <cell r="A2460" t="str">
            <v>ZCOVSLP</v>
          </cell>
          <cell r="B2460" t="str">
            <v>COVERSLIP NO1 22x22mm</v>
          </cell>
          <cell r="C2460">
            <v>7.35</v>
          </cell>
          <cell r="D2460">
            <v>9.1</v>
          </cell>
          <cell r="E2460">
            <v>9.1</v>
          </cell>
          <cell r="F2460">
            <v>9.1</v>
          </cell>
          <cell r="G2460">
            <v>9.1</v>
          </cell>
          <cell r="H2460">
            <v>7</v>
          </cell>
          <cell r="I2460">
            <v>40058</v>
          </cell>
        </row>
        <row r="2461">
          <cell r="A2461" t="str">
            <v>ZCRYVIA</v>
          </cell>
          <cell r="B2461" t="str">
            <v>CROGENIC VIALS  NALGENE 2ml pk 1000</v>
          </cell>
          <cell r="C2461">
            <v>0.52500000000000002</v>
          </cell>
          <cell r="D2461">
            <v>0.65</v>
          </cell>
          <cell r="E2461">
            <v>0.65</v>
          </cell>
          <cell r="F2461">
            <v>0.65</v>
          </cell>
          <cell r="G2461">
            <v>0.65</v>
          </cell>
          <cell r="H2461">
            <v>0.5</v>
          </cell>
          <cell r="I2461">
            <v>39910</v>
          </cell>
        </row>
        <row r="2462">
          <cell r="A2462" t="str">
            <v>ZDISALU</v>
          </cell>
          <cell r="B2462" t="str">
            <v>ALUMINIUM WEIGHING DISH 43mm</v>
          </cell>
          <cell r="C2462">
            <v>25.13</v>
          </cell>
          <cell r="D2462">
            <v>31.11</v>
          </cell>
          <cell r="E2462">
            <v>31.11</v>
          </cell>
          <cell r="F2462">
            <v>31.11</v>
          </cell>
          <cell r="G2462">
            <v>31.11</v>
          </cell>
          <cell r="H2462">
            <v>24.395</v>
          </cell>
          <cell r="I2462">
            <v>39910</v>
          </cell>
        </row>
        <row r="2463">
          <cell r="A2463" t="str">
            <v>ZF2L</v>
          </cell>
          <cell r="B2463" t="str">
            <v>FLAGON HDPE 2L</v>
          </cell>
          <cell r="C2463">
            <v>2.73</v>
          </cell>
          <cell r="D2463">
            <v>3.4</v>
          </cell>
          <cell r="E2463">
            <v>3.4</v>
          </cell>
          <cell r="F2463">
            <v>3.4</v>
          </cell>
          <cell r="G2463">
            <v>3.4</v>
          </cell>
          <cell r="H2463">
            <v>2.6</v>
          </cell>
          <cell r="I2463">
            <v>40058</v>
          </cell>
        </row>
        <row r="2464">
          <cell r="A2464" t="str">
            <v>ZFC2L</v>
          </cell>
          <cell r="B2464" t="str">
            <v>FLAGON 2L - CAP</v>
          </cell>
          <cell r="C2464">
            <v>0.5</v>
          </cell>
          <cell r="D2464">
            <v>0.6</v>
          </cell>
          <cell r="E2464">
            <v>0.6</v>
          </cell>
          <cell r="F2464">
            <v>0.6</v>
          </cell>
          <cell r="G2464">
            <v>0.6</v>
          </cell>
          <cell r="H2464">
            <v>0.46</v>
          </cell>
          <cell r="I2464">
            <v>40058</v>
          </cell>
        </row>
        <row r="2465">
          <cell r="A2465" t="str">
            <v>ZFIL002</v>
          </cell>
          <cell r="B2465" t="str">
            <v>FILTER  POLYCARBONATE 47mm  0.2um pk100</v>
          </cell>
          <cell r="C2465">
            <v>193.28</v>
          </cell>
          <cell r="D2465">
            <v>239.3</v>
          </cell>
          <cell r="E2465">
            <v>239.3</v>
          </cell>
          <cell r="F2465">
            <v>239.3</v>
          </cell>
          <cell r="G2465">
            <v>239.3</v>
          </cell>
          <cell r="H2465">
            <v>189.69</v>
          </cell>
          <cell r="I2465">
            <v>39910</v>
          </cell>
        </row>
        <row r="2466">
          <cell r="A2466" t="str">
            <v>ZFIL02</v>
          </cell>
          <cell r="B2466" t="str">
            <v>FILTER  POLYCARBONATE 47mm  2um.</v>
          </cell>
          <cell r="C2466">
            <v>205.27</v>
          </cell>
          <cell r="D2466">
            <v>254.15</v>
          </cell>
          <cell r="E2466">
            <v>254.15</v>
          </cell>
          <cell r="F2466">
            <v>254.15</v>
          </cell>
          <cell r="G2466">
            <v>254.15</v>
          </cell>
          <cell r="H2466">
            <v>212.85</v>
          </cell>
          <cell r="I2466">
            <v>39910</v>
          </cell>
        </row>
        <row r="2467">
          <cell r="A2467" t="str">
            <v>ZFIL05</v>
          </cell>
          <cell r="B2467" t="str">
            <v>FILTER  POLYCARBONATE 47mm  5um.</v>
          </cell>
          <cell r="C2467">
            <v>206.21</v>
          </cell>
          <cell r="D2467">
            <v>255.31</v>
          </cell>
          <cell r="E2467">
            <v>255.31</v>
          </cell>
          <cell r="F2467">
            <v>255.31</v>
          </cell>
          <cell r="G2467">
            <v>255.31</v>
          </cell>
          <cell r="H2467">
            <v>212.85</v>
          </cell>
          <cell r="I2467">
            <v>39910</v>
          </cell>
        </row>
        <row r="2468">
          <cell r="A2468" t="str">
            <v>ZFIL20</v>
          </cell>
          <cell r="B2468" t="str">
            <v>FILTER  POLYCARBONATE 47mm  20um.</v>
          </cell>
          <cell r="C2468">
            <v>226.43299999999999</v>
          </cell>
          <cell r="D2468">
            <v>280.34500000000003</v>
          </cell>
          <cell r="E2468">
            <v>280.34500000000003</v>
          </cell>
          <cell r="F2468">
            <v>280.34500000000003</v>
          </cell>
          <cell r="G2468">
            <v>280.34500000000003</v>
          </cell>
          <cell r="H2468">
            <v>180</v>
          </cell>
          <cell r="I2468">
            <v>39883</v>
          </cell>
        </row>
        <row r="2469">
          <cell r="A2469" t="str">
            <v>ZFIL25002</v>
          </cell>
          <cell r="B2469" t="str">
            <v>FILTER POLYCARBONATE 25mm 0.2um</v>
          </cell>
          <cell r="C2469">
            <v>117.852</v>
          </cell>
          <cell r="D2469">
            <v>145.91200000000001</v>
          </cell>
          <cell r="E2469">
            <v>145.91200000000001</v>
          </cell>
          <cell r="F2469">
            <v>145.91200000000001</v>
          </cell>
          <cell r="G2469">
            <v>145.91200000000001</v>
          </cell>
          <cell r="H2469">
            <v>105.5</v>
          </cell>
          <cell r="I2469">
            <v>39883</v>
          </cell>
        </row>
        <row r="2470">
          <cell r="A2470" t="str">
            <v>ZFILP90</v>
          </cell>
          <cell r="B2470" t="str">
            <v>FILTER PAPER ASHLESS 90mm</v>
          </cell>
          <cell r="C2470">
            <v>46.27</v>
          </cell>
          <cell r="D2470">
            <v>57.286999999999999</v>
          </cell>
          <cell r="E2470">
            <v>57.286999999999999</v>
          </cell>
          <cell r="F2470">
            <v>57.286999999999999</v>
          </cell>
          <cell r="G2470">
            <v>57.286999999999999</v>
          </cell>
          <cell r="H2470">
            <v>20</v>
          </cell>
        </row>
        <row r="2471">
          <cell r="A2471" t="str">
            <v>ZFILWGFC</v>
          </cell>
          <cell r="B2471" t="str">
            <v>FILTER  WHATMAN GFC 47mm pk100</v>
          </cell>
          <cell r="C2471">
            <v>37.979999999999997</v>
          </cell>
          <cell r="D2471">
            <v>47.02</v>
          </cell>
          <cell r="E2471">
            <v>47.02</v>
          </cell>
          <cell r="F2471">
            <v>47.02</v>
          </cell>
          <cell r="G2471">
            <v>47.02</v>
          </cell>
          <cell r="H2471">
            <v>0.51700000000000002</v>
          </cell>
          <cell r="I2471">
            <v>39910</v>
          </cell>
        </row>
        <row r="2472">
          <cell r="A2472" t="str">
            <v>ZFILWGFF</v>
          </cell>
          <cell r="B2472" t="str">
            <v>FILTER  WHATMAN GFF 47mm pk100</v>
          </cell>
          <cell r="C2472">
            <v>150.44</v>
          </cell>
          <cell r="D2472">
            <v>186.26</v>
          </cell>
          <cell r="E2472">
            <v>186.26</v>
          </cell>
          <cell r="F2472">
            <v>186.26</v>
          </cell>
          <cell r="G2472">
            <v>186.26</v>
          </cell>
          <cell r="H2472">
            <v>145</v>
          </cell>
          <cell r="I2472">
            <v>39910</v>
          </cell>
        </row>
        <row r="2473">
          <cell r="A2473" t="str">
            <v>ZFILWH25</v>
          </cell>
          <cell r="B2473" t="str">
            <v>FILTER  WHATMAN GFF 25mm pk 100</v>
          </cell>
          <cell r="C2473">
            <v>69.91</v>
          </cell>
          <cell r="D2473">
            <v>86.555000000000007</v>
          </cell>
          <cell r="E2473">
            <v>86.555000000000007</v>
          </cell>
          <cell r="F2473">
            <v>86.555000000000007</v>
          </cell>
          <cell r="G2473">
            <v>86.555000000000007</v>
          </cell>
          <cell r="H2473">
            <v>0.71599999999999997</v>
          </cell>
          <cell r="I2473">
            <v>39988</v>
          </cell>
        </row>
        <row r="2474">
          <cell r="A2474" t="str">
            <v>ZGLOLAL</v>
          </cell>
          <cell r="B2474" t="str">
            <v>GLOVES  LATEX. LARGE</v>
          </cell>
          <cell r="C2474">
            <v>10.64</v>
          </cell>
          <cell r="D2474">
            <v>13.18</v>
          </cell>
          <cell r="E2474">
            <v>13.18</v>
          </cell>
          <cell r="F2474">
            <v>13.18</v>
          </cell>
          <cell r="G2474">
            <v>13.18</v>
          </cell>
          <cell r="H2474">
            <v>6</v>
          </cell>
          <cell r="I2474">
            <v>39910</v>
          </cell>
        </row>
        <row r="2475">
          <cell r="A2475" t="str">
            <v>ZGLOLAM</v>
          </cell>
          <cell r="B2475" t="str">
            <v>GLOVES  LATEX MEDIUM</v>
          </cell>
          <cell r="C2475">
            <v>9.7720000000000002</v>
          </cell>
          <cell r="D2475">
            <v>12.099</v>
          </cell>
          <cell r="E2475">
            <v>12.099</v>
          </cell>
          <cell r="F2475">
            <v>12.099</v>
          </cell>
          <cell r="G2475">
            <v>12.099</v>
          </cell>
          <cell r="H2475">
            <v>9.51</v>
          </cell>
          <cell r="I2475">
            <v>39883</v>
          </cell>
        </row>
        <row r="2476">
          <cell r="A2476" t="str">
            <v>ZGLOLAS</v>
          </cell>
          <cell r="B2476" t="str">
            <v>GLOVES  LATEX. SMALL</v>
          </cell>
          <cell r="C2476">
            <v>10.013</v>
          </cell>
          <cell r="D2476">
            <v>12.397</v>
          </cell>
          <cell r="E2476">
            <v>12.397</v>
          </cell>
          <cell r="F2476">
            <v>12.397</v>
          </cell>
          <cell r="G2476">
            <v>12.397</v>
          </cell>
          <cell r="H2476">
            <v>8.9</v>
          </cell>
          <cell r="I2476">
            <v>39883</v>
          </cell>
        </row>
        <row r="2477">
          <cell r="A2477" t="str">
            <v>ZGLOLAXL</v>
          </cell>
          <cell r="B2477" t="str">
            <v>GLOVES  LATEX. EXTRA LARGE</v>
          </cell>
          <cell r="C2477">
            <v>10.46</v>
          </cell>
          <cell r="D2477">
            <v>12.95</v>
          </cell>
          <cell r="E2477">
            <v>12.95</v>
          </cell>
          <cell r="F2477">
            <v>12.95</v>
          </cell>
          <cell r="G2477">
            <v>12.95</v>
          </cell>
          <cell r="H2477">
            <v>8.9</v>
          </cell>
          <cell r="I2477">
            <v>39910</v>
          </cell>
        </row>
        <row r="2478">
          <cell r="A2478" t="str">
            <v>ZGLONIL</v>
          </cell>
          <cell r="B2478" t="str">
            <v>GLOVES  NITRILE LARGE</v>
          </cell>
          <cell r="C2478">
            <v>16.600000000000001</v>
          </cell>
          <cell r="D2478">
            <v>20.55</v>
          </cell>
          <cell r="E2478">
            <v>20.55</v>
          </cell>
          <cell r="F2478">
            <v>20.55</v>
          </cell>
          <cell r="G2478">
            <v>20.55</v>
          </cell>
          <cell r="H2478">
            <v>13.95</v>
          </cell>
          <cell r="I2478">
            <v>39910</v>
          </cell>
        </row>
        <row r="2479">
          <cell r="A2479" t="str">
            <v>ZGLONIM</v>
          </cell>
          <cell r="B2479" t="str">
            <v>GLOVES  NITRILE MEDIUM</v>
          </cell>
          <cell r="C2479">
            <v>15.62</v>
          </cell>
          <cell r="D2479">
            <v>19.34</v>
          </cell>
          <cell r="E2479">
            <v>19.34</v>
          </cell>
          <cell r="F2479">
            <v>19.34</v>
          </cell>
          <cell r="G2479">
            <v>19.34</v>
          </cell>
          <cell r="H2479">
            <v>14.72</v>
          </cell>
          <cell r="I2479">
            <v>39910</v>
          </cell>
        </row>
        <row r="2480">
          <cell r="A2480" t="str">
            <v>ZGLONIS</v>
          </cell>
          <cell r="B2480" t="str">
            <v>GLOVES NITRILE SMALL</v>
          </cell>
          <cell r="C2480">
            <v>15.56</v>
          </cell>
          <cell r="D2480">
            <v>19.27</v>
          </cell>
          <cell r="E2480">
            <v>19.27</v>
          </cell>
          <cell r="F2480">
            <v>19.27</v>
          </cell>
          <cell r="G2480">
            <v>19.27</v>
          </cell>
          <cell r="H2480">
            <v>14.56</v>
          </cell>
          <cell r="I2480">
            <v>39910</v>
          </cell>
        </row>
        <row r="2481">
          <cell r="A2481" t="str">
            <v>ZGLONIXL</v>
          </cell>
          <cell r="B2481" t="str">
            <v>GLOVES  NITRILE. EXTRA LARGE</v>
          </cell>
          <cell r="C2481">
            <v>22</v>
          </cell>
          <cell r="D2481">
            <v>22</v>
          </cell>
          <cell r="E2481">
            <v>22</v>
          </cell>
          <cell r="F2481">
            <v>22</v>
          </cell>
          <cell r="G2481">
            <v>22</v>
          </cell>
          <cell r="H2481">
            <v>14.5</v>
          </cell>
        </row>
        <row r="2482">
          <cell r="A2482" t="str">
            <v>ZIGBEEM</v>
          </cell>
          <cell r="B2482" t="str">
            <v>ZIGBEE MODULE 1MW C/WIRE ANTENNA</v>
          </cell>
          <cell r="C2482">
            <v>41.56</v>
          </cell>
          <cell r="D2482">
            <v>51.45</v>
          </cell>
          <cell r="E2482">
            <v>51.45</v>
          </cell>
          <cell r="F2482">
            <v>51.45</v>
          </cell>
          <cell r="G2482">
            <v>51.45</v>
          </cell>
          <cell r="H2482">
            <v>39.576999999999998</v>
          </cell>
          <cell r="I2482">
            <v>39910</v>
          </cell>
        </row>
        <row r="2483">
          <cell r="A2483" t="str">
            <v>ZIGBEEP</v>
          </cell>
          <cell r="B2483" t="str">
            <v>ZIGBEE PRO MODULE C/W WIRE ANTENNA</v>
          </cell>
          <cell r="C2483">
            <v>81.96</v>
          </cell>
          <cell r="D2483">
            <v>101.48</v>
          </cell>
          <cell r="E2483">
            <v>101.48</v>
          </cell>
          <cell r="F2483">
            <v>101.48</v>
          </cell>
          <cell r="G2483">
            <v>101.48</v>
          </cell>
          <cell r="H2483">
            <v>83.3</v>
          </cell>
          <cell r="I2483">
            <v>39910</v>
          </cell>
        </row>
        <row r="2484">
          <cell r="A2484" t="str">
            <v>ZJ5L</v>
          </cell>
          <cell r="B2484" t="str">
            <v>JERRY CAN HDPE 5L</v>
          </cell>
          <cell r="C2484">
            <v>5.67</v>
          </cell>
          <cell r="D2484">
            <v>7.02</v>
          </cell>
          <cell r="E2484">
            <v>7.02</v>
          </cell>
          <cell r="F2484">
            <v>7.02</v>
          </cell>
          <cell r="G2484">
            <v>7.02</v>
          </cell>
          <cell r="H2484">
            <v>5.4</v>
          </cell>
          <cell r="I2484">
            <v>40058</v>
          </cell>
        </row>
        <row r="2485">
          <cell r="A2485" t="str">
            <v>ZJAR400</v>
          </cell>
          <cell r="B2485" t="str">
            <v>SQUARE PET JAR 400ml</v>
          </cell>
          <cell r="C2485">
            <v>1.39</v>
          </cell>
          <cell r="D2485">
            <v>1.72</v>
          </cell>
          <cell r="E2485">
            <v>1.72</v>
          </cell>
          <cell r="F2485">
            <v>1.72</v>
          </cell>
          <cell r="G2485">
            <v>1.72</v>
          </cell>
          <cell r="H2485">
            <v>0.66</v>
          </cell>
          <cell r="I2485">
            <v>39910</v>
          </cell>
        </row>
        <row r="2486">
          <cell r="A2486" t="str">
            <v>ZJAR400L</v>
          </cell>
          <cell r="B2486" t="str">
            <v>SQUARE PET JAR 400ML LID</v>
          </cell>
          <cell r="C2486">
            <v>0.27</v>
          </cell>
          <cell r="D2486">
            <v>0.34</v>
          </cell>
          <cell r="E2486">
            <v>0.34</v>
          </cell>
          <cell r="F2486">
            <v>0.34</v>
          </cell>
          <cell r="G2486">
            <v>0.34</v>
          </cell>
          <cell r="H2486">
            <v>0.26</v>
          </cell>
          <cell r="I2486">
            <v>39910</v>
          </cell>
        </row>
        <row r="2487">
          <cell r="A2487" t="str">
            <v>ZJC5L</v>
          </cell>
          <cell r="B2487" t="str">
            <v>JERRY CAN 5L - CAP - 10 pack</v>
          </cell>
          <cell r="C2487">
            <v>0.35</v>
          </cell>
          <cell r="D2487">
            <v>0.45</v>
          </cell>
          <cell r="E2487">
            <v>0.45</v>
          </cell>
          <cell r="F2487">
            <v>0.45</v>
          </cell>
          <cell r="G2487">
            <v>0.45</v>
          </cell>
          <cell r="H2487">
            <v>0.34</v>
          </cell>
          <cell r="I2487">
            <v>40058</v>
          </cell>
        </row>
        <row r="2488">
          <cell r="A2488" t="str">
            <v>ZLENSTISS</v>
          </cell>
          <cell r="B2488" t="str">
            <v>WHATMAN LENS CLEAN TISSUE 10x15 25 SHEET</v>
          </cell>
          <cell r="C2488">
            <v>0.34</v>
          </cell>
          <cell r="D2488">
            <v>0.42099999999999999</v>
          </cell>
          <cell r="E2488">
            <v>0.42099999999999999</v>
          </cell>
          <cell r="F2488">
            <v>0.42099999999999999</v>
          </cell>
          <cell r="G2488">
            <v>0.42099999999999999</v>
          </cell>
          <cell r="H2488">
            <v>0.32400000000000001</v>
          </cell>
          <cell r="I2488">
            <v>40100</v>
          </cell>
        </row>
        <row r="2489">
          <cell r="A2489" t="str">
            <v>ZLUGO</v>
          </cell>
          <cell r="B2489" t="str">
            <v>CLASSIC BOTTLE 250ml C/W CAP</v>
          </cell>
          <cell r="C2489">
            <v>2.0350000000000001</v>
          </cell>
          <cell r="D2489">
            <v>2.5190000000000001</v>
          </cell>
          <cell r="E2489">
            <v>2.5190000000000001</v>
          </cell>
          <cell r="F2489">
            <v>2.5190000000000001</v>
          </cell>
          <cell r="G2489">
            <v>2.5190000000000001</v>
          </cell>
          <cell r="H2489">
            <v>1.65</v>
          </cell>
          <cell r="I2489">
            <v>39883</v>
          </cell>
        </row>
        <row r="2490">
          <cell r="A2490" t="str">
            <v>ZPETRI</v>
          </cell>
          <cell r="B2490" t="str">
            <v>PETRI DISH 60mm</v>
          </cell>
          <cell r="C2490">
            <v>0.17</v>
          </cell>
          <cell r="D2490">
            <v>0.21</v>
          </cell>
          <cell r="E2490">
            <v>0.21</v>
          </cell>
          <cell r="F2490">
            <v>0.21</v>
          </cell>
          <cell r="G2490">
            <v>0.21</v>
          </cell>
          <cell r="H2490">
            <v>0.182</v>
          </cell>
          <cell r="I2490">
            <v>39910</v>
          </cell>
        </row>
        <row r="2491">
          <cell r="A2491" t="str">
            <v>ZPIPETT</v>
          </cell>
          <cell r="B2491" t="str">
            <v>PIPETTE TIPS 200ul.AXYGEN T200 (PKT 100)</v>
          </cell>
          <cell r="C2491">
            <v>2.4E-2</v>
          </cell>
          <cell r="D2491">
            <v>0.3</v>
          </cell>
          <cell r="E2491">
            <v>0.3</v>
          </cell>
          <cell r="F2491">
            <v>0.3</v>
          </cell>
          <cell r="G2491">
            <v>0.3</v>
          </cell>
          <cell r="H2491">
            <v>2.3E-2</v>
          </cell>
          <cell r="I2491">
            <v>39910</v>
          </cell>
        </row>
        <row r="2492">
          <cell r="A2492" t="str">
            <v>ZPIPTRA</v>
          </cell>
          <cell r="B2492" t="str">
            <v>TRANSFER PIPETTE, DISPOSABLE</v>
          </cell>
          <cell r="C2492">
            <v>7.0000000000000007E-2</v>
          </cell>
          <cell r="D2492">
            <v>0.09</v>
          </cell>
          <cell r="E2492">
            <v>0.09</v>
          </cell>
          <cell r="F2492">
            <v>0.09</v>
          </cell>
          <cell r="G2492">
            <v>0.09</v>
          </cell>
          <cell r="H2492">
            <v>6.4000000000000001E-2</v>
          </cell>
          <cell r="I2492">
            <v>39910</v>
          </cell>
        </row>
        <row r="2493">
          <cell r="A2493" t="str">
            <v>ZSECBAG</v>
          </cell>
          <cell r="B2493" t="str">
            <v>SECOL BAG 35mm 2" x 2"" MOUNTS (PKT 100)</v>
          </cell>
          <cell r="C2493">
            <v>19.52</v>
          </cell>
          <cell r="D2493">
            <v>24.17</v>
          </cell>
          <cell r="E2493">
            <v>24.17</v>
          </cell>
          <cell r="F2493">
            <v>24.17</v>
          </cell>
          <cell r="G2493">
            <v>24.17</v>
          </cell>
          <cell r="H2493">
            <v>23.295999999999999</v>
          </cell>
          <cell r="I2493">
            <v>39910</v>
          </cell>
        </row>
        <row r="2494">
          <cell r="A2494" t="str">
            <v>ZSECBAGSEC</v>
          </cell>
          <cell r="B2494" t="str">
            <v>SECOL SECURITY SYSTEM 35mm(PKT1000)</v>
          </cell>
          <cell r="C2494">
            <v>0.35899999999999999</v>
          </cell>
          <cell r="D2494">
            <v>0.44500000000000001</v>
          </cell>
          <cell r="E2494">
            <v>0.44500000000000001</v>
          </cell>
          <cell r="F2494">
            <v>0.44500000000000001</v>
          </cell>
          <cell r="G2494">
            <v>0.44500000000000001</v>
          </cell>
          <cell r="H2494">
            <v>0.33800000000000002</v>
          </cell>
          <cell r="I2494">
            <v>39988</v>
          </cell>
        </row>
        <row r="2495">
          <cell r="A2495" t="str">
            <v>ZSLIDEF</v>
          </cell>
          <cell r="B2495" t="str">
            <v>MICROSCOPE SLIDE FROSTED 75x25mm</v>
          </cell>
          <cell r="C2495">
            <v>1.7789999999999999</v>
          </cell>
          <cell r="D2495">
            <v>2.2029999999999998</v>
          </cell>
          <cell r="E2495">
            <v>2.2029999999999998</v>
          </cell>
          <cell r="F2495">
            <v>2.2029999999999998</v>
          </cell>
          <cell r="G2495">
            <v>2.2029999999999998</v>
          </cell>
          <cell r="H2495">
            <v>1.6950000000000001</v>
          </cell>
          <cell r="I2495">
            <v>40058</v>
          </cell>
        </row>
        <row r="2496">
          <cell r="A2496" t="str">
            <v>ZSNTUBE</v>
          </cell>
          <cell r="B2496" t="str">
            <v>SNAPLOCK MICROTUBE 1.5ml</v>
          </cell>
          <cell r="C2496">
            <v>3.5999999999999997E-2</v>
          </cell>
          <cell r="D2496">
            <v>4.3999999999999997E-2</v>
          </cell>
          <cell r="E2496">
            <v>4.3999999999999997E-2</v>
          </cell>
          <cell r="F2496">
            <v>4.3999999999999997E-2</v>
          </cell>
          <cell r="G2496">
            <v>4.3999999999999997E-2</v>
          </cell>
          <cell r="H2496">
            <v>0.04</v>
          </cell>
          <cell r="I2496">
            <v>39988</v>
          </cell>
        </row>
        <row r="2497">
          <cell r="A2497" t="str">
            <v>ZTESTUB</v>
          </cell>
          <cell r="B2497" t="str">
            <v>TEST TUBE 10ml C-W CAP</v>
          </cell>
          <cell r="C2497">
            <v>17.8</v>
          </cell>
          <cell r="D2497">
            <v>22.04</v>
          </cell>
          <cell r="E2497">
            <v>22.04</v>
          </cell>
          <cell r="F2497">
            <v>22.04</v>
          </cell>
          <cell r="G2497">
            <v>22.04</v>
          </cell>
          <cell r="H2497">
            <v>0</v>
          </cell>
          <cell r="I2497">
            <v>39910</v>
          </cell>
        </row>
        <row r="2498">
          <cell r="A2498" t="str">
            <v>ZTINCAP</v>
          </cell>
          <cell r="B2498" t="str">
            <v>TIN CAPSULES PRESSED, STANDARD</v>
          </cell>
          <cell r="C2498">
            <v>62.073</v>
          </cell>
          <cell r="D2498">
            <v>76.852000000000004</v>
          </cell>
          <cell r="E2498">
            <v>76.852000000000004</v>
          </cell>
          <cell r="F2498">
            <v>76.852000000000004</v>
          </cell>
          <cell r="G2498">
            <v>76.852000000000004</v>
          </cell>
          <cell r="H2498">
            <v>47.289000000000001</v>
          </cell>
          <cell r="I2498">
            <v>39883</v>
          </cell>
        </row>
        <row r="2499">
          <cell r="A2499" t="str">
            <v>ZVACCAR</v>
          </cell>
          <cell r="B2499" t="str">
            <v>VACUUM CARBOY  HEAVY DUTY 10L</v>
          </cell>
          <cell r="C2499">
            <v>139.97999999999999</v>
          </cell>
          <cell r="D2499">
            <v>173.31</v>
          </cell>
          <cell r="E2499">
            <v>173.31</v>
          </cell>
          <cell r="F2499">
            <v>173.31</v>
          </cell>
          <cell r="G2499">
            <v>173.31</v>
          </cell>
          <cell r="H2499">
            <v>131.66999999999999</v>
          </cell>
          <cell r="I2499">
            <v>39910</v>
          </cell>
        </row>
        <row r="2500">
          <cell r="A2500" t="str">
            <v>ZVIAL35</v>
          </cell>
          <cell r="B2500" t="str">
            <v>VIAL 35ml C-W CAP</v>
          </cell>
          <cell r="C2500">
            <v>0.04</v>
          </cell>
          <cell r="D2500">
            <v>0.05</v>
          </cell>
          <cell r="E2500">
            <v>0.05</v>
          </cell>
          <cell r="F2500">
            <v>0.05</v>
          </cell>
          <cell r="G2500">
            <v>0.05</v>
          </cell>
          <cell r="H2500">
            <v>0.11</v>
          </cell>
          <cell r="I2500">
            <v>39910</v>
          </cell>
        </row>
        <row r="2501">
          <cell r="A2501" t="str">
            <v>ZVIALS</v>
          </cell>
          <cell r="B2501" t="str">
            <v>GLASS SCINTILLATION VIAL 20mL</v>
          </cell>
          <cell r="C2501">
            <v>0.99</v>
          </cell>
          <cell r="D2501">
            <v>1.23</v>
          </cell>
          <cell r="E2501">
            <v>1.23</v>
          </cell>
          <cell r="F2501">
            <v>1.23</v>
          </cell>
          <cell r="G2501">
            <v>1.23</v>
          </cell>
          <cell r="H2501">
            <v>0.92800000000000005</v>
          </cell>
          <cell r="I2501">
            <v>39910</v>
          </cell>
        </row>
        <row r="2502">
          <cell r="A2502" t="str">
            <v>ZWAB250</v>
          </cell>
          <cell r="B2502" t="str">
            <v>WASH BOTTLE 250ml (MIXED PACK)</v>
          </cell>
          <cell r="C2502">
            <v>40.159999999999997</v>
          </cell>
          <cell r="D2502">
            <v>49.73</v>
          </cell>
          <cell r="E2502">
            <v>49.73</v>
          </cell>
          <cell r="F2502">
            <v>49.73</v>
          </cell>
          <cell r="G2502">
            <v>49.73</v>
          </cell>
          <cell r="H2502">
            <v>34.4</v>
          </cell>
          <cell r="I2502">
            <v>39910</v>
          </cell>
        </row>
        <row r="2503">
          <cell r="A2503" t="str">
            <v>ZWAB500</v>
          </cell>
          <cell r="B2503" t="str">
            <v>WASH BOTTLE  500ml</v>
          </cell>
          <cell r="C2503">
            <v>14.028</v>
          </cell>
          <cell r="D2503">
            <v>17.367999999999999</v>
          </cell>
          <cell r="E2503">
            <v>17.367999999999999</v>
          </cell>
          <cell r="F2503">
            <v>17.367999999999999</v>
          </cell>
          <cell r="G2503">
            <v>17.367999999999999</v>
          </cell>
          <cell r="H2503">
            <v>8.57</v>
          </cell>
          <cell r="I2503">
            <v>39883</v>
          </cell>
        </row>
      </sheetData>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fore starting!"/>
      <sheetName val="Main steps"/>
      <sheetName val="PROJECT ID"/>
      <sheetName val="Project details"/>
      <sheetName val="Define_Component"/>
      <sheetName val="Define_Outcome"/>
      <sheetName val="Define_Output"/>
      <sheetName val="Define_WP"/>
      <sheetName val="Cost Template"/>
      <sheetName val="Pivot WP"/>
      <sheetName val="Pivot Chart"/>
      <sheetName val="Summary"/>
      <sheetName val="Q.ty by year"/>
      <sheetName val="Table GCF B.1.1"/>
      <sheetName val="Table GCF B.1.1 by EE"/>
      <sheetName val="Table GCF H.1.2"/>
      <sheetName val="GCF bdg table"/>
      <sheetName val="BDG FPMIS"/>
      <sheetName val="BDG LC by activity "/>
      <sheetName val="BDG LC by financier"/>
      <sheetName val="BDG LC by year"/>
      <sheetName val="PMC rules"/>
      <sheetName val="FAO accounts"/>
      <sheetName val="FAO C.of A."/>
      <sheetName val="ICRU calculator"/>
      <sheetName val="Index"/>
      <sheetName val="Count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21">
          <cell r="A21" t="str">
            <v>x</v>
          </cell>
        </row>
      </sheetData>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L62"/>
  <sheetViews>
    <sheetView topLeftCell="B37" workbookViewId="0">
      <selection activeCell="L48" sqref="L48"/>
    </sheetView>
  </sheetViews>
  <sheetFormatPr defaultColWidth="8.7109375" defaultRowHeight="15" x14ac:dyDescent="0.25"/>
  <cols>
    <col min="3" max="3" width="17.42578125" style="3" customWidth="1"/>
    <col min="4" max="4" width="34" customWidth="1"/>
    <col min="5" max="5" width="14.42578125" customWidth="1"/>
    <col min="6" max="10" width="13.7109375" customWidth="1"/>
    <col min="11" max="13" width="14" customWidth="1"/>
  </cols>
  <sheetData>
    <row r="2" spans="3:12" s="208" customFormat="1" ht="15.75" x14ac:dyDescent="0.25">
      <c r="C2" s="207"/>
    </row>
    <row r="3" spans="3:12" s="208" customFormat="1" ht="27" customHeight="1" x14ac:dyDescent="0.25">
      <c r="C3" s="207" t="s">
        <v>0</v>
      </c>
    </row>
    <row r="4" spans="3:12" ht="15.75" x14ac:dyDescent="0.25">
      <c r="C4" s="209"/>
      <c r="D4" s="260" t="s">
        <v>1</v>
      </c>
      <c r="E4" s="214" t="s">
        <v>2</v>
      </c>
      <c r="F4" s="214" t="s">
        <v>3</v>
      </c>
      <c r="G4" s="214" t="s">
        <v>4</v>
      </c>
      <c r="H4" s="214" t="s">
        <v>5</v>
      </c>
      <c r="I4" s="208"/>
      <c r="J4" s="208"/>
      <c r="K4" s="208"/>
      <c r="L4" s="208"/>
    </row>
    <row r="5" spans="3:12" ht="15.75" x14ac:dyDescent="0.25">
      <c r="C5" s="210" t="s">
        <v>6</v>
      </c>
      <c r="D5" s="261">
        <f>'Detailed Budget'!P23</f>
        <v>2373700</v>
      </c>
      <c r="E5" s="211">
        <f>+D5-SUM(F5:L5)</f>
        <v>2022500</v>
      </c>
      <c r="F5" s="211">
        <f>+'Detailed Budget'!P22</f>
        <v>156200</v>
      </c>
      <c r="G5" s="211">
        <v>0</v>
      </c>
      <c r="H5" s="211">
        <f>+SUM('Detailed Budget'!P5:P7)+SUM('Detailed Budget'!P14:P16)</f>
        <v>195000</v>
      </c>
      <c r="I5" s="208"/>
      <c r="J5" s="208"/>
      <c r="K5" s="208"/>
      <c r="L5" s="208"/>
    </row>
    <row r="6" spans="3:12" ht="15.75" x14ac:dyDescent="0.25">
      <c r="C6" s="210" t="s">
        <v>7</v>
      </c>
      <c r="D6" s="261">
        <f>SUM('Detailed Budget'!P34:P34)</f>
        <v>813650</v>
      </c>
      <c r="E6" s="211">
        <f>+D6-SUM(F6:L6)</f>
        <v>313650</v>
      </c>
      <c r="F6" s="211">
        <v>0</v>
      </c>
      <c r="G6" s="211">
        <f>+'Detailed Budget'!P31</f>
        <v>500000</v>
      </c>
      <c r="H6" s="211">
        <v>0</v>
      </c>
      <c r="I6" s="208"/>
      <c r="J6" s="208"/>
      <c r="K6" s="208"/>
      <c r="L6" s="208"/>
    </row>
    <row r="7" spans="3:12" ht="15.75" x14ac:dyDescent="0.25">
      <c r="C7" s="264" t="s">
        <v>8</v>
      </c>
      <c r="D7" s="262">
        <f>SUM(D5:D6)</f>
        <v>3187350</v>
      </c>
      <c r="E7" s="212">
        <f>SUM(E5:E6)</f>
        <v>2336150</v>
      </c>
      <c r="F7" s="212">
        <f>+SUM(F5:F6)</f>
        <v>156200</v>
      </c>
      <c r="G7" s="212">
        <f>+SUM(G5:G6)</f>
        <v>500000</v>
      </c>
      <c r="H7" s="212">
        <f>+SUM(H5:H6)</f>
        <v>195000</v>
      </c>
      <c r="I7" s="208"/>
      <c r="J7" s="208"/>
      <c r="K7" s="208"/>
      <c r="L7" s="208"/>
    </row>
    <row r="8" spans="3:12" ht="15.75" x14ac:dyDescent="0.25">
      <c r="C8" s="210" t="s">
        <v>9</v>
      </c>
      <c r="D8" s="261">
        <f>SUM('Detailed Budget'!P59)</f>
        <v>8414900</v>
      </c>
      <c r="E8" s="211">
        <f>+D8-SUM(F8:L8)</f>
        <v>7619900</v>
      </c>
      <c r="F8" s="211">
        <v>0</v>
      </c>
      <c r="G8" s="211">
        <f>+'Detailed Budget'!P50</f>
        <v>300000</v>
      </c>
      <c r="H8" s="211">
        <f>+SUM('Detailed Budget'!P46:P49)+SUM('Detailed Budget'!P53:P56)</f>
        <v>495000</v>
      </c>
      <c r="I8" s="208"/>
      <c r="J8" s="208"/>
      <c r="K8" s="208"/>
      <c r="L8" s="208"/>
    </row>
    <row r="9" spans="3:12" ht="15.75" x14ac:dyDescent="0.25">
      <c r="C9" s="210" t="s">
        <v>10</v>
      </c>
      <c r="D9" s="261">
        <f>SUM('Detailed Budget'!P81:P81)</f>
        <v>8583100</v>
      </c>
      <c r="E9" s="211">
        <f>+D9-SUM(F9:L9)</f>
        <v>3139300</v>
      </c>
      <c r="F9" s="211">
        <f>+'Detailed Budget'!P66+'Detailed Budget'!P69</f>
        <v>4843800</v>
      </c>
      <c r="G9" s="211">
        <f>+'Detailed Budget'!P78</f>
        <v>600000</v>
      </c>
      <c r="H9" s="211">
        <v>0</v>
      </c>
      <c r="I9" s="208"/>
      <c r="J9" s="208"/>
      <c r="K9" s="208"/>
      <c r="L9" s="208"/>
    </row>
    <row r="10" spans="3:12" ht="15.75" x14ac:dyDescent="0.25">
      <c r="C10" s="264" t="s">
        <v>11</v>
      </c>
      <c r="D10" s="262">
        <f>SUM(D8:D9)</f>
        <v>16998000</v>
      </c>
      <c r="E10" s="212">
        <f>SUM(E8:E9)</f>
        <v>10759200</v>
      </c>
      <c r="F10" s="212">
        <f>+SUM(F8:F9)</f>
        <v>4843800</v>
      </c>
      <c r="G10" s="212">
        <f>+SUM(G8:G9)</f>
        <v>900000</v>
      </c>
      <c r="H10" s="212">
        <f>+SUM(H8:H9)</f>
        <v>495000</v>
      </c>
      <c r="I10" s="208"/>
      <c r="J10" s="208"/>
      <c r="K10" s="208"/>
      <c r="L10" s="208"/>
    </row>
    <row r="11" spans="3:12" ht="15.75" x14ac:dyDescent="0.25">
      <c r="C11" s="210" t="s">
        <v>12</v>
      </c>
      <c r="D11" s="261">
        <f>'Detailed Budget'!P113</f>
        <v>1294950</v>
      </c>
      <c r="E11" s="211">
        <f>+D11-SUM(F11:L11)</f>
        <v>1119950</v>
      </c>
      <c r="F11" s="211">
        <v>0</v>
      </c>
      <c r="G11" s="211">
        <f>+'Detailed Budget'!P92+'Detailed Budget'!P93+'Detailed Budget'!P100+'Detailed Budget'!P112</f>
        <v>175000</v>
      </c>
      <c r="H11" s="211">
        <v>0</v>
      </c>
      <c r="I11" s="208"/>
      <c r="J11" s="208"/>
      <c r="K11" s="208"/>
      <c r="L11" s="208"/>
    </row>
    <row r="12" spans="3:12" ht="15.75" x14ac:dyDescent="0.25">
      <c r="C12" s="210" t="s">
        <v>13</v>
      </c>
      <c r="D12" s="261">
        <f>SUM('Detailed Budget'!P160:P160)</f>
        <v>2361500</v>
      </c>
      <c r="E12" s="211">
        <f>+D12-SUM(F12:L12)</f>
        <v>2190500</v>
      </c>
      <c r="F12" s="211">
        <v>0</v>
      </c>
      <c r="G12" s="211">
        <f>+'Detailed Budget'!P114+'Detailed Budget'!P120+'Detailed Budget'!P121+'Detailed Budget'!P122</f>
        <v>87000</v>
      </c>
      <c r="H12" s="211">
        <f>+SUM('Detailed Budget'!P146:P147)</f>
        <v>84000</v>
      </c>
      <c r="I12" s="208"/>
      <c r="J12" s="208"/>
      <c r="K12" s="208"/>
      <c r="L12" s="208"/>
    </row>
    <row r="13" spans="3:12" ht="15.75" x14ac:dyDescent="0.25">
      <c r="C13" s="264" t="s">
        <v>14</v>
      </c>
      <c r="D13" s="262">
        <f>SUM(D11:D12)</f>
        <v>3656450</v>
      </c>
      <c r="E13" s="212">
        <f>SUM(E11:E12)</f>
        <v>3310450</v>
      </c>
      <c r="F13" s="212">
        <f>+SUM(F11:F12)</f>
        <v>0</v>
      </c>
      <c r="G13" s="212">
        <f>+SUM(G11:G12)</f>
        <v>262000</v>
      </c>
      <c r="H13" s="212">
        <f>+SUM(H11:H12)</f>
        <v>84000</v>
      </c>
      <c r="I13" s="208"/>
      <c r="J13" s="208"/>
      <c r="K13" s="208"/>
      <c r="L13" s="208"/>
    </row>
    <row r="14" spans="3:12" ht="15.75" x14ac:dyDescent="0.25">
      <c r="C14" s="264" t="s">
        <v>15</v>
      </c>
      <c r="D14" s="262">
        <f>'Detailed Budget'!P180</f>
        <v>1158200</v>
      </c>
      <c r="E14" s="212">
        <f>+D14-SUM(F14:L14)</f>
        <v>794200</v>
      </c>
      <c r="F14" s="212">
        <v>0</v>
      </c>
      <c r="G14" s="212">
        <f>+'Detailed Budget'!P168+'Detailed Budget'!P169+'Detailed Budget'!P170+'Detailed Budget'!P179</f>
        <v>338000</v>
      </c>
      <c r="H14" s="212">
        <f>+'Detailed Budget'!P174</f>
        <v>26000</v>
      </c>
      <c r="I14" s="208"/>
      <c r="J14" s="208"/>
      <c r="K14" s="208"/>
      <c r="L14" s="208"/>
    </row>
    <row r="15" spans="3:12" ht="15.75" x14ac:dyDescent="0.25">
      <c r="C15" s="260" t="s">
        <v>1</v>
      </c>
      <c r="D15" s="263">
        <f>SUM(D14,D13,D10,D7)</f>
        <v>25000000</v>
      </c>
      <c r="E15" s="213">
        <f>SUM(E14,E13,E10,E7)</f>
        <v>17200000</v>
      </c>
      <c r="F15" s="213">
        <f>+F7+F10+F13+F14</f>
        <v>5000000</v>
      </c>
      <c r="G15" s="213">
        <f>+G7+G10+G13+G14</f>
        <v>2000000</v>
      </c>
      <c r="H15" s="213">
        <f>+H7+H10+H13+H14</f>
        <v>800000</v>
      </c>
      <c r="I15" s="208"/>
      <c r="J15" s="208"/>
      <c r="K15" s="208"/>
      <c r="L15" s="208"/>
    </row>
    <row r="16" spans="3:12" ht="15.75" x14ac:dyDescent="0.25">
      <c r="I16" s="208"/>
      <c r="J16" s="208"/>
      <c r="K16" s="208"/>
      <c r="L16" s="208"/>
    </row>
    <row r="19" spans="3:10" s="208" customFormat="1" ht="27" customHeight="1" thickBot="1" x14ac:dyDescent="0.3">
      <c r="C19" s="207" t="s">
        <v>16</v>
      </c>
    </row>
    <row r="20" spans="3:10" ht="15.75" thickBot="1" x14ac:dyDescent="0.3">
      <c r="C20" s="427" t="s">
        <v>17</v>
      </c>
      <c r="D20" s="427" t="s">
        <v>18</v>
      </c>
      <c r="E20" s="58" t="s">
        <v>19</v>
      </c>
      <c r="F20" s="430" t="s">
        <v>20</v>
      </c>
      <c r="G20" s="431"/>
      <c r="H20" s="430" t="s">
        <v>21</v>
      </c>
      <c r="I20" s="432"/>
      <c r="J20" s="431"/>
    </row>
    <row r="21" spans="3:10" x14ac:dyDescent="0.25">
      <c r="C21" s="428"/>
      <c r="D21" s="428"/>
      <c r="E21" s="59" t="s">
        <v>22</v>
      </c>
      <c r="F21" s="61" t="s">
        <v>23</v>
      </c>
      <c r="G21" s="433" t="s">
        <v>24</v>
      </c>
      <c r="H21" s="61" t="s">
        <v>23</v>
      </c>
      <c r="I21" s="433" t="s">
        <v>24</v>
      </c>
      <c r="J21" s="433" t="s">
        <v>25</v>
      </c>
    </row>
    <row r="22" spans="3:10" ht="15.75" thickBot="1" x14ac:dyDescent="0.3">
      <c r="C22" s="429"/>
      <c r="D22" s="429"/>
      <c r="E22" s="60"/>
      <c r="F22" s="62" t="s">
        <v>22</v>
      </c>
      <c r="G22" s="434"/>
      <c r="H22" s="62" t="s">
        <v>22</v>
      </c>
      <c r="I22" s="434"/>
      <c r="J22" s="434"/>
    </row>
    <row r="23" spans="3:10" ht="26.45" customHeight="1" thickBot="1" x14ac:dyDescent="0.3">
      <c r="C23" s="418" t="s">
        <v>26</v>
      </c>
      <c r="D23" s="421" t="s">
        <v>27</v>
      </c>
      <c r="E23" s="438">
        <f>+D5</f>
        <v>2373700</v>
      </c>
      <c r="F23" s="437">
        <f>+E5</f>
        <v>2022500</v>
      </c>
      <c r="G23" s="418" t="s">
        <v>28</v>
      </c>
      <c r="H23" s="86">
        <f>+F5</f>
        <v>156200</v>
      </c>
      <c r="I23" s="64" t="s">
        <v>28</v>
      </c>
      <c r="J23" s="65" t="s">
        <v>3</v>
      </c>
    </row>
    <row r="24" spans="3:10" ht="26.45" customHeight="1" thickBot="1" x14ac:dyDescent="0.3">
      <c r="C24" s="419"/>
      <c r="D24" s="422"/>
      <c r="E24" s="439"/>
      <c r="F24" s="420"/>
      <c r="G24" s="420"/>
      <c r="H24" s="86">
        <f>+H5</f>
        <v>195000</v>
      </c>
      <c r="I24" s="64" t="s">
        <v>28</v>
      </c>
      <c r="J24" s="65" t="s">
        <v>5</v>
      </c>
    </row>
    <row r="25" spans="3:10" ht="26.45" customHeight="1" thickBot="1" x14ac:dyDescent="0.3">
      <c r="C25" s="420"/>
      <c r="D25" s="63" t="s">
        <v>30</v>
      </c>
      <c r="E25" s="86">
        <f>+D6</f>
        <v>813650</v>
      </c>
      <c r="F25" s="86">
        <f>+E6</f>
        <v>313650</v>
      </c>
      <c r="G25" s="64" t="s">
        <v>28</v>
      </c>
      <c r="H25" s="86">
        <f>+G6</f>
        <v>500000</v>
      </c>
      <c r="I25" s="64" t="s">
        <v>29</v>
      </c>
      <c r="J25" s="65" t="s">
        <v>4</v>
      </c>
    </row>
    <row r="26" spans="3:10" ht="36.75" customHeight="1" thickBot="1" x14ac:dyDescent="0.3">
      <c r="C26" s="418" t="s">
        <v>31</v>
      </c>
      <c r="D26" s="421" t="s">
        <v>32</v>
      </c>
      <c r="E26" s="438">
        <f>+D8</f>
        <v>8414900</v>
      </c>
      <c r="F26" s="437">
        <f>+E8</f>
        <v>7619900</v>
      </c>
      <c r="G26" s="418" t="s">
        <v>28</v>
      </c>
      <c r="H26" s="86">
        <f>+G8</f>
        <v>300000</v>
      </c>
      <c r="I26" s="64" t="s">
        <v>29</v>
      </c>
      <c r="J26" s="65" t="s">
        <v>4</v>
      </c>
    </row>
    <row r="27" spans="3:10" ht="36.75" customHeight="1" thickBot="1" x14ac:dyDescent="0.3">
      <c r="C27" s="419"/>
      <c r="D27" s="422"/>
      <c r="E27" s="439"/>
      <c r="F27" s="420"/>
      <c r="G27" s="420"/>
      <c r="H27" s="86">
        <f>+H8</f>
        <v>495000</v>
      </c>
      <c r="I27" s="64" t="s">
        <v>28</v>
      </c>
      <c r="J27" s="65" t="s">
        <v>5</v>
      </c>
    </row>
    <row r="28" spans="3:10" ht="15.75" thickBot="1" x14ac:dyDescent="0.3">
      <c r="C28" s="419"/>
      <c r="D28" s="421" t="s">
        <v>33</v>
      </c>
      <c r="E28" s="438">
        <f>+D9</f>
        <v>8583100</v>
      </c>
      <c r="F28" s="437">
        <f>+E9</f>
        <v>3139300</v>
      </c>
      <c r="G28" s="418" t="s">
        <v>28</v>
      </c>
      <c r="H28" s="86">
        <f>+F9</f>
        <v>4843800</v>
      </c>
      <c r="I28" s="64" t="s">
        <v>28</v>
      </c>
      <c r="J28" s="65" t="s">
        <v>3</v>
      </c>
    </row>
    <row r="29" spans="3:10" ht="15.75" thickBot="1" x14ac:dyDescent="0.3">
      <c r="C29" s="420"/>
      <c r="D29" s="422"/>
      <c r="E29" s="439"/>
      <c r="F29" s="420"/>
      <c r="G29" s="420"/>
      <c r="H29" s="86">
        <f>+G9</f>
        <v>600000</v>
      </c>
      <c r="I29" s="64" t="s">
        <v>29</v>
      </c>
      <c r="J29" s="65" t="s">
        <v>34</v>
      </c>
    </row>
    <row r="30" spans="3:10" ht="48.75" thickBot="1" x14ac:dyDescent="0.3">
      <c r="C30" s="418" t="s">
        <v>35</v>
      </c>
      <c r="D30" s="63" t="s">
        <v>36</v>
      </c>
      <c r="E30" s="86">
        <f>+D11</f>
        <v>1294950</v>
      </c>
      <c r="F30" s="86">
        <f>+E11</f>
        <v>1119950</v>
      </c>
      <c r="G30" s="64" t="s">
        <v>28</v>
      </c>
      <c r="H30" s="86">
        <f>+G11</f>
        <v>175000</v>
      </c>
      <c r="I30" s="64" t="s">
        <v>29</v>
      </c>
      <c r="J30" s="65" t="s">
        <v>4</v>
      </c>
    </row>
    <row r="31" spans="3:10" ht="25.9" customHeight="1" thickBot="1" x14ac:dyDescent="0.3">
      <c r="C31" s="419"/>
      <c r="D31" s="421" t="s">
        <v>37</v>
      </c>
      <c r="E31" s="438">
        <f>+D12</f>
        <v>2361500</v>
      </c>
      <c r="F31" s="438">
        <f>+E12</f>
        <v>2190500</v>
      </c>
      <c r="G31" s="440" t="s">
        <v>28</v>
      </c>
      <c r="H31" s="86">
        <f>+G12</f>
        <v>87000</v>
      </c>
      <c r="I31" s="64" t="s">
        <v>29</v>
      </c>
      <c r="J31" s="65" t="s">
        <v>4</v>
      </c>
    </row>
    <row r="32" spans="3:10" ht="25.9" customHeight="1" thickBot="1" x14ac:dyDescent="0.3">
      <c r="C32" s="420"/>
      <c r="D32" s="422"/>
      <c r="E32" s="439"/>
      <c r="F32" s="439"/>
      <c r="G32" s="441"/>
      <c r="H32" s="86">
        <f>+H12</f>
        <v>84000</v>
      </c>
      <c r="I32" s="64" t="s">
        <v>28</v>
      </c>
      <c r="J32" s="65" t="s">
        <v>5</v>
      </c>
    </row>
    <row r="33" spans="3:11" ht="15.75" thickBot="1" x14ac:dyDescent="0.3">
      <c r="C33" s="418" t="s">
        <v>38</v>
      </c>
      <c r="D33" s="442"/>
      <c r="E33" s="438">
        <f>+D14</f>
        <v>1158200</v>
      </c>
      <c r="F33" s="437">
        <f>+E14</f>
        <v>794200</v>
      </c>
      <c r="G33" s="418" t="s">
        <v>28</v>
      </c>
      <c r="H33" s="86">
        <f>+G14</f>
        <v>338000</v>
      </c>
      <c r="I33" s="64" t="s">
        <v>29</v>
      </c>
      <c r="J33" s="65" t="s">
        <v>4</v>
      </c>
    </row>
    <row r="34" spans="3:11" ht="15.75" thickBot="1" x14ac:dyDescent="0.3">
      <c r="C34" s="420"/>
      <c r="D34" s="443"/>
      <c r="E34" s="439"/>
      <c r="F34" s="420"/>
      <c r="G34" s="420"/>
      <c r="H34" s="86">
        <f>+H14</f>
        <v>26000</v>
      </c>
      <c r="I34" s="64" t="s">
        <v>28</v>
      </c>
      <c r="J34" s="65" t="s">
        <v>5</v>
      </c>
    </row>
    <row r="35" spans="3:11" ht="15.75" thickBot="1" x14ac:dyDescent="0.3">
      <c r="C35" s="435" t="s">
        <v>39</v>
      </c>
      <c r="D35" s="436"/>
      <c r="E35" s="86">
        <f>SUM(E23:E34)</f>
        <v>25000000</v>
      </c>
      <c r="F35" s="415">
        <f>SUM(F23:F34)</f>
        <v>17200000</v>
      </c>
      <c r="G35" s="417"/>
      <c r="H35" s="415">
        <f>SUM(H23:H34)</f>
        <v>7800000</v>
      </c>
      <c r="I35" s="416"/>
      <c r="J35" s="417"/>
    </row>
    <row r="37" spans="3:11" s="208" customFormat="1" ht="27" customHeight="1" thickBot="1" x14ac:dyDescent="0.3">
      <c r="C37" s="207" t="s">
        <v>40</v>
      </c>
    </row>
    <row r="38" spans="3:11" ht="15.75" thickBot="1" x14ac:dyDescent="0.3">
      <c r="C38" s="427" t="s">
        <v>17</v>
      </c>
      <c r="D38" s="427" t="s">
        <v>18</v>
      </c>
      <c r="E38" s="58" t="s">
        <v>19</v>
      </c>
      <c r="F38" s="430" t="s">
        <v>20</v>
      </c>
      <c r="G38" s="431"/>
      <c r="H38" s="430" t="s">
        <v>21</v>
      </c>
      <c r="I38" s="432"/>
      <c r="J38" s="431"/>
    </row>
    <row r="39" spans="3:11" x14ac:dyDescent="0.25">
      <c r="C39" s="428"/>
      <c r="D39" s="428"/>
      <c r="E39" s="59" t="s">
        <v>22</v>
      </c>
      <c r="F39" s="61" t="s">
        <v>23</v>
      </c>
      <c r="G39" s="433" t="s">
        <v>24</v>
      </c>
      <c r="H39" s="61" t="s">
        <v>23</v>
      </c>
      <c r="I39" s="433" t="s">
        <v>24</v>
      </c>
      <c r="J39" s="433" t="s">
        <v>25</v>
      </c>
    </row>
    <row r="40" spans="3:11" ht="15.75" thickBot="1" x14ac:dyDescent="0.3">
      <c r="C40" s="429"/>
      <c r="D40" s="429"/>
      <c r="E40" s="60"/>
      <c r="F40" s="62" t="s">
        <v>22</v>
      </c>
      <c r="G40" s="434"/>
      <c r="H40" s="62" t="s">
        <v>22</v>
      </c>
      <c r="I40" s="434"/>
      <c r="J40" s="434"/>
    </row>
    <row r="41" spans="3:11" ht="25.9" customHeight="1" thickBot="1" x14ac:dyDescent="0.3">
      <c r="C41" s="418" t="s">
        <v>26</v>
      </c>
      <c r="D41" s="421" t="s">
        <v>41</v>
      </c>
      <c r="E41" s="423">
        <f>+E23/1000000</f>
        <v>2.3736999999999999</v>
      </c>
      <c r="F41" s="425">
        <f>+F23/1000000</f>
        <v>2.0225</v>
      </c>
      <c r="G41" s="425" t="s">
        <v>28</v>
      </c>
      <c r="H41" s="88">
        <f t="shared" ref="H41:H48" si="0">+H23/1000000</f>
        <v>0.15620000000000001</v>
      </c>
      <c r="I41" s="64" t="s">
        <v>28</v>
      </c>
      <c r="J41" s="65" t="s">
        <v>3</v>
      </c>
      <c r="K41" s="383"/>
    </row>
    <row r="42" spans="3:11" ht="25.9" customHeight="1" thickBot="1" x14ac:dyDescent="0.3">
      <c r="C42" s="419"/>
      <c r="D42" s="422"/>
      <c r="E42" s="424"/>
      <c r="F42" s="426"/>
      <c r="G42" s="426"/>
      <c r="H42" s="88">
        <f t="shared" si="0"/>
        <v>0.19500000000000001</v>
      </c>
      <c r="I42" s="64" t="s">
        <v>28</v>
      </c>
      <c r="J42" s="65" t="s">
        <v>5</v>
      </c>
    </row>
    <row r="43" spans="3:11" ht="25.9" customHeight="1" thickBot="1" x14ac:dyDescent="0.3">
      <c r="C43" s="420"/>
      <c r="D43" s="63" t="s">
        <v>30</v>
      </c>
      <c r="E43" s="88">
        <f>+E25/1000000</f>
        <v>0.81364999999999998</v>
      </c>
      <c r="F43" s="88">
        <f>+F25/1000000</f>
        <v>0.31364999999999998</v>
      </c>
      <c r="G43" s="88" t="s">
        <v>28</v>
      </c>
      <c r="H43" s="88">
        <f t="shared" si="0"/>
        <v>0.5</v>
      </c>
      <c r="I43" s="64" t="s">
        <v>29</v>
      </c>
      <c r="J43" s="65" t="s">
        <v>4</v>
      </c>
    </row>
    <row r="44" spans="3:11" ht="41.45" customHeight="1" thickBot="1" x14ac:dyDescent="0.3">
      <c r="C44" s="418" t="s">
        <v>31</v>
      </c>
      <c r="D44" s="421" t="s">
        <v>42</v>
      </c>
      <c r="E44" s="423">
        <f>+E26/1000000</f>
        <v>8.4148999999999994</v>
      </c>
      <c r="F44" s="425">
        <f>+F26/1000000</f>
        <v>7.6199000000000003</v>
      </c>
      <c r="G44" s="425" t="s">
        <v>28</v>
      </c>
      <c r="H44" s="88">
        <f t="shared" si="0"/>
        <v>0.3</v>
      </c>
      <c r="I44" s="64" t="s">
        <v>29</v>
      </c>
      <c r="J44" s="65" t="s">
        <v>4</v>
      </c>
      <c r="K44" s="383"/>
    </row>
    <row r="45" spans="3:11" ht="41.45" customHeight="1" thickBot="1" x14ac:dyDescent="0.3">
      <c r="C45" s="419"/>
      <c r="D45" s="422"/>
      <c r="E45" s="424"/>
      <c r="F45" s="426"/>
      <c r="G45" s="426"/>
      <c r="H45" s="88">
        <f t="shared" si="0"/>
        <v>0.495</v>
      </c>
      <c r="I45" s="64" t="s">
        <v>28</v>
      </c>
      <c r="J45" s="65" t="s">
        <v>5</v>
      </c>
    </row>
    <row r="46" spans="3:11" ht="23.45" customHeight="1" thickBot="1" x14ac:dyDescent="0.3">
      <c r="C46" s="419"/>
      <c r="D46" s="421" t="s">
        <v>33</v>
      </c>
      <c r="E46" s="423">
        <f t="shared" ref="E46:F46" si="1">+E28/1000000</f>
        <v>8.5831</v>
      </c>
      <c r="F46" s="425">
        <f t="shared" si="1"/>
        <v>3.1393</v>
      </c>
      <c r="G46" s="425" t="s">
        <v>28</v>
      </c>
      <c r="H46" s="88">
        <f t="shared" si="0"/>
        <v>4.8437999999999999</v>
      </c>
      <c r="I46" s="64" t="s">
        <v>28</v>
      </c>
      <c r="J46" s="65" t="s">
        <v>3</v>
      </c>
    </row>
    <row r="47" spans="3:11" ht="28.15" customHeight="1" thickBot="1" x14ac:dyDescent="0.3">
      <c r="C47" s="420"/>
      <c r="D47" s="422"/>
      <c r="E47" s="424"/>
      <c r="F47" s="426"/>
      <c r="G47" s="426"/>
      <c r="H47" s="88">
        <f t="shared" si="0"/>
        <v>0.6</v>
      </c>
      <c r="I47" s="64" t="s">
        <v>29</v>
      </c>
      <c r="J47" s="65" t="s">
        <v>34</v>
      </c>
    </row>
    <row r="48" spans="3:11" ht="48.75" thickBot="1" x14ac:dyDescent="0.3">
      <c r="C48" s="418" t="s">
        <v>35</v>
      </c>
      <c r="D48" s="63" t="s">
        <v>36</v>
      </c>
      <c r="E48" s="88">
        <f>+E30/1000000</f>
        <v>1.29495</v>
      </c>
      <c r="F48" s="88">
        <f>+F30/1000000</f>
        <v>1.11995</v>
      </c>
      <c r="G48" s="88" t="s">
        <v>28</v>
      </c>
      <c r="H48" s="88">
        <f t="shared" si="0"/>
        <v>0.17499999999999999</v>
      </c>
      <c r="I48" s="64" t="s">
        <v>29</v>
      </c>
      <c r="J48" s="65" t="s">
        <v>4</v>
      </c>
    </row>
    <row r="49" spans="3:11" ht="22.9" customHeight="1" thickBot="1" x14ac:dyDescent="0.3">
      <c r="C49" s="419"/>
      <c r="D49" s="421" t="s">
        <v>37</v>
      </c>
      <c r="E49" s="423">
        <f>+E31/1000000</f>
        <v>2.3614999999999999</v>
      </c>
      <c r="F49" s="423">
        <f>+F31/1000000</f>
        <v>2.1905000000000001</v>
      </c>
      <c r="G49" s="423" t="s">
        <v>28</v>
      </c>
      <c r="H49" s="88">
        <f>++H31/1000000</f>
        <v>8.6999999999999994E-2</v>
      </c>
      <c r="I49" s="64" t="s">
        <v>29</v>
      </c>
      <c r="J49" s="65" t="s">
        <v>4</v>
      </c>
      <c r="K49" s="383"/>
    </row>
    <row r="50" spans="3:11" ht="22.9" customHeight="1" thickBot="1" x14ac:dyDescent="0.3">
      <c r="C50" s="420"/>
      <c r="D50" s="422"/>
      <c r="E50" s="424"/>
      <c r="F50" s="424"/>
      <c r="G50" s="424"/>
      <c r="H50" s="88">
        <f>++H32/1000000</f>
        <v>8.4000000000000005E-2</v>
      </c>
      <c r="I50" s="64" t="s">
        <v>28</v>
      </c>
      <c r="J50" s="65" t="s">
        <v>5</v>
      </c>
    </row>
    <row r="51" spans="3:11" ht="15.75" thickBot="1" x14ac:dyDescent="0.3">
      <c r="C51" s="418" t="s">
        <v>38</v>
      </c>
      <c r="D51" s="442"/>
      <c r="E51" s="423">
        <f t="shared" ref="E51:F51" si="2">+E33/1000000</f>
        <v>1.1581999999999999</v>
      </c>
      <c r="F51" s="425">
        <f t="shared" si="2"/>
        <v>0.79420000000000002</v>
      </c>
      <c r="G51" s="418" t="s">
        <v>28</v>
      </c>
      <c r="H51" s="88">
        <f>+H33/1000000</f>
        <v>0.33800000000000002</v>
      </c>
      <c r="I51" s="64" t="s">
        <v>29</v>
      </c>
      <c r="J51" s="65" t="s">
        <v>4</v>
      </c>
    </row>
    <row r="52" spans="3:11" ht="15.75" thickBot="1" x14ac:dyDescent="0.3">
      <c r="C52" s="420"/>
      <c r="D52" s="443"/>
      <c r="E52" s="424"/>
      <c r="F52" s="426"/>
      <c r="G52" s="420"/>
      <c r="H52" s="88">
        <f>+H34/1000000</f>
        <v>2.5999999999999999E-2</v>
      </c>
      <c r="I52" s="64" t="s">
        <v>28</v>
      </c>
      <c r="J52" s="65" t="s">
        <v>5</v>
      </c>
    </row>
    <row r="53" spans="3:11" ht="15.75" thickBot="1" x14ac:dyDescent="0.3">
      <c r="C53" s="435" t="s">
        <v>39</v>
      </c>
      <c r="D53" s="436"/>
      <c r="E53" s="87">
        <f>SUM(E41:E51)</f>
        <v>25</v>
      </c>
      <c r="F53" s="412">
        <f>SUM(F41:F51)</f>
        <v>17.2</v>
      </c>
      <c r="G53" s="414"/>
      <c r="H53" s="412">
        <f>SUM(H41:H52)</f>
        <v>7.7999999999999989</v>
      </c>
      <c r="I53" s="413"/>
      <c r="J53" s="414"/>
    </row>
    <row r="55" spans="3:11" ht="15.75" x14ac:dyDescent="0.25">
      <c r="C55" s="207" t="s">
        <v>43</v>
      </c>
      <c r="D55" s="208"/>
    </row>
    <row r="56" spans="3:11" x14ac:dyDescent="0.25">
      <c r="C56" s="239" t="s">
        <v>44</v>
      </c>
      <c r="D56" s="240">
        <f>+E33</f>
        <v>1158200</v>
      </c>
    </row>
    <row r="57" spans="3:11" x14ac:dyDescent="0.25">
      <c r="C57" s="239" t="s">
        <v>45</v>
      </c>
      <c r="D57" s="241">
        <f>+F33</f>
        <v>794200</v>
      </c>
    </row>
    <row r="58" spans="3:11" x14ac:dyDescent="0.25">
      <c r="C58" s="242" t="s">
        <v>46</v>
      </c>
      <c r="D58" s="243">
        <f>D57/D56</f>
        <v>0.68571921947850112</v>
      </c>
    </row>
    <row r="59" spans="3:11" x14ac:dyDescent="0.25">
      <c r="C59" s="242" t="s">
        <v>47</v>
      </c>
      <c r="D59" s="241">
        <f>+E35</f>
        <v>25000000</v>
      </c>
    </row>
    <row r="60" spans="3:11" x14ac:dyDescent="0.25">
      <c r="C60" s="242" t="s">
        <v>48</v>
      </c>
      <c r="D60" s="241">
        <f>+F35</f>
        <v>17200000</v>
      </c>
    </row>
    <row r="61" spans="3:11" x14ac:dyDescent="0.25">
      <c r="C61" s="242" t="s">
        <v>49</v>
      </c>
      <c r="D61" s="243">
        <f>D60/D59</f>
        <v>0.68799999999999994</v>
      </c>
    </row>
    <row r="62" spans="3:11" x14ac:dyDescent="0.25">
      <c r="C62" s="244" t="s">
        <v>50</v>
      </c>
      <c r="D62" s="245">
        <f>+E51/E53</f>
        <v>4.6327999999999994E-2</v>
      </c>
    </row>
  </sheetData>
  <mergeCells count="68">
    <mergeCell ref="C51:C52"/>
    <mergeCell ref="C48:C50"/>
    <mergeCell ref="D49:D50"/>
    <mergeCell ref="E49:E50"/>
    <mergeCell ref="F49:F50"/>
    <mergeCell ref="D51:D52"/>
    <mergeCell ref="E51:E52"/>
    <mergeCell ref="F51:F52"/>
    <mergeCell ref="C30:C32"/>
    <mergeCell ref="G31:G32"/>
    <mergeCell ref="F31:F32"/>
    <mergeCell ref="E31:E32"/>
    <mergeCell ref="D33:D34"/>
    <mergeCell ref="E33:E34"/>
    <mergeCell ref="F33:F34"/>
    <mergeCell ref="G33:G34"/>
    <mergeCell ref="D31:D32"/>
    <mergeCell ref="G51:G52"/>
    <mergeCell ref="D41:D42"/>
    <mergeCell ref="E41:E42"/>
    <mergeCell ref="F41:F42"/>
    <mergeCell ref="G41:G42"/>
    <mergeCell ref="D44:D45"/>
    <mergeCell ref="E44:E45"/>
    <mergeCell ref="F44:F45"/>
    <mergeCell ref="G44:G45"/>
    <mergeCell ref="G49:G50"/>
    <mergeCell ref="H20:J20"/>
    <mergeCell ref="G21:G22"/>
    <mergeCell ref="I21:I22"/>
    <mergeCell ref="J21:J22"/>
    <mergeCell ref="C23:C25"/>
    <mergeCell ref="D23:D24"/>
    <mergeCell ref="E23:E24"/>
    <mergeCell ref="F23:F24"/>
    <mergeCell ref="G23:G24"/>
    <mergeCell ref="F53:G53"/>
    <mergeCell ref="F28:F29"/>
    <mergeCell ref="G28:G29"/>
    <mergeCell ref="C20:C22"/>
    <mergeCell ref="D20:D22"/>
    <mergeCell ref="F20:G20"/>
    <mergeCell ref="C35:D35"/>
    <mergeCell ref="F35:G35"/>
    <mergeCell ref="C26:C29"/>
    <mergeCell ref="D28:D29"/>
    <mergeCell ref="E28:E29"/>
    <mergeCell ref="D26:D27"/>
    <mergeCell ref="E26:E27"/>
    <mergeCell ref="F26:F27"/>
    <mergeCell ref="G26:G27"/>
    <mergeCell ref="C33:C34"/>
    <mergeCell ref="H53:J53"/>
    <mergeCell ref="H35:J35"/>
    <mergeCell ref="C41:C43"/>
    <mergeCell ref="C44:C47"/>
    <mergeCell ref="D46:D47"/>
    <mergeCell ref="E46:E47"/>
    <mergeCell ref="F46:F47"/>
    <mergeCell ref="G46:G47"/>
    <mergeCell ref="C38:C40"/>
    <mergeCell ref="D38:D40"/>
    <mergeCell ref="F38:G38"/>
    <mergeCell ref="H38:J38"/>
    <mergeCell ref="G39:G40"/>
    <mergeCell ref="I39:I40"/>
    <mergeCell ref="J39:J40"/>
    <mergeCell ref="C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189"/>
  <sheetViews>
    <sheetView showGridLines="0" tabSelected="1" zoomScale="80" zoomScaleNormal="80" zoomScaleSheetLayoutView="55" workbookViewId="0">
      <pane xSplit="4" ySplit="3" topLeftCell="E4" activePane="bottomRight" state="frozen"/>
      <selection pane="topRight" activeCell="E1" sqref="E1"/>
      <selection pane="bottomLeft" activeCell="A4" sqref="A4"/>
      <selection pane="bottomRight" activeCell="AX146" sqref="AX146"/>
    </sheetView>
  </sheetViews>
  <sheetFormatPr defaultColWidth="8.7109375" defaultRowHeight="15" x14ac:dyDescent="0.25"/>
  <cols>
    <col min="1" max="1" width="15.85546875" customWidth="1"/>
    <col min="2" max="2" width="19.7109375" customWidth="1"/>
    <col min="3" max="3" width="38.28515625" customWidth="1"/>
    <col min="4" max="4" width="46.7109375" style="57" customWidth="1"/>
    <col min="5" max="5" width="18.42578125" style="3" customWidth="1"/>
    <col min="6" max="6" width="21.85546875" style="3" customWidth="1"/>
    <col min="7" max="7" width="37.7109375" style="3" customWidth="1"/>
    <col min="8" max="8" width="15.28515625" style="3" customWidth="1"/>
    <col min="9" max="9" width="26.5703125" style="3" customWidth="1"/>
    <col min="10" max="13" width="15.42578125" customWidth="1"/>
    <col min="14" max="14" width="19.42578125" customWidth="1"/>
    <col min="15" max="16" width="15.42578125" customWidth="1"/>
    <col min="17" max="17" width="17.28515625" hidden="1" customWidth="1"/>
    <col min="18" max="21" width="15.28515625" hidden="1" customWidth="1"/>
    <col min="22" max="22" width="16.28515625" hidden="1" customWidth="1"/>
    <col min="23" max="23" width="0" hidden="1" customWidth="1"/>
    <col min="24" max="24" width="13.7109375" hidden="1" customWidth="1"/>
    <col min="25" max="25" width="11.85546875" hidden="1" customWidth="1"/>
    <col min="26" max="26" width="0" hidden="1" customWidth="1"/>
    <col min="27" max="27" width="11.5703125" hidden="1" customWidth="1"/>
    <col min="28" max="28" width="9.7109375" hidden="1" customWidth="1"/>
    <col min="29" max="43" width="0" hidden="1" customWidth="1"/>
  </cols>
  <sheetData>
    <row r="1" spans="1:45" ht="18.75" x14ac:dyDescent="0.3">
      <c r="A1" s="2" t="s">
        <v>51</v>
      </c>
      <c r="D1" s="70" t="s">
        <v>52</v>
      </c>
      <c r="P1" s="51">
        <f>+P182</f>
        <v>25000000</v>
      </c>
      <c r="AB1" t="s">
        <v>53</v>
      </c>
      <c r="AC1" t="s">
        <v>54</v>
      </c>
      <c r="AD1" t="s">
        <v>55</v>
      </c>
    </row>
    <row r="2" spans="1:45" ht="19.5" thickBot="1" x14ac:dyDescent="0.35">
      <c r="A2" s="2" t="s">
        <v>56</v>
      </c>
      <c r="E2" s="54"/>
      <c r="F2" s="54"/>
      <c r="G2" s="54"/>
      <c r="H2" s="54"/>
      <c r="I2" s="54"/>
      <c r="J2" s="53"/>
      <c r="K2" s="53"/>
      <c r="L2" s="53"/>
      <c r="M2" s="53"/>
      <c r="N2" s="53"/>
      <c r="O2" s="53"/>
      <c r="P2" s="53"/>
      <c r="X2" t="s">
        <v>57</v>
      </c>
      <c r="Y2">
        <v>1100</v>
      </c>
      <c r="Z2">
        <v>100</v>
      </c>
      <c r="AA2" s="238">
        <f>+Y2*Z2</f>
        <v>110000</v>
      </c>
      <c r="AB2" s="238">
        <f>+AA2/4</f>
        <v>27500</v>
      </c>
      <c r="AC2" s="238">
        <f>+AB2/50</f>
        <v>550</v>
      </c>
      <c r="AD2">
        <f>+AC2/10</f>
        <v>55</v>
      </c>
    </row>
    <row r="3" spans="1:45" ht="30.75" thickBot="1" x14ac:dyDescent="0.3">
      <c r="A3" s="66" t="s">
        <v>17</v>
      </c>
      <c r="B3" s="67" t="s">
        <v>18</v>
      </c>
      <c r="C3" s="67" t="s">
        <v>58</v>
      </c>
      <c r="D3" s="68" t="s">
        <v>59</v>
      </c>
      <c r="E3" s="401" t="s">
        <v>60</v>
      </c>
      <c r="F3" s="401" t="s">
        <v>61</v>
      </c>
      <c r="G3" s="401" t="s">
        <v>62</v>
      </c>
      <c r="H3" s="401" t="s">
        <v>63</v>
      </c>
      <c r="I3" s="401" t="s">
        <v>64</v>
      </c>
      <c r="J3" s="401" t="s">
        <v>65</v>
      </c>
      <c r="K3" s="401" t="s">
        <v>66</v>
      </c>
      <c r="L3" s="401" t="s">
        <v>67</v>
      </c>
      <c r="M3" s="401" t="s">
        <v>68</v>
      </c>
      <c r="N3" s="401" t="s">
        <v>69</v>
      </c>
      <c r="O3" s="401" t="s">
        <v>70</v>
      </c>
      <c r="P3" s="402" t="s">
        <v>71</v>
      </c>
      <c r="R3" s="69" t="s">
        <v>72</v>
      </c>
      <c r="S3" s="69" t="s">
        <v>2</v>
      </c>
      <c r="T3" s="69" t="s">
        <v>73</v>
      </c>
      <c r="U3" s="69" t="s">
        <v>4</v>
      </c>
      <c r="X3" s="237" t="s">
        <v>74</v>
      </c>
      <c r="Y3">
        <v>1250</v>
      </c>
      <c r="Z3">
        <v>50</v>
      </c>
      <c r="AA3" s="238">
        <f>+Y3*Z3</f>
        <v>62500</v>
      </c>
      <c r="AB3" s="238">
        <f>+AA3/4</f>
        <v>15625</v>
      </c>
      <c r="AC3" s="238">
        <f>+AB3/50</f>
        <v>312.5</v>
      </c>
      <c r="AD3">
        <f>+AC3/10</f>
        <v>31.25</v>
      </c>
    </row>
    <row r="4" spans="1:45" ht="30" x14ac:dyDescent="0.25">
      <c r="A4" s="474" t="s">
        <v>75</v>
      </c>
      <c r="B4" s="474" t="s">
        <v>76</v>
      </c>
      <c r="C4" s="449" t="s">
        <v>817</v>
      </c>
      <c r="D4" s="271" t="s">
        <v>77</v>
      </c>
      <c r="E4" s="251" t="s">
        <v>2</v>
      </c>
      <c r="F4" s="251" t="s">
        <v>78</v>
      </c>
      <c r="G4" s="270" t="s">
        <v>79</v>
      </c>
      <c r="H4" s="270" t="s">
        <v>80</v>
      </c>
      <c r="I4" s="270" t="s">
        <v>81</v>
      </c>
      <c r="J4" s="272">
        <f>10*500</f>
        <v>5000</v>
      </c>
      <c r="K4" s="272">
        <f>15*500</f>
        <v>7500</v>
      </c>
      <c r="L4" s="272">
        <f>K4</f>
        <v>7500</v>
      </c>
      <c r="M4" s="272">
        <f>L4</f>
        <v>7500</v>
      </c>
      <c r="N4" s="272"/>
      <c r="O4" s="272"/>
      <c r="P4" s="273">
        <f t="shared" ref="P4:P39" si="0">SUM(J4:O4)</f>
        <v>27500</v>
      </c>
      <c r="Q4" s="53"/>
      <c r="R4" s="273">
        <v>27500</v>
      </c>
      <c r="S4" s="273">
        <f t="shared" ref="S4:S21" si="1">+P4</f>
        <v>27500</v>
      </c>
      <c r="T4" s="273"/>
      <c r="U4" s="273"/>
      <c r="V4" s="53"/>
      <c r="W4" s="53"/>
      <c r="X4" s="53"/>
      <c r="Y4" s="53"/>
      <c r="Z4" s="53"/>
      <c r="AA4" s="53"/>
      <c r="AB4" s="53"/>
      <c r="AC4" s="53"/>
      <c r="AD4" s="53"/>
      <c r="AE4" s="53"/>
      <c r="AF4" s="53"/>
      <c r="AG4" s="53"/>
      <c r="AH4" s="53"/>
      <c r="AI4" s="53"/>
      <c r="AJ4" s="53"/>
      <c r="AK4" s="53"/>
      <c r="AL4" s="53"/>
      <c r="AM4" s="53"/>
      <c r="AN4" s="53"/>
      <c r="AO4" s="53"/>
      <c r="AP4" s="53"/>
      <c r="AQ4" s="53"/>
      <c r="AR4" s="53"/>
      <c r="AS4" s="53"/>
    </row>
    <row r="5" spans="1:45" ht="21" customHeight="1" x14ac:dyDescent="0.25">
      <c r="A5" s="475"/>
      <c r="B5" s="475"/>
      <c r="C5" s="450"/>
      <c r="D5" s="458" t="s">
        <v>82</v>
      </c>
      <c r="E5" s="384" t="s">
        <v>5</v>
      </c>
      <c r="F5" s="384" t="s">
        <v>78</v>
      </c>
      <c r="G5" s="267" t="s">
        <v>83</v>
      </c>
      <c r="H5" s="267" t="s">
        <v>80</v>
      </c>
      <c r="I5" s="267" t="s">
        <v>84</v>
      </c>
      <c r="J5" s="274">
        <f>1500*2</f>
        <v>3000</v>
      </c>
      <c r="K5" s="274">
        <f>1500*3</f>
        <v>4500</v>
      </c>
      <c r="L5" s="274"/>
      <c r="M5" s="274"/>
      <c r="N5" s="274"/>
      <c r="O5" s="274"/>
      <c r="P5" s="275">
        <f t="shared" ref="P5:P7" si="2">SUM(J5:O5)</f>
        <v>7500</v>
      </c>
      <c r="Q5" s="276" t="s">
        <v>85</v>
      </c>
      <c r="R5" s="277"/>
      <c r="S5" s="277"/>
      <c r="T5" s="277"/>
      <c r="U5" s="277"/>
      <c r="V5" s="278" t="s">
        <v>86</v>
      </c>
      <c r="W5" s="278"/>
      <c r="X5" s="279">
        <f t="shared" ref="X5:X7" si="3">+SUM(J5:O5)</f>
        <v>7500</v>
      </c>
      <c r="Y5" s="269" t="s">
        <v>87</v>
      </c>
      <c r="Z5" s="268"/>
      <c r="AA5" s="268"/>
      <c r="AB5" s="268"/>
      <c r="AC5" s="268"/>
      <c r="AD5" s="268"/>
      <c r="AE5" s="268"/>
      <c r="AF5" s="268"/>
      <c r="AG5" s="268"/>
      <c r="AH5" s="268"/>
      <c r="AI5" s="268"/>
      <c r="AJ5" s="268"/>
      <c r="AK5" s="268"/>
      <c r="AL5" s="268"/>
      <c r="AM5" s="268"/>
      <c r="AN5" s="268"/>
      <c r="AO5" s="268"/>
      <c r="AP5" s="268"/>
      <c r="AQ5" s="268"/>
      <c r="AR5" s="268"/>
      <c r="AS5" s="53"/>
    </row>
    <row r="6" spans="1:45" ht="21" customHeight="1" x14ac:dyDescent="0.25">
      <c r="A6" s="475"/>
      <c r="B6" s="475"/>
      <c r="C6" s="450"/>
      <c r="D6" s="458"/>
      <c r="E6" s="384" t="s">
        <v>5</v>
      </c>
      <c r="F6" s="384" t="s">
        <v>78</v>
      </c>
      <c r="G6" s="267" t="s">
        <v>88</v>
      </c>
      <c r="H6" s="267" t="s">
        <v>80</v>
      </c>
      <c r="I6" s="267" t="s">
        <v>89</v>
      </c>
      <c r="J6" s="274">
        <f>20*500</f>
        <v>10000</v>
      </c>
      <c r="K6" s="274">
        <f>20*500</f>
        <v>10000</v>
      </c>
      <c r="L6" s="274"/>
      <c r="M6" s="274"/>
      <c r="N6" s="274"/>
      <c r="O6" s="274"/>
      <c r="P6" s="275">
        <f t="shared" si="2"/>
        <v>20000</v>
      </c>
      <c r="Q6" s="276" t="s">
        <v>85</v>
      </c>
      <c r="R6" s="277"/>
      <c r="S6" s="277"/>
      <c r="T6" s="277"/>
      <c r="U6" s="277"/>
      <c r="V6" s="278" t="s">
        <v>86</v>
      </c>
      <c r="W6" s="278"/>
      <c r="X6" s="279">
        <f t="shared" si="3"/>
        <v>20000</v>
      </c>
      <c r="Y6" s="269" t="s">
        <v>90</v>
      </c>
      <c r="Z6" s="268"/>
      <c r="AA6" s="268"/>
      <c r="AB6" s="268"/>
      <c r="AC6" s="268"/>
      <c r="AD6" s="268"/>
      <c r="AE6" s="268"/>
      <c r="AF6" s="268"/>
      <c r="AG6" s="268"/>
      <c r="AH6" s="268"/>
      <c r="AI6" s="268"/>
      <c r="AJ6" s="268"/>
      <c r="AK6" s="268"/>
      <c r="AL6" s="268"/>
      <c r="AM6" s="268"/>
      <c r="AN6" s="268"/>
      <c r="AO6" s="268"/>
      <c r="AP6" s="268"/>
      <c r="AQ6" s="268"/>
      <c r="AR6" s="268"/>
      <c r="AS6" s="53"/>
    </row>
    <row r="7" spans="1:45" ht="42" customHeight="1" x14ac:dyDescent="0.25">
      <c r="A7" s="475"/>
      <c r="B7" s="475"/>
      <c r="C7" s="450"/>
      <c r="D7" s="458"/>
      <c r="E7" s="384" t="s">
        <v>5</v>
      </c>
      <c r="F7" s="384" t="s">
        <v>78</v>
      </c>
      <c r="G7" s="267" t="s">
        <v>91</v>
      </c>
      <c r="H7" s="267" t="s">
        <v>80</v>
      </c>
      <c r="I7" s="267" t="s">
        <v>92</v>
      </c>
      <c r="J7" s="274">
        <v>20000</v>
      </c>
      <c r="K7" s="274">
        <v>50000</v>
      </c>
      <c r="L7" s="274"/>
      <c r="M7" s="274"/>
      <c r="N7" s="274"/>
      <c r="O7" s="274"/>
      <c r="P7" s="275">
        <f t="shared" si="2"/>
        <v>70000</v>
      </c>
      <c r="Q7" s="276" t="s">
        <v>85</v>
      </c>
      <c r="R7" s="277"/>
      <c r="S7" s="277"/>
      <c r="T7" s="277"/>
      <c r="U7" s="277"/>
      <c r="V7" s="278" t="s">
        <v>86</v>
      </c>
      <c r="W7" s="278"/>
      <c r="X7" s="279">
        <f t="shared" si="3"/>
        <v>70000</v>
      </c>
      <c r="Y7" s="269" t="s">
        <v>93</v>
      </c>
      <c r="Z7" s="268"/>
      <c r="AA7" s="268"/>
      <c r="AB7" s="268"/>
      <c r="AC7" s="268"/>
      <c r="AD7" s="268"/>
      <c r="AE7" s="268"/>
      <c r="AF7" s="268"/>
      <c r="AG7" s="268"/>
      <c r="AH7" s="268"/>
      <c r="AI7" s="268"/>
      <c r="AJ7" s="268"/>
      <c r="AK7" s="268"/>
      <c r="AL7" s="268"/>
      <c r="AM7" s="268"/>
      <c r="AN7" s="268"/>
      <c r="AO7" s="268"/>
      <c r="AP7" s="268"/>
      <c r="AQ7" s="268"/>
      <c r="AR7" s="268"/>
      <c r="AS7" s="53"/>
    </row>
    <row r="8" spans="1:45" x14ac:dyDescent="0.25">
      <c r="A8" s="475"/>
      <c r="B8" s="475"/>
      <c r="C8" s="451"/>
      <c r="D8" s="458" t="s">
        <v>94</v>
      </c>
      <c r="E8" s="384" t="s">
        <v>2</v>
      </c>
      <c r="F8" s="384" t="s">
        <v>78</v>
      </c>
      <c r="G8" s="267" t="s">
        <v>95</v>
      </c>
      <c r="H8" s="267" t="s">
        <v>80</v>
      </c>
      <c r="I8" s="267" t="s">
        <v>96</v>
      </c>
      <c r="J8" s="274">
        <f>4000*2</f>
        <v>8000</v>
      </c>
      <c r="K8" s="274">
        <f>4000*3</f>
        <v>12000</v>
      </c>
      <c r="L8" s="274">
        <f>4000*3</f>
        <v>12000</v>
      </c>
      <c r="M8" s="274">
        <f>4000*2</f>
        <v>8000</v>
      </c>
      <c r="N8" s="274"/>
      <c r="O8" s="274"/>
      <c r="P8" s="275">
        <f t="shared" si="0"/>
        <v>40000</v>
      </c>
      <c r="Q8" s="53"/>
      <c r="R8" s="275">
        <v>60000</v>
      </c>
      <c r="S8" s="275">
        <f t="shared" si="1"/>
        <v>40000</v>
      </c>
      <c r="T8" s="275"/>
      <c r="U8" s="275"/>
      <c r="V8" s="53"/>
      <c r="W8" s="218" t="s">
        <v>84</v>
      </c>
      <c r="X8" s="53" t="s">
        <v>97</v>
      </c>
      <c r="Y8" s="53"/>
      <c r="Z8" s="53"/>
      <c r="AA8" s="53"/>
      <c r="AB8" s="53"/>
      <c r="AC8" s="53"/>
      <c r="AD8" s="53"/>
      <c r="AE8" s="53"/>
      <c r="AF8" s="53"/>
      <c r="AG8" s="53"/>
      <c r="AH8" s="53"/>
      <c r="AI8" s="53"/>
      <c r="AJ8" s="53"/>
      <c r="AK8" s="53"/>
      <c r="AL8" s="53"/>
      <c r="AM8" s="53"/>
      <c r="AN8" s="53"/>
      <c r="AO8" s="53"/>
      <c r="AP8" s="53"/>
      <c r="AQ8" s="53"/>
      <c r="AR8" s="53"/>
      <c r="AS8" s="53"/>
    </row>
    <row r="9" spans="1:45" ht="15" customHeight="1" x14ac:dyDescent="0.35">
      <c r="A9" s="475"/>
      <c r="B9" s="475"/>
      <c r="C9" s="451"/>
      <c r="D9" s="458"/>
      <c r="E9" s="384" t="s">
        <v>2</v>
      </c>
      <c r="F9" s="384" t="s">
        <v>78</v>
      </c>
      <c r="G9" s="267" t="s">
        <v>83</v>
      </c>
      <c r="H9" s="267" t="s">
        <v>80</v>
      </c>
      <c r="I9" s="267" t="s">
        <v>98</v>
      </c>
      <c r="J9" s="403">
        <f>24*250</f>
        <v>6000</v>
      </c>
      <c r="K9" s="403">
        <f>21*250</f>
        <v>5250</v>
      </c>
      <c r="L9" s="403">
        <f>21*250</f>
        <v>5250</v>
      </c>
      <c r="M9" s="403">
        <f>14*250</f>
        <v>3500</v>
      </c>
      <c r="N9" s="274"/>
      <c r="O9" s="274"/>
      <c r="P9" s="275">
        <f t="shared" si="0"/>
        <v>20000</v>
      </c>
      <c r="Q9" s="253" t="s">
        <v>99</v>
      </c>
      <c r="R9" s="253"/>
      <c r="S9" s="253"/>
      <c r="T9" s="253"/>
      <c r="U9" s="253"/>
      <c r="V9" s="253">
        <f>+P9/250</f>
        <v>80</v>
      </c>
      <c r="W9" s="253"/>
      <c r="X9" s="253" t="s">
        <v>100</v>
      </c>
      <c r="Y9" s="253"/>
      <c r="Z9" s="225"/>
      <c r="AA9" s="225"/>
      <c r="AB9" s="225"/>
      <c r="AC9" s="225"/>
      <c r="AD9" s="225"/>
      <c r="AE9" s="225"/>
      <c r="AF9" s="225"/>
      <c r="AG9" s="225"/>
      <c r="AH9" s="225"/>
      <c r="AI9" s="225"/>
      <c r="AJ9" s="225"/>
      <c r="AK9" s="225"/>
      <c r="AL9" s="225"/>
      <c r="AM9" s="225"/>
      <c r="AN9" s="225"/>
      <c r="AO9" s="225"/>
      <c r="AP9" s="225"/>
      <c r="AQ9" s="226"/>
      <c r="AR9" s="53"/>
      <c r="AS9" s="53"/>
    </row>
    <row r="10" spans="1:45" ht="30" x14ac:dyDescent="0.25">
      <c r="A10" s="475"/>
      <c r="B10" s="475"/>
      <c r="C10" s="450"/>
      <c r="D10" s="112" t="s">
        <v>101</v>
      </c>
      <c r="E10" s="384" t="s">
        <v>2</v>
      </c>
      <c r="F10" s="384" t="s">
        <v>78</v>
      </c>
      <c r="G10" s="267" t="s">
        <v>102</v>
      </c>
      <c r="H10" s="267" t="s">
        <v>80</v>
      </c>
      <c r="I10" s="267" t="s">
        <v>103</v>
      </c>
      <c r="J10" s="274">
        <v>5000</v>
      </c>
      <c r="K10" s="274">
        <v>10000</v>
      </c>
      <c r="L10" s="274">
        <v>10000</v>
      </c>
      <c r="M10" s="274">
        <v>5000</v>
      </c>
      <c r="N10" s="274"/>
      <c r="O10" s="274"/>
      <c r="P10" s="275">
        <f t="shared" si="0"/>
        <v>30000</v>
      </c>
      <c r="Q10" s="53"/>
      <c r="R10" s="275">
        <v>30000</v>
      </c>
      <c r="S10" s="275">
        <f t="shared" si="1"/>
        <v>30000</v>
      </c>
      <c r="T10" s="275"/>
      <c r="U10" s="275"/>
      <c r="V10" s="53"/>
      <c r="W10" s="227" t="s">
        <v>89</v>
      </c>
      <c r="X10" s="220" t="s">
        <v>104</v>
      </c>
      <c r="Y10" s="280"/>
      <c r="Z10" s="280"/>
      <c r="AA10" s="280"/>
      <c r="AB10" s="280"/>
      <c r="AC10" s="280"/>
      <c r="AD10" s="280"/>
      <c r="AE10" s="280"/>
      <c r="AF10" s="280"/>
      <c r="AG10" s="280"/>
      <c r="AH10" s="280"/>
      <c r="AI10" s="280"/>
      <c r="AJ10" s="280"/>
      <c r="AK10" s="280"/>
      <c r="AL10" s="280"/>
      <c r="AM10" s="280"/>
      <c r="AN10" s="280"/>
      <c r="AO10" s="280"/>
      <c r="AP10" s="280"/>
      <c r="AQ10" s="280"/>
      <c r="AR10" s="53"/>
      <c r="AS10" s="53"/>
    </row>
    <row r="11" spans="1:45" x14ac:dyDescent="0.25">
      <c r="A11" s="475"/>
      <c r="B11" s="475"/>
      <c r="C11" s="450"/>
      <c r="D11" s="112" t="s">
        <v>105</v>
      </c>
      <c r="E11" s="384" t="s">
        <v>2</v>
      </c>
      <c r="F11" s="384" t="s">
        <v>78</v>
      </c>
      <c r="G11" s="267" t="s">
        <v>91</v>
      </c>
      <c r="H11" s="267" t="s">
        <v>80</v>
      </c>
      <c r="I11" s="267" t="s">
        <v>106</v>
      </c>
      <c r="J11" s="274"/>
      <c r="K11" s="274">
        <f>200*1000</f>
        <v>200000</v>
      </c>
      <c r="L11" s="274">
        <f>300*1000</f>
        <v>300000</v>
      </c>
      <c r="M11" s="274">
        <f>300*1000</f>
        <v>300000</v>
      </c>
      <c r="N11" s="274">
        <f>300*1000</f>
        <v>300000</v>
      </c>
      <c r="O11" s="274"/>
      <c r="P11" s="275">
        <f t="shared" si="0"/>
        <v>1100000</v>
      </c>
      <c r="Q11" s="53"/>
      <c r="R11" s="275">
        <v>1100000</v>
      </c>
      <c r="S11" s="275">
        <f t="shared" si="1"/>
        <v>1100000</v>
      </c>
      <c r="T11" s="275"/>
      <c r="U11" s="275"/>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row>
    <row r="12" spans="1:45" ht="30.75" thickBot="1" x14ac:dyDescent="0.3">
      <c r="A12" s="475"/>
      <c r="B12" s="475"/>
      <c r="C12" s="452"/>
      <c r="D12" s="151" t="s">
        <v>107</v>
      </c>
      <c r="E12" s="385" t="s">
        <v>2</v>
      </c>
      <c r="F12" s="385" t="s">
        <v>78</v>
      </c>
      <c r="G12" s="281" t="s">
        <v>83</v>
      </c>
      <c r="H12" s="281" t="s">
        <v>80</v>
      </c>
      <c r="I12" s="281" t="s">
        <v>108</v>
      </c>
      <c r="J12" s="282"/>
      <c r="K12" s="282"/>
      <c r="L12" s="282">
        <f>250*20</f>
        <v>5000</v>
      </c>
      <c r="M12" s="282">
        <f>250*30</f>
        <v>7500</v>
      </c>
      <c r="N12" s="282">
        <f t="shared" ref="N12:O12" si="4">250*30</f>
        <v>7500</v>
      </c>
      <c r="O12" s="282">
        <f t="shared" si="4"/>
        <v>7500</v>
      </c>
      <c r="P12" s="283">
        <f t="shared" si="0"/>
        <v>27500</v>
      </c>
      <c r="Q12" s="53"/>
      <c r="R12" s="275">
        <v>27500</v>
      </c>
      <c r="S12" s="275">
        <f t="shared" si="1"/>
        <v>27500</v>
      </c>
      <c r="T12" s="275"/>
      <c r="U12" s="275"/>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row>
    <row r="13" spans="1:45" ht="30" x14ac:dyDescent="0.25">
      <c r="A13" s="475"/>
      <c r="B13" s="475"/>
      <c r="C13" s="449" t="s">
        <v>109</v>
      </c>
      <c r="D13" s="271" t="s">
        <v>110</v>
      </c>
      <c r="E13" s="251" t="s">
        <v>2</v>
      </c>
      <c r="F13" s="251" t="s">
        <v>78</v>
      </c>
      <c r="G13" s="270" t="s">
        <v>79</v>
      </c>
      <c r="H13" s="270" t="s">
        <v>80</v>
      </c>
      <c r="I13" s="270" t="s">
        <v>111</v>
      </c>
      <c r="J13" s="272">
        <f>10*500</f>
        <v>5000</v>
      </c>
      <c r="K13" s="272">
        <f>20*500</f>
        <v>10000</v>
      </c>
      <c r="L13" s="272">
        <f>20*500</f>
        <v>10000</v>
      </c>
      <c r="M13" s="272">
        <f>13*500</f>
        <v>6500</v>
      </c>
      <c r="N13" s="149"/>
      <c r="O13" s="149"/>
      <c r="P13" s="273">
        <f t="shared" si="0"/>
        <v>31500</v>
      </c>
      <c r="Q13" s="53"/>
      <c r="R13" s="273">
        <v>31250</v>
      </c>
      <c r="S13" s="273">
        <f t="shared" si="1"/>
        <v>31500</v>
      </c>
      <c r="T13" s="273"/>
      <c r="U13" s="27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row>
    <row r="14" spans="1:45" ht="15.75" x14ac:dyDescent="0.25">
      <c r="A14" s="475"/>
      <c r="B14" s="475"/>
      <c r="C14" s="450"/>
      <c r="D14" s="470" t="s">
        <v>112</v>
      </c>
      <c r="E14" s="384" t="s">
        <v>5</v>
      </c>
      <c r="F14" s="384" t="s">
        <v>78</v>
      </c>
      <c r="G14" s="267" t="s">
        <v>83</v>
      </c>
      <c r="H14" s="267" t="s">
        <v>80</v>
      </c>
      <c r="I14" s="267" t="s">
        <v>113</v>
      </c>
      <c r="J14" s="274">
        <f>1500*2</f>
        <v>3000</v>
      </c>
      <c r="K14" s="274">
        <f>1500*3</f>
        <v>4500</v>
      </c>
      <c r="L14" s="274"/>
      <c r="M14" s="274"/>
      <c r="N14" s="274"/>
      <c r="O14" s="274"/>
      <c r="P14" s="275">
        <f t="shared" ref="P14:P16" si="5">SUM(J14:O14)</f>
        <v>7500</v>
      </c>
      <c r="Q14" s="276" t="s">
        <v>85</v>
      </c>
      <c r="R14" s="277"/>
      <c r="S14" s="277"/>
      <c r="T14" s="277"/>
      <c r="U14" s="277"/>
      <c r="V14" s="278" t="s">
        <v>86</v>
      </c>
      <c r="W14" s="278"/>
      <c r="X14" s="279">
        <f t="shared" ref="X14:X16" si="6">+SUM(J14:O14)</f>
        <v>7500</v>
      </c>
      <c r="Y14" s="269" t="s">
        <v>87</v>
      </c>
      <c r="Z14" s="268"/>
      <c r="AA14" s="268"/>
      <c r="AB14" s="268"/>
      <c r="AC14" s="268"/>
      <c r="AD14" s="268"/>
      <c r="AE14" s="268"/>
      <c r="AF14" s="268"/>
      <c r="AG14" s="268"/>
      <c r="AH14" s="268"/>
      <c r="AI14" s="268"/>
      <c r="AJ14" s="268"/>
      <c r="AK14" s="268"/>
      <c r="AL14" s="268"/>
      <c r="AM14" s="268"/>
      <c r="AN14" s="268"/>
      <c r="AO14" s="268"/>
      <c r="AP14" s="268"/>
      <c r="AQ14" s="268"/>
      <c r="AR14" s="268"/>
      <c r="AS14" s="53"/>
    </row>
    <row r="15" spans="1:45" ht="27" customHeight="1" x14ac:dyDescent="0.25">
      <c r="A15" s="475"/>
      <c r="B15" s="475"/>
      <c r="C15" s="450"/>
      <c r="D15" s="470"/>
      <c r="E15" s="384" t="s">
        <v>5</v>
      </c>
      <c r="F15" s="384" t="s">
        <v>78</v>
      </c>
      <c r="G15" s="267" t="s">
        <v>88</v>
      </c>
      <c r="H15" s="267" t="s">
        <v>80</v>
      </c>
      <c r="I15" s="267" t="s">
        <v>114</v>
      </c>
      <c r="J15" s="274">
        <f>20*500</f>
        <v>10000</v>
      </c>
      <c r="K15" s="274">
        <f>20*500</f>
        <v>10000</v>
      </c>
      <c r="L15" s="274"/>
      <c r="M15" s="274"/>
      <c r="N15" s="274"/>
      <c r="O15" s="274"/>
      <c r="P15" s="275">
        <f t="shared" si="5"/>
        <v>20000</v>
      </c>
      <c r="Q15" s="276" t="s">
        <v>85</v>
      </c>
      <c r="R15" s="277"/>
      <c r="S15" s="277"/>
      <c r="T15" s="277"/>
      <c r="U15" s="277"/>
      <c r="V15" s="278" t="s">
        <v>86</v>
      </c>
      <c r="W15" s="278"/>
      <c r="X15" s="279">
        <f t="shared" si="6"/>
        <v>20000</v>
      </c>
      <c r="Y15" s="269" t="s">
        <v>90</v>
      </c>
      <c r="Z15" s="268"/>
      <c r="AA15" s="268"/>
      <c r="AB15" s="268"/>
      <c r="AC15" s="268"/>
      <c r="AD15" s="268"/>
      <c r="AE15" s="268"/>
      <c r="AF15" s="268"/>
      <c r="AG15" s="268"/>
      <c r="AH15" s="268"/>
      <c r="AI15" s="268"/>
      <c r="AJ15" s="268"/>
      <c r="AK15" s="268"/>
      <c r="AL15" s="268"/>
      <c r="AM15" s="268"/>
      <c r="AN15" s="268"/>
      <c r="AO15" s="268"/>
      <c r="AP15" s="268"/>
      <c r="AQ15" s="268"/>
      <c r="AR15" s="268"/>
      <c r="AS15" s="53"/>
    </row>
    <row r="16" spans="1:45" ht="15.75" x14ac:dyDescent="0.25">
      <c r="A16" s="475"/>
      <c r="B16" s="475"/>
      <c r="C16" s="450"/>
      <c r="D16" s="470"/>
      <c r="E16" s="384" t="s">
        <v>5</v>
      </c>
      <c r="F16" s="384" t="s">
        <v>78</v>
      </c>
      <c r="G16" s="267" t="s">
        <v>91</v>
      </c>
      <c r="H16" s="267" t="s">
        <v>80</v>
      </c>
      <c r="I16" s="267" t="s">
        <v>115</v>
      </c>
      <c r="J16" s="274">
        <v>20000</v>
      </c>
      <c r="K16" s="274">
        <v>50000</v>
      </c>
      <c r="L16" s="274"/>
      <c r="M16" s="274"/>
      <c r="N16" s="274"/>
      <c r="O16" s="274"/>
      <c r="P16" s="275">
        <f t="shared" si="5"/>
        <v>70000</v>
      </c>
      <c r="Q16" s="276" t="s">
        <v>85</v>
      </c>
      <c r="R16" s="277"/>
      <c r="S16" s="277"/>
      <c r="T16" s="277"/>
      <c r="U16" s="277"/>
      <c r="V16" s="278" t="s">
        <v>86</v>
      </c>
      <c r="W16" s="278"/>
      <c r="X16" s="279">
        <f t="shared" si="6"/>
        <v>70000</v>
      </c>
      <c r="Y16" s="269" t="s">
        <v>93</v>
      </c>
      <c r="Z16" s="268"/>
      <c r="AA16" s="268"/>
      <c r="AB16" s="268"/>
      <c r="AC16" s="268"/>
      <c r="AD16" s="268"/>
      <c r="AE16" s="268"/>
      <c r="AF16" s="268"/>
      <c r="AG16" s="268"/>
      <c r="AH16" s="268"/>
      <c r="AI16" s="268"/>
      <c r="AJ16" s="268"/>
      <c r="AK16" s="268"/>
      <c r="AL16" s="268"/>
      <c r="AM16" s="268"/>
      <c r="AN16" s="268"/>
      <c r="AO16" s="268"/>
      <c r="AP16" s="268"/>
      <c r="AQ16" s="268"/>
      <c r="AR16" s="268"/>
      <c r="AS16" s="53"/>
    </row>
    <row r="17" spans="1:45" ht="21" customHeight="1" x14ac:dyDescent="0.25">
      <c r="A17" s="475"/>
      <c r="B17" s="475"/>
      <c r="C17" s="451"/>
      <c r="D17" s="458" t="s">
        <v>116</v>
      </c>
      <c r="E17" s="384" t="s">
        <v>2</v>
      </c>
      <c r="F17" s="384" t="s">
        <v>78</v>
      </c>
      <c r="G17" s="267" t="s">
        <v>95</v>
      </c>
      <c r="H17" s="267" t="s">
        <v>80</v>
      </c>
      <c r="I17" s="267" t="s">
        <v>117</v>
      </c>
      <c r="J17" s="274">
        <f>4000*2</f>
        <v>8000</v>
      </c>
      <c r="K17" s="274">
        <f>4000*3</f>
        <v>12000</v>
      </c>
      <c r="L17" s="274">
        <f>4000*3</f>
        <v>12000</v>
      </c>
      <c r="M17" s="274">
        <f>4000*2</f>
        <v>8000</v>
      </c>
      <c r="N17" s="274"/>
      <c r="O17" s="274"/>
      <c r="P17" s="275">
        <f t="shared" si="0"/>
        <v>40000</v>
      </c>
      <c r="Q17" s="53"/>
      <c r="R17" s="275">
        <v>60000</v>
      </c>
      <c r="S17" s="275">
        <f t="shared" si="1"/>
        <v>40000</v>
      </c>
      <c r="T17" s="275"/>
      <c r="U17" s="275"/>
      <c r="V17" s="53"/>
      <c r="W17" s="219" t="s">
        <v>103</v>
      </c>
      <c r="X17" s="221" t="s">
        <v>118</v>
      </c>
      <c r="Y17" s="222"/>
      <c r="Z17" s="222"/>
      <c r="AA17" s="222"/>
      <c r="AB17" s="222"/>
      <c r="AC17" s="222"/>
      <c r="AD17" s="222"/>
      <c r="AE17" s="222"/>
      <c r="AF17" s="222"/>
      <c r="AG17" s="222"/>
      <c r="AH17" s="222"/>
      <c r="AI17" s="222"/>
      <c r="AJ17" s="222"/>
      <c r="AK17" s="222"/>
      <c r="AL17" s="222"/>
      <c r="AM17" s="222"/>
      <c r="AN17" s="222"/>
      <c r="AO17" s="222"/>
      <c r="AP17" s="222"/>
      <c r="AQ17" s="223"/>
      <c r="AR17" s="53"/>
      <c r="AS17" s="53"/>
    </row>
    <row r="18" spans="1:45" ht="21" x14ac:dyDescent="0.35">
      <c r="A18" s="475"/>
      <c r="B18" s="475"/>
      <c r="C18" s="451"/>
      <c r="D18" s="458"/>
      <c r="E18" s="384" t="s">
        <v>2</v>
      </c>
      <c r="F18" s="384" t="s">
        <v>78</v>
      </c>
      <c r="G18" s="267" t="s">
        <v>83</v>
      </c>
      <c r="H18" s="267" t="s">
        <v>80</v>
      </c>
      <c r="I18" s="267" t="s">
        <v>119</v>
      </c>
      <c r="J18" s="403">
        <f>24*250</f>
        <v>6000</v>
      </c>
      <c r="K18" s="403">
        <f>21*250</f>
        <v>5250</v>
      </c>
      <c r="L18" s="403">
        <f>21*250</f>
        <v>5250</v>
      </c>
      <c r="M18" s="403">
        <f>14*250</f>
        <v>3500</v>
      </c>
      <c r="N18" s="274"/>
      <c r="O18" s="274"/>
      <c r="P18" s="275">
        <f t="shared" si="0"/>
        <v>20000</v>
      </c>
      <c r="Q18" s="253" t="s">
        <v>99</v>
      </c>
      <c r="R18" s="253"/>
      <c r="S18" s="253"/>
      <c r="T18" s="253"/>
      <c r="U18" s="253"/>
      <c r="V18" s="253">
        <f>+P18/250</f>
        <v>80</v>
      </c>
      <c r="W18" s="253"/>
      <c r="X18" s="253" t="s">
        <v>120</v>
      </c>
      <c r="Y18" s="253"/>
      <c r="Z18" s="222"/>
      <c r="AA18" s="222"/>
      <c r="AB18" s="222"/>
      <c r="AC18" s="222"/>
      <c r="AD18" s="222"/>
      <c r="AE18" s="222"/>
      <c r="AF18" s="222"/>
      <c r="AG18" s="222"/>
      <c r="AH18" s="222"/>
      <c r="AI18" s="222"/>
      <c r="AJ18" s="222"/>
      <c r="AK18" s="222"/>
      <c r="AL18" s="222"/>
      <c r="AM18" s="222"/>
      <c r="AN18" s="222"/>
      <c r="AO18" s="222"/>
      <c r="AP18" s="222"/>
      <c r="AQ18" s="223"/>
      <c r="AR18" s="53"/>
      <c r="AS18" s="53"/>
    </row>
    <row r="19" spans="1:45" ht="30" customHeight="1" x14ac:dyDescent="0.35">
      <c r="A19" s="475"/>
      <c r="B19" s="475"/>
      <c r="C19" s="450"/>
      <c r="D19" s="112" t="s">
        <v>121</v>
      </c>
      <c r="E19" s="384" t="s">
        <v>2</v>
      </c>
      <c r="F19" s="384" t="s">
        <v>78</v>
      </c>
      <c r="G19" s="267" t="s">
        <v>102</v>
      </c>
      <c r="H19" s="267" t="s">
        <v>80</v>
      </c>
      <c r="I19" s="267" t="s">
        <v>122</v>
      </c>
      <c r="J19" s="274">
        <v>5000</v>
      </c>
      <c r="K19" s="274">
        <v>10000</v>
      </c>
      <c r="L19" s="274">
        <v>10000</v>
      </c>
      <c r="M19" s="274">
        <v>5000</v>
      </c>
      <c r="N19" s="127"/>
      <c r="O19" s="127"/>
      <c r="P19" s="275">
        <f t="shared" si="0"/>
        <v>30000</v>
      </c>
      <c r="Q19" s="253" t="s">
        <v>123</v>
      </c>
      <c r="R19" s="275">
        <v>30000</v>
      </c>
      <c r="S19" s="275">
        <f t="shared" si="1"/>
        <v>30000</v>
      </c>
      <c r="T19" s="275"/>
      <c r="U19" s="275"/>
      <c r="V19" s="53"/>
      <c r="W19" s="219" t="s">
        <v>106</v>
      </c>
      <c r="X19" s="221" t="s">
        <v>104</v>
      </c>
      <c r="Y19" s="222"/>
      <c r="Z19" s="222"/>
      <c r="AA19" s="222"/>
      <c r="AB19" s="222"/>
      <c r="AC19" s="222"/>
      <c r="AD19" s="222"/>
      <c r="AE19" s="222"/>
      <c r="AF19" s="222"/>
      <c r="AG19" s="222"/>
      <c r="AH19" s="222"/>
      <c r="AI19" s="222"/>
      <c r="AJ19" s="222"/>
      <c r="AK19" s="222"/>
      <c r="AL19" s="222"/>
      <c r="AM19" s="222"/>
      <c r="AN19" s="222"/>
      <c r="AO19" s="222"/>
      <c r="AP19" s="222"/>
      <c r="AQ19" s="223"/>
      <c r="AR19" s="53"/>
      <c r="AS19" s="53"/>
    </row>
    <row r="20" spans="1:45" ht="15" customHeight="1" x14ac:dyDescent="0.25">
      <c r="A20" s="475"/>
      <c r="B20" s="475"/>
      <c r="C20" s="450"/>
      <c r="D20" s="112" t="s">
        <v>745</v>
      </c>
      <c r="E20" s="384" t="s">
        <v>2</v>
      </c>
      <c r="F20" s="384" t="s">
        <v>78</v>
      </c>
      <c r="G20" s="267" t="s">
        <v>91</v>
      </c>
      <c r="H20" s="267" t="s">
        <v>80</v>
      </c>
      <c r="I20" s="267" t="s">
        <v>124</v>
      </c>
      <c r="J20" s="127"/>
      <c r="K20" s="274">
        <f>200*500</f>
        <v>100000</v>
      </c>
      <c r="L20" s="274">
        <f>350*500</f>
        <v>175000</v>
      </c>
      <c r="M20" s="274">
        <f>350*500</f>
        <v>175000</v>
      </c>
      <c r="N20" s="274">
        <f>350*500</f>
        <v>175000</v>
      </c>
      <c r="O20" s="127"/>
      <c r="P20" s="275">
        <f t="shared" si="0"/>
        <v>625000</v>
      </c>
      <c r="Q20" s="53"/>
      <c r="R20" s="275">
        <v>625000</v>
      </c>
      <c r="S20" s="275">
        <f t="shared" si="1"/>
        <v>625000</v>
      </c>
      <c r="T20" s="275"/>
      <c r="U20" s="275"/>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row>
    <row r="21" spans="1:45" ht="15.75" customHeight="1" thickBot="1" x14ac:dyDescent="0.3">
      <c r="A21" s="475"/>
      <c r="B21" s="475"/>
      <c r="C21" s="450"/>
      <c r="D21" s="389" t="s">
        <v>125</v>
      </c>
      <c r="E21" s="384" t="s">
        <v>2</v>
      </c>
      <c r="F21" s="384" t="s">
        <v>78</v>
      </c>
      <c r="G21" s="267" t="s">
        <v>83</v>
      </c>
      <c r="H21" s="267" t="s">
        <v>80</v>
      </c>
      <c r="I21" s="267" t="s">
        <v>126</v>
      </c>
      <c r="J21" s="274"/>
      <c r="K21" s="274"/>
      <c r="L21" s="274">
        <f>250*20</f>
        <v>5000</v>
      </c>
      <c r="M21" s="274">
        <f>35*250</f>
        <v>8750</v>
      </c>
      <c r="N21" s="274">
        <f t="shared" ref="N21" si="7">35*250</f>
        <v>8750</v>
      </c>
      <c r="O21" s="274">
        <f>34*250</f>
        <v>8500</v>
      </c>
      <c r="P21" s="275">
        <f t="shared" si="0"/>
        <v>31000</v>
      </c>
      <c r="Q21" s="53"/>
      <c r="R21" s="283">
        <v>31250</v>
      </c>
      <c r="S21" s="283">
        <f t="shared" si="1"/>
        <v>31000</v>
      </c>
      <c r="T21" s="283"/>
      <c r="U21" s="28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row>
    <row r="22" spans="1:45" ht="30.75" thickBot="1" x14ac:dyDescent="0.3">
      <c r="A22" s="475"/>
      <c r="B22" s="475"/>
      <c r="C22" s="452"/>
      <c r="D22" s="151" t="s">
        <v>127</v>
      </c>
      <c r="E22" s="385" t="s">
        <v>3</v>
      </c>
      <c r="F22" s="385" t="s">
        <v>3</v>
      </c>
      <c r="G22" s="281" t="s">
        <v>128</v>
      </c>
      <c r="H22" s="281" t="s">
        <v>80</v>
      </c>
      <c r="I22" s="281" t="s">
        <v>129</v>
      </c>
      <c r="J22" s="143">
        <v>36200</v>
      </c>
      <c r="K22" s="282">
        <v>40000</v>
      </c>
      <c r="L22" s="282">
        <v>40000</v>
      </c>
      <c r="M22" s="282">
        <v>40000</v>
      </c>
      <c r="N22" s="282"/>
      <c r="O22" s="143"/>
      <c r="P22" s="283">
        <f t="shared" si="0"/>
        <v>156200</v>
      </c>
      <c r="Q22" s="53"/>
      <c r="R22" s="284">
        <v>156200</v>
      </c>
      <c r="S22" s="284"/>
      <c r="T22" s="284">
        <f>+P22</f>
        <v>156200</v>
      </c>
      <c r="U22" s="284"/>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row>
    <row r="23" spans="1:45" ht="15.75" thickBot="1" x14ac:dyDescent="0.3">
      <c r="A23" s="475"/>
      <c r="B23" s="476"/>
      <c r="C23" s="285" t="s">
        <v>130</v>
      </c>
      <c r="D23" s="286"/>
      <c r="E23" s="287"/>
      <c r="F23" s="288"/>
      <c r="G23" s="289"/>
      <c r="H23" s="289"/>
      <c r="I23" s="287"/>
      <c r="J23" s="290">
        <f>SUM(J4:J22)</f>
        <v>150200</v>
      </c>
      <c r="K23" s="290">
        <f t="shared" ref="K23:N23" si="8">SUM(K4:K22)</f>
        <v>541000</v>
      </c>
      <c r="L23" s="290">
        <f t="shared" si="8"/>
        <v>597000</v>
      </c>
      <c r="M23" s="290">
        <f t="shared" si="8"/>
        <v>578250</v>
      </c>
      <c r="N23" s="290">
        <f t="shared" si="8"/>
        <v>491250</v>
      </c>
      <c r="O23" s="290">
        <f>SUM(O4:O22)</f>
        <v>16000</v>
      </c>
      <c r="P23" s="291">
        <f>SUM(J23:O23)</f>
        <v>2373700</v>
      </c>
      <c r="Q23" s="292">
        <f>+P23/1000000</f>
        <v>2.3736999999999999</v>
      </c>
      <c r="R23" s="293">
        <v>2178700</v>
      </c>
      <c r="S23" s="293">
        <f>+SUM(S4:S22)</f>
        <v>1982500</v>
      </c>
      <c r="T23" s="293">
        <f>+SUM(T4:T22)</f>
        <v>156200</v>
      </c>
      <c r="U23" s="293">
        <f>+SUM(U4:U22)</f>
        <v>0</v>
      </c>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row>
    <row r="24" spans="1:45" x14ac:dyDescent="0.25">
      <c r="A24" s="475"/>
      <c r="B24" s="474" t="s">
        <v>131</v>
      </c>
      <c r="C24" s="453" t="s">
        <v>132</v>
      </c>
      <c r="D24" s="460" t="s">
        <v>133</v>
      </c>
      <c r="E24" s="251" t="s">
        <v>2</v>
      </c>
      <c r="F24" s="251" t="s">
        <v>78</v>
      </c>
      <c r="G24" s="270" t="s">
        <v>95</v>
      </c>
      <c r="H24" s="270" t="s">
        <v>80</v>
      </c>
      <c r="I24" s="270" t="s">
        <v>134</v>
      </c>
      <c r="J24" s="272">
        <v>7000</v>
      </c>
      <c r="K24" s="272">
        <v>10500</v>
      </c>
      <c r="L24" s="272">
        <v>10500</v>
      </c>
      <c r="M24" s="272">
        <v>7000</v>
      </c>
      <c r="N24" s="272"/>
      <c r="O24" s="272"/>
      <c r="P24" s="273">
        <f t="shared" si="0"/>
        <v>35000</v>
      </c>
      <c r="Q24" s="53"/>
      <c r="R24" s="273">
        <v>50000</v>
      </c>
      <c r="S24" s="273">
        <f>+P24</f>
        <v>35000</v>
      </c>
      <c r="T24" s="273"/>
      <c r="U24" s="273"/>
      <c r="V24" s="53"/>
      <c r="W24" s="219" t="s">
        <v>114</v>
      </c>
      <c r="X24" s="221" t="s">
        <v>135</v>
      </c>
      <c r="Y24" s="53"/>
      <c r="Z24" s="53"/>
      <c r="AA24" s="53"/>
      <c r="AB24" s="53"/>
      <c r="AC24" s="53"/>
      <c r="AD24" s="53"/>
      <c r="AE24" s="53"/>
      <c r="AF24" s="53"/>
      <c r="AG24" s="53"/>
      <c r="AH24" s="53"/>
      <c r="AI24" s="53"/>
      <c r="AJ24" s="53"/>
      <c r="AK24" s="53"/>
      <c r="AL24" s="53"/>
      <c r="AM24" s="53"/>
      <c r="AN24" s="53"/>
      <c r="AO24" s="53"/>
      <c r="AP24" s="53"/>
      <c r="AQ24" s="53"/>
      <c r="AR24" s="53"/>
      <c r="AS24" s="53"/>
    </row>
    <row r="25" spans="1:45" ht="34.9" customHeight="1" x14ac:dyDescent="0.35">
      <c r="A25" s="475"/>
      <c r="B25" s="475"/>
      <c r="C25" s="451"/>
      <c r="D25" s="459"/>
      <c r="E25" s="384" t="s">
        <v>2</v>
      </c>
      <c r="F25" s="384" t="s">
        <v>78</v>
      </c>
      <c r="G25" s="267" t="s">
        <v>83</v>
      </c>
      <c r="H25" s="267" t="s">
        <v>80</v>
      </c>
      <c r="I25" s="267" t="s">
        <v>136</v>
      </c>
      <c r="J25" s="274">
        <f>10*250</f>
        <v>2500</v>
      </c>
      <c r="K25" s="274">
        <f>20*250</f>
        <v>5000</v>
      </c>
      <c r="L25" s="274">
        <f>20*250</f>
        <v>5000</v>
      </c>
      <c r="M25" s="274">
        <f>10*250</f>
        <v>2500</v>
      </c>
      <c r="N25" s="274"/>
      <c r="O25" s="274"/>
      <c r="P25" s="275">
        <f t="shared" ref="P25" si="9">SUM(J25:O25)</f>
        <v>15000</v>
      </c>
      <c r="Q25" s="253" t="s">
        <v>99</v>
      </c>
      <c r="R25" s="294"/>
      <c r="S25" s="294"/>
      <c r="T25" s="294"/>
      <c r="U25" s="294"/>
      <c r="V25" s="53"/>
      <c r="W25" s="219"/>
      <c r="X25" s="253" t="s">
        <v>137</v>
      </c>
      <c r="Y25" s="53"/>
      <c r="Z25" s="53"/>
      <c r="AA25" s="53"/>
      <c r="AB25" s="53"/>
      <c r="AC25" s="53"/>
      <c r="AD25" s="53"/>
      <c r="AE25" s="53"/>
      <c r="AF25" s="53"/>
      <c r="AG25" s="53"/>
      <c r="AH25" s="53"/>
      <c r="AI25" s="53"/>
      <c r="AJ25" s="53"/>
      <c r="AK25" s="53"/>
      <c r="AL25" s="53"/>
      <c r="AM25" s="53"/>
      <c r="AN25" s="53"/>
      <c r="AO25" s="53"/>
      <c r="AP25" s="53"/>
      <c r="AQ25" s="53"/>
      <c r="AR25" s="53"/>
      <c r="AS25" s="53"/>
    </row>
    <row r="26" spans="1:45" ht="30.75" thickBot="1" x14ac:dyDescent="0.3">
      <c r="A26" s="475"/>
      <c r="B26" s="475"/>
      <c r="C26" s="454"/>
      <c r="D26" s="151" t="s">
        <v>138</v>
      </c>
      <c r="E26" s="385" t="s">
        <v>2</v>
      </c>
      <c r="F26" s="385" t="s">
        <v>78</v>
      </c>
      <c r="G26" s="281" t="s">
        <v>95</v>
      </c>
      <c r="H26" s="281" t="s">
        <v>80</v>
      </c>
      <c r="I26" s="281" t="s">
        <v>139</v>
      </c>
      <c r="J26" s="282"/>
      <c r="K26" s="282">
        <v>1000</v>
      </c>
      <c r="L26" s="282">
        <v>3000</v>
      </c>
      <c r="M26" s="282">
        <v>3000</v>
      </c>
      <c r="N26" s="282">
        <v>3000</v>
      </c>
      <c r="O26" s="282"/>
      <c r="P26" s="283">
        <f t="shared" si="0"/>
        <v>10000</v>
      </c>
      <c r="Q26" s="53"/>
      <c r="R26" s="283">
        <v>10000</v>
      </c>
      <c r="S26" s="283">
        <f>+P26</f>
        <v>10000</v>
      </c>
      <c r="T26" s="283"/>
      <c r="U26" s="283"/>
      <c r="V26" s="53"/>
      <c r="W26" s="219" t="s">
        <v>115</v>
      </c>
      <c r="X26" s="221" t="s">
        <v>140</v>
      </c>
      <c r="Y26" s="53"/>
      <c r="Z26" s="53"/>
      <c r="AA26" s="53"/>
      <c r="AB26" s="53"/>
      <c r="AC26" s="53"/>
      <c r="AD26" s="53"/>
      <c r="AE26" s="53"/>
      <c r="AF26" s="53"/>
      <c r="AG26" s="53"/>
      <c r="AH26" s="53"/>
      <c r="AI26" s="53"/>
      <c r="AJ26" s="53"/>
      <c r="AK26" s="53"/>
      <c r="AL26" s="53"/>
      <c r="AM26" s="53"/>
      <c r="AN26" s="53"/>
      <c r="AO26" s="53"/>
      <c r="AP26" s="53"/>
      <c r="AQ26" s="53"/>
      <c r="AR26" s="53"/>
      <c r="AS26" s="53"/>
    </row>
    <row r="27" spans="1:45" ht="47.45" customHeight="1" x14ac:dyDescent="0.25">
      <c r="A27" s="475"/>
      <c r="B27" s="475"/>
      <c r="C27" s="462" t="s">
        <v>141</v>
      </c>
      <c r="D27" s="250" t="s">
        <v>142</v>
      </c>
      <c r="E27" s="251" t="s">
        <v>2</v>
      </c>
      <c r="F27" s="251" t="s">
        <v>78</v>
      </c>
      <c r="G27" s="270" t="s">
        <v>83</v>
      </c>
      <c r="H27" s="270" t="s">
        <v>80</v>
      </c>
      <c r="I27" s="270" t="s">
        <v>143</v>
      </c>
      <c r="J27" s="272"/>
      <c r="K27" s="272">
        <f>15*250</f>
        <v>3750</v>
      </c>
      <c r="L27" s="272">
        <f>30*250</f>
        <v>7500</v>
      </c>
      <c r="M27" s="272">
        <f t="shared" ref="M27:N29" si="10">L27</f>
        <v>7500</v>
      </c>
      <c r="N27" s="272">
        <f t="shared" si="10"/>
        <v>7500</v>
      </c>
      <c r="O27" s="272"/>
      <c r="P27" s="273">
        <f t="shared" si="0"/>
        <v>26250</v>
      </c>
      <c r="Q27" s="53"/>
      <c r="R27" s="273">
        <v>26250</v>
      </c>
      <c r="S27" s="273">
        <f>+P27</f>
        <v>26250</v>
      </c>
      <c r="T27" s="273"/>
      <c r="U27" s="27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row>
    <row r="28" spans="1:45" ht="33.6" customHeight="1" x14ac:dyDescent="0.25">
      <c r="A28" s="475"/>
      <c r="B28" s="475"/>
      <c r="C28" s="463"/>
      <c r="D28" s="265" t="s">
        <v>144</v>
      </c>
      <c r="E28" s="384" t="s">
        <v>2</v>
      </c>
      <c r="F28" s="384" t="s">
        <v>78</v>
      </c>
      <c r="G28" s="267" t="s">
        <v>91</v>
      </c>
      <c r="H28" s="267" t="s">
        <v>80</v>
      </c>
      <c r="I28" s="267" t="s">
        <v>145</v>
      </c>
      <c r="J28" s="274"/>
      <c r="K28" s="274">
        <v>5000</v>
      </c>
      <c r="L28" s="274">
        <v>10000</v>
      </c>
      <c r="M28" s="274">
        <f t="shared" si="10"/>
        <v>10000</v>
      </c>
      <c r="N28" s="274">
        <f t="shared" si="10"/>
        <v>10000</v>
      </c>
      <c r="O28" s="274"/>
      <c r="P28" s="275">
        <f t="shared" si="0"/>
        <v>35000</v>
      </c>
      <c r="Q28" s="53"/>
      <c r="R28" s="275">
        <v>35000</v>
      </c>
      <c r="S28" s="275">
        <f>+P28</f>
        <v>35000</v>
      </c>
      <c r="T28" s="275"/>
      <c r="U28" s="275"/>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row>
    <row r="29" spans="1:45" ht="15.75" thickBot="1" x14ac:dyDescent="0.3">
      <c r="A29" s="475"/>
      <c r="B29" s="475"/>
      <c r="C29" s="463"/>
      <c r="D29" s="459" t="s">
        <v>146</v>
      </c>
      <c r="E29" s="384" t="s">
        <v>2</v>
      </c>
      <c r="F29" s="384" t="s">
        <v>78</v>
      </c>
      <c r="G29" s="267" t="s">
        <v>95</v>
      </c>
      <c r="H29" s="267" t="s">
        <v>80</v>
      </c>
      <c r="I29" s="267" t="s">
        <v>147</v>
      </c>
      <c r="J29" s="274"/>
      <c r="K29" s="274">
        <v>2500</v>
      </c>
      <c r="L29" s="274">
        <v>5000</v>
      </c>
      <c r="M29" s="274">
        <f t="shared" si="10"/>
        <v>5000</v>
      </c>
      <c r="N29" s="274">
        <f t="shared" si="10"/>
        <v>5000</v>
      </c>
      <c r="O29" s="274"/>
      <c r="P29" s="275">
        <f t="shared" si="0"/>
        <v>17500</v>
      </c>
      <c r="Q29" s="53"/>
      <c r="R29" s="283">
        <v>35000</v>
      </c>
      <c r="S29" s="283">
        <f>+P29</f>
        <v>17500</v>
      </c>
      <c r="T29" s="283"/>
      <c r="U29" s="283"/>
      <c r="V29" s="53"/>
      <c r="W29" s="219" t="s">
        <v>122</v>
      </c>
      <c r="X29" s="224" t="s">
        <v>148</v>
      </c>
      <c r="Y29" s="53"/>
      <c r="Z29" s="53"/>
      <c r="AA29" s="53"/>
      <c r="AB29" s="53"/>
      <c r="AC29" s="53"/>
      <c r="AD29" s="53"/>
      <c r="AE29" s="53"/>
      <c r="AF29" s="53"/>
      <c r="AG29" s="53"/>
      <c r="AH29" s="53"/>
      <c r="AI29" s="53"/>
      <c r="AJ29" s="53"/>
      <c r="AK29" s="53"/>
      <c r="AL29" s="53"/>
      <c r="AM29" s="53"/>
      <c r="AN29" s="53"/>
      <c r="AO29" s="53"/>
      <c r="AP29" s="53"/>
      <c r="AQ29" s="53"/>
      <c r="AR29" s="53"/>
      <c r="AS29" s="53"/>
    </row>
    <row r="30" spans="1:45" ht="21.75" thickBot="1" x14ac:dyDescent="0.4">
      <c r="A30" s="475"/>
      <c r="B30" s="475"/>
      <c r="C30" s="464"/>
      <c r="D30" s="461"/>
      <c r="E30" s="385" t="s">
        <v>2</v>
      </c>
      <c r="F30" s="385" t="s">
        <v>78</v>
      </c>
      <c r="G30" s="281" t="s">
        <v>83</v>
      </c>
      <c r="H30" s="281" t="s">
        <v>80</v>
      </c>
      <c r="I30" s="281" t="s">
        <v>149</v>
      </c>
      <c r="J30" s="282"/>
      <c r="K30" s="282">
        <f>10*250</f>
        <v>2500</v>
      </c>
      <c r="L30" s="282">
        <f>20*250</f>
        <v>5000</v>
      </c>
      <c r="M30" s="282">
        <f>20*250</f>
        <v>5000</v>
      </c>
      <c r="N30" s="282">
        <f>20*250</f>
        <v>5000</v>
      </c>
      <c r="O30" s="282"/>
      <c r="P30" s="283">
        <f t="shared" si="0"/>
        <v>17500</v>
      </c>
      <c r="Q30" s="253" t="s">
        <v>99</v>
      </c>
      <c r="R30" s="294"/>
      <c r="S30" s="294"/>
      <c r="T30" s="294"/>
      <c r="U30" s="294"/>
      <c r="V30" s="53"/>
      <c r="W30" s="54"/>
      <c r="X30" s="253" t="s">
        <v>150</v>
      </c>
      <c r="Y30" s="53"/>
      <c r="Z30" s="53"/>
      <c r="AA30" s="53"/>
      <c r="AB30" s="53"/>
      <c r="AC30" s="53"/>
      <c r="AD30" s="53"/>
      <c r="AE30" s="53"/>
      <c r="AF30" s="53"/>
      <c r="AG30" s="53"/>
      <c r="AH30" s="53"/>
      <c r="AI30" s="53"/>
      <c r="AJ30" s="53"/>
      <c r="AK30" s="53"/>
      <c r="AL30" s="53"/>
      <c r="AM30" s="53"/>
      <c r="AN30" s="53"/>
      <c r="AO30" s="53"/>
      <c r="AP30" s="53"/>
      <c r="AQ30" s="53"/>
      <c r="AR30" s="53"/>
      <c r="AS30" s="53"/>
    </row>
    <row r="31" spans="1:45" ht="34.9" customHeight="1" x14ac:dyDescent="0.25">
      <c r="A31" s="475"/>
      <c r="B31" s="475"/>
      <c r="C31" s="449" t="s">
        <v>151</v>
      </c>
      <c r="D31" s="295" t="s">
        <v>152</v>
      </c>
      <c r="E31" s="270" t="s">
        <v>4</v>
      </c>
      <c r="F31" s="270" t="s">
        <v>4</v>
      </c>
      <c r="G31" s="270" t="s">
        <v>153</v>
      </c>
      <c r="H31" s="270" t="s">
        <v>29</v>
      </c>
      <c r="I31" s="270" t="s">
        <v>154</v>
      </c>
      <c r="J31" s="272"/>
      <c r="K31" s="272">
        <f>100000</f>
        <v>100000</v>
      </c>
      <c r="L31" s="272">
        <f>100000</f>
        <v>100000</v>
      </c>
      <c r="M31" s="272">
        <f>100000</f>
        <v>100000</v>
      </c>
      <c r="N31" s="272">
        <f>100000</f>
        <v>100000</v>
      </c>
      <c r="O31" s="272">
        <f>100000</f>
        <v>100000</v>
      </c>
      <c r="P31" s="273">
        <f t="shared" si="0"/>
        <v>500000</v>
      </c>
      <c r="Q31" s="53"/>
      <c r="R31" s="277">
        <v>500000</v>
      </c>
      <c r="S31" s="277"/>
      <c r="T31" s="277"/>
      <c r="U31" s="277">
        <f>+P31</f>
        <v>500000</v>
      </c>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row>
    <row r="32" spans="1:45" ht="30" x14ac:dyDescent="0.3">
      <c r="A32" s="475"/>
      <c r="B32" s="475"/>
      <c r="C32" s="450"/>
      <c r="D32" s="252" t="s">
        <v>155</v>
      </c>
      <c r="E32" s="267" t="s">
        <v>2</v>
      </c>
      <c r="F32" s="267" t="s">
        <v>78</v>
      </c>
      <c r="G32" s="267" t="s">
        <v>153</v>
      </c>
      <c r="H32" s="267" t="s">
        <v>80</v>
      </c>
      <c r="I32" s="267" t="s">
        <v>156</v>
      </c>
      <c r="J32" s="274">
        <f t="shared" ref="J32:O32" si="11">1700*12</f>
        <v>20400</v>
      </c>
      <c r="K32" s="274">
        <f t="shared" si="11"/>
        <v>20400</v>
      </c>
      <c r="L32" s="274">
        <f t="shared" si="11"/>
        <v>20400</v>
      </c>
      <c r="M32" s="274">
        <f t="shared" si="11"/>
        <v>20400</v>
      </c>
      <c r="N32" s="274">
        <f t="shared" si="11"/>
        <v>20400</v>
      </c>
      <c r="O32" s="274">
        <f t="shared" si="11"/>
        <v>20400</v>
      </c>
      <c r="P32" s="275">
        <f t="shared" si="0"/>
        <v>122400</v>
      </c>
      <c r="Q32" s="296" t="s">
        <v>157</v>
      </c>
      <c r="R32" s="294"/>
      <c r="S32" s="294"/>
      <c r="T32" s="294"/>
      <c r="U32" s="294"/>
      <c r="V32" s="296"/>
      <c r="W32" s="296"/>
      <c r="X32" s="296" t="s">
        <v>158</v>
      </c>
      <c r="Y32" s="53"/>
      <c r="Z32" s="53"/>
      <c r="AA32" s="53"/>
      <c r="AB32" s="53"/>
      <c r="AC32" s="53"/>
      <c r="AD32" s="53"/>
      <c r="AE32" s="53"/>
      <c r="AF32" s="53"/>
      <c r="AG32" s="53"/>
      <c r="AH32" s="53"/>
      <c r="AI32" s="53"/>
      <c r="AJ32" s="53"/>
      <c r="AK32" s="53"/>
      <c r="AL32" s="53"/>
      <c r="AM32" s="53"/>
      <c r="AN32" s="53"/>
      <c r="AO32" s="53"/>
      <c r="AP32" s="53"/>
      <c r="AQ32" s="53"/>
      <c r="AR32" s="53"/>
      <c r="AS32" s="53"/>
    </row>
    <row r="33" spans="1:45" ht="48.75" customHeight="1" thickBot="1" x14ac:dyDescent="0.3">
      <c r="A33" s="475"/>
      <c r="B33" s="475"/>
      <c r="C33" s="452"/>
      <c r="D33" s="297" t="s">
        <v>744</v>
      </c>
      <c r="E33" s="281" t="s">
        <v>2</v>
      </c>
      <c r="F33" s="281" t="s">
        <v>78</v>
      </c>
      <c r="G33" s="281" t="s">
        <v>91</v>
      </c>
      <c r="H33" s="281" t="s">
        <v>80</v>
      </c>
      <c r="I33" s="281" t="s">
        <v>159</v>
      </c>
      <c r="J33" s="143">
        <v>10000</v>
      </c>
      <c r="K33" s="282">
        <v>10000</v>
      </c>
      <c r="L33" s="282">
        <v>15000</v>
      </c>
      <c r="M33" s="282"/>
      <c r="N33" s="282"/>
      <c r="O33" s="143"/>
      <c r="P33" s="283">
        <f t="shared" si="0"/>
        <v>35000</v>
      </c>
      <c r="Q33" s="53"/>
      <c r="R33" s="294"/>
      <c r="S33" s="294"/>
      <c r="T33" s="294"/>
      <c r="U33" s="294"/>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row>
    <row r="34" spans="1:45" ht="15.75" thickBot="1" x14ac:dyDescent="0.3">
      <c r="A34" s="475"/>
      <c r="B34" s="476"/>
      <c r="C34" s="285" t="s">
        <v>160</v>
      </c>
      <c r="D34" s="286"/>
      <c r="E34" s="287"/>
      <c r="F34" s="288"/>
      <c r="G34" s="289"/>
      <c r="H34" s="289"/>
      <c r="I34" s="287"/>
      <c r="J34" s="290">
        <f t="shared" ref="J34:O34" si="12">SUM(J24:J33)</f>
        <v>39900</v>
      </c>
      <c r="K34" s="290">
        <f t="shared" si="12"/>
        <v>160650</v>
      </c>
      <c r="L34" s="290">
        <f t="shared" si="12"/>
        <v>181400</v>
      </c>
      <c r="M34" s="290">
        <f t="shared" si="12"/>
        <v>160400</v>
      </c>
      <c r="N34" s="290">
        <f t="shared" si="12"/>
        <v>150900</v>
      </c>
      <c r="O34" s="290">
        <f t="shared" si="12"/>
        <v>120400</v>
      </c>
      <c r="P34" s="291">
        <f t="shared" si="0"/>
        <v>813650</v>
      </c>
      <c r="Q34" s="292">
        <f>+P34/1000000</f>
        <v>0.81364999999999998</v>
      </c>
      <c r="R34" s="293">
        <v>958750</v>
      </c>
      <c r="S34" s="293">
        <f>+SUM(S24:S31)</f>
        <v>123750</v>
      </c>
      <c r="T34" s="293">
        <f>+SUM(T24:T31)</f>
        <v>0</v>
      </c>
      <c r="U34" s="293">
        <f>+SUM(U24:U31)</f>
        <v>500000</v>
      </c>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row>
    <row r="35" spans="1:45" ht="33.6" customHeight="1" thickBot="1" x14ac:dyDescent="0.3">
      <c r="A35" s="476"/>
      <c r="B35" s="298" t="s">
        <v>161</v>
      </c>
      <c r="C35" s="299"/>
      <c r="D35" s="300"/>
      <c r="E35" s="301"/>
      <c r="F35" s="301"/>
      <c r="G35" s="301"/>
      <c r="H35" s="301"/>
      <c r="I35" s="301"/>
      <c r="J35" s="302">
        <f t="shared" ref="J35:O35" si="13">SUM(J23,J34)</f>
        <v>190100</v>
      </c>
      <c r="K35" s="302">
        <f t="shared" si="13"/>
        <v>701650</v>
      </c>
      <c r="L35" s="302">
        <f t="shared" si="13"/>
        <v>778400</v>
      </c>
      <c r="M35" s="302">
        <f t="shared" si="13"/>
        <v>738650</v>
      </c>
      <c r="N35" s="302">
        <f t="shared" si="13"/>
        <v>642150</v>
      </c>
      <c r="O35" s="302">
        <f t="shared" si="13"/>
        <v>136400</v>
      </c>
      <c r="P35" s="303">
        <f>SUM(J35:O35)</f>
        <v>3187350</v>
      </c>
      <c r="Q35" s="292">
        <f>+P35/1000000</f>
        <v>3.1873499999999999</v>
      </c>
      <c r="R35" s="304">
        <v>3294850</v>
      </c>
      <c r="S35" s="304" t="e">
        <f>+S23+S34+#REF!+#REF!</f>
        <v>#REF!</v>
      </c>
      <c r="T35" s="304" t="e">
        <f>+T23+T34+#REF!+#REF!</f>
        <v>#REF!</v>
      </c>
      <c r="U35" s="304" t="e">
        <f>+U23+U34+#REF!+#REF!</f>
        <v>#REF!</v>
      </c>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row>
    <row r="36" spans="1:45" ht="45" x14ac:dyDescent="0.25">
      <c r="A36" s="472" t="s">
        <v>162</v>
      </c>
      <c r="B36" s="477" t="s">
        <v>163</v>
      </c>
      <c r="C36" s="455" t="s">
        <v>164</v>
      </c>
      <c r="D36" s="271" t="s">
        <v>165</v>
      </c>
      <c r="E36" s="384" t="s">
        <v>2</v>
      </c>
      <c r="F36" s="384" t="s">
        <v>78</v>
      </c>
      <c r="G36" s="270" t="s">
        <v>166</v>
      </c>
      <c r="H36" s="446" t="s">
        <v>80</v>
      </c>
      <c r="I36" s="446" t="s">
        <v>167</v>
      </c>
      <c r="J36" s="272">
        <v>40000</v>
      </c>
      <c r="K36" s="272">
        <v>60000</v>
      </c>
      <c r="L36" s="272">
        <v>0</v>
      </c>
      <c r="M36" s="272">
        <v>0</v>
      </c>
      <c r="N36" s="272">
        <v>0</v>
      </c>
      <c r="O36" s="272">
        <v>0</v>
      </c>
      <c r="P36" s="273">
        <f t="shared" si="0"/>
        <v>100000</v>
      </c>
      <c r="Q36" s="53"/>
      <c r="R36" s="273">
        <v>580000</v>
      </c>
      <c r="S36" s="273">
        <f>+P36</f>
        <v>100000</v>
      </c>
      <c r="T36" s="273"/>
      <c r="U36" s="27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row>
    <row r="37" spans="1:45" x14ac:dyDescent="0.25">
      <c r="A37" s="472"/>
      <c r="B37" s="478"/>
      <c r="C37" s="456"/>
      <c r="D37" s="112" t="s">
        <v>168</v>
      </c>
      <c r="E37" s="384" t="s">
        <v>2</v>
      </c>
      <c r="F37" s="384" t="s">
        <v>78</v>
      </c>
      <c r="G37" s="267" t="s">
        <v>166</v>
      </c>
      <c r="H37" s="447"/>
      <c r="I37" s="447"/>
      <c r="J37" s="274">
        <v>80000</v>
      </c>
      <c r="K37" s="274">
        <v>40000</v>
      </c>
      <c r="L37" s="274">
        <v>0</v>
      </c>
      <c r="M37" s="274">
        <v>0</v>
      </c>
      <c r="N37" s="274">
        <v>0</v>
      </c>
      <c r="O37" s="274">
        <v>0</v>
      </c>
      <c r="P37" s="275">
        <f t="shared" si="0"/>
        <v>120000</v>
      </c>
      <c r="Q37" s="53"/>
      <c r="R37" s="277"/>
      <c r="S37" s="277"/>
      <c r="T37" s="277"/>
      <c r="U37" s="277"/>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row>
    <row r="38" spans="1:45" x14ac:dyDescent="0.25">
      <c r="A38" s="472"/>
      <c r="B38" s="478"/>
      <c r="C38" s="456"/>
      <c r="D38" s="112" t="s">
        <v>169</v>
      </c>
      <c r="E38" s="387" t="s">
        <v>2</v>
      </c>
      <c r="F38" s="387" t="s">
        <v>78</v>
      </c>
      <c r="G38" s="267" t="s">
        <v>166</v>
      </c>
      <c r="H38" s="448"/>
      <c r="I38" s="448"/>
      <c r="J38" s="274">
        <v>0</v>
      </c>
      <c r="K38" s="274">
        <v>144000</v>
      </c>
      <c r="L38" s="274">
        <v>144000</v>
      </c>
      <c r="M38" s="274">
        <v>72000</v>
      </c>
      <c r="N38" s="274">
        <v>0</v>
      </c>
      <c r="O38" s="274">
        <v>0</v>
      </c>
      <c r="P38" s="275">
        <f t="shared" si="0"/>
        <v>360000</v>
      </c>
      <c r="Q38" s="53"/>
      <c r="R38" s="277"/>
      <c r="S38" s="277"/>
      <c r="T38" s="277"/>
      <c r="U38" s="277"/>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row>
    <row r="39" spans="1:45" ht="75.75" thickBot="1" x14ac:dyDescent="0.4">
      <c r="A39" s="472"/>
      <c r="B39" s="478"/>
      <c r="C39" s="457"/>
      <c r="D39" s="266" t="s">
        <v>170</v>
      </c>
      <c r="E39" s="281" t="s">
        <v>2</v>
      </c>
      <c r="F39" s="281" t="s">
        <v>78</v>
      </c>
      <c r="G39" s="399" t="s">
        <v>153</v>
      </c>
      <c r="H39" s="399" t="s">
        <v>80</v>
      </c>
      <c r="I39" s="281" t="s">
        <v>171</v>
      </c>
      <c r="J39" s="282">
        <f t="shared" ref="J39:O39" si="14">1700*12</f>
        <v>20400</v>
      </c>
      <c r="K39" s="282">
        <f t="shared" si="14"/>
        <v>20400</v>
      </c>
      <c r="L39" s="282">
        <f t="shared" si="14"/>
        <v>20400</v>
      </c>
      <c r="M39" s="282">
        <f t="shared" si="14"/>
        <v>20400</v>
      </c>
      <c r="N39" s="282">
        <f t="shared" si="14"/>
        <v>20400</v>
      </c>
      <c r="O39" s="282">
        <f t="shared" si="14"/>
        <v>20400</v>
      </c>
      <c r="P39" s="283">
        <f t="shared" si="0"/>
        <v>122400</v>
      </c>
      <c r="Q39" s="253"/>
      <c r="R39" s="306"/>
      <c r="S39" s="306"/>
      <c r="T39" s="306"/>
      <c r="U39" s="306"/>
      <c r="V39" s="307"/>
      <c r="W39" s="53"/>
      <c r="X39" s="53"/>
      <c r="Y39" s="53"/>
      <c r="Z39" s="53"/>
      <c r="AA39" s="53"/>
      <c r="AB39" s="53"/>
      <c r="AC39" s="53"/>
      <c r="AD39" s="53"/>
      <c r="AE39" s="53"/>
      <c r="AF39" s="53"/>
      <c r="AG39" s="53"/>
      <c r="AH39" s="53"/>
      <c r="AI39" s="53"/>
      <c r="AJ39" s="53"/>
      <c r="AK39" s="53"/>
      <c r="AL39" s="53"/>
      <c r="AM39" s="53"/>
      <c r="AN39" s="53"/>
      <c r="AO39" s="53"/>
      <c r="AP39" s="53"/>
      <c r="AQ39" s="53"/>
      <c r="AR39" s="53"/>
      <c r="AS39" s="53"/>
    </row>
    <row r="40" spans="1:45" ht="94.9" customHeight="1" thickBot="1" x14ac:dyDescent="0.3">
      <c r="A40" s="472"/>
      <c r="B40" s="478"/>
      <c r="C40" s="308" t="s">
        <v>172</v>
      </c>
      <c r="D40" s="309" t="s">
        <v>173</v>
      </c>
      <c r="E40" s="310" t="s">
        <v>2</v>
      </c>
      <c r="F40" s="310" t="s">
        <v>78</v>
      </c>
      <c r="G40" s="310" t="s">
        <v>174</v>
      </c>
      <c r="H40" s="310" t="s">
        <v>80</v>
      </c>
      <c r="I40" s="310" t="s">
        <v>175</v>
      </c>
      <c r="J40" s="311">
        <v>0</v>
      </c>
      <c r="K40" s="311">
        <v>583000</v>
      </c>
      <c r="L40" s="311">
        <v>2112000</v>
      </c>
      <c r="M40" s="311">
        <v>0</v>
      </c>
      <c r="N40" s="311">
        <v>0</v>
      </c>
      <c r="O40" s="311">
        <v>0</v>
      </c>
      <c r="P40" s="312">
        <f t="shared" ref="P40:P50" si="15">SUM(J40:O40)</f>
        <v>2695000</v>
      </c>
      <c r="Q40" s="53"/>
      <c r="R40" s="275">
        <v>2695000</v>
      </c>
      <c r="S40" s="275">
        <f>+P40</f>
        <v>2695000</v>
      </c>
      <c r="T40" s="275"/>
      <c r="U40" s="275"/>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row>
    <row r="41" spans="1:45" ht="82.9" customHeight="1" thickBot="1" x14ac:dyDescent="0.3">
      <c r="A41" s="472"/>
      <c r="B41" s="478"/>
      <c r="C41" s="308" t="s">
        <v>176</v>
      </c>
      <c r="D41" s="309" t="s">
        <v>177</v>
      </c>
      <c r="E41" s="310" t="s">
        <v>2</v>
      </c>
      <c r="F41" s="310" t="s">
        <v>78</v>
      </c>
      <c r="G41" s="310" t="s">
        <v>174</v>
      </c>
      <c r="H41" s="310" t="s">
        <v>80</v>
      </c>
      <c r="I41" s="310" t="s">
        <v>178</v>
      </c>
      <c r="J41" s="311">
        <v>0</v>
      </c>
      <c r="K41" s="311">
        <v>550200</v>
      </c>
      <c r="L41" s="311">
        <v>1173900</v>
      </c>
      <c r="M41" s="311">
        <v>0</v>
      </c>
      <c r="N41" s="311">
        <v>0</v>
      </c>
      <c r="O41" s="311">
        <v>0</v>
      </c>
      <c r="P41" s="312">
        <f>SUM(J41:O41)</f>
        <v>1724100</v>
      </c>
      <c r="Q41" s="53"/>
      <c r="R41" s="275">
        <v>1674100</v>
      </c>
      <c r="S41" s="275">
        <f>+P41</f>
        <v>1724100</v>
      </c>
      <c r="T41" s="275"/>
      <c r="U41" s="275"/>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row>
    <row r="42" spans="1:45" ht="129.75" customHeight="1" thickBot="1" x14ac:dyDescent="0.3">
      <c r="A42" s="472"/>
      <c r="B42" s="478"/>
      <c r="C42" s="308" t="s">
        <v>179</v>
      </c>
      <c r="D42" s="309" t="s">
        <v>180</v>
      </c>
      <c r="E42" s="310" t="s">
        <v>2</v>
      </c>
      <c r="F42" s="310" t="s">
        <v>78</v>
      </c>
      <c r="G42" s="310" t="s">
        <v>174</v>
      </c>
      <c r="H42" s="310" t="s">
        <v>80</v>
      </c>
      <c r="I42" s="310" t="s">
        <v>181</v>
      </c>
      <c r="J42" s="311">
        <v>0</v>
      </c>
      <c r="K42" s="311">
        <v>0</v>
      </c>
      <c r="L42" s="311">
        <v>1109400</v>
      </c>
      <c r="M42" s="311">
        <v>143900</v>
      </c>
      <c r="N42" s="311">
        <v>0</v>
      </c>
      <c r="O42" s="311">
        <v>0</v>
      </c>
      <c r="P42" s="312">
        <f>SUM(J42:O42)</f>
        <v>1253300</v>
      </c>
      <c r="Q42" s="53"/>
      <c r="R42" s="275">
        <v>697600</v>
      </c>
      <c r="S42" s="275">
        <f>+P42</f>
        <v>1253300</v>
      </c>
      <c r="T42" s="275"/>
      <c r="U42" s="275"/>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row>
    <row r="43" spans="1:45" ht="45.75" thickBot="1" x14ac:dyDescent="0.3">
      <c r="A43" s="472"/>
      <c r="B43" s="478"/>
      <c r="C43" s="308" t="s">
        <v>734</v>
      </c>
      <c r="D43" s="309" t="s">
        <v>182</v>
      </c>
      <c r="E43" s="310" t="s">
        <v>2</v>
      </c>
      <c r="F43" s="310" t="s">
        <v>78</v>
      </c>
      <c r="G43" s="310" t="s">
        <v>174</v>
      </c>
      <c r="H43" s="310" t="s">
        <v>80</v>
      </c>
      <c r="I43" s="310" t="s">
        <v>183</v>
      </c>
      <c r="J43" s="311">
        <v>0</v>
      </c>
      <c r="K43" s="311">
        <v>0</v>
      </c>
      <c r="L43" s="311">
        <v>697600</v>
      </c>
      <c r="M43" s="311">
        <v>0</v>
      </c>
      <c r="N43" s="311">
        <v>0</v>
      </c>
      <c r="O43" s="311">
        <v>0</v>
      </c>
      <c r="P43" s="312">
        <f t="shared" si="15"/>
        <v>697600</v>
      </c>
      <c r="Q43" s="53"/>
      <c r="R43" s="275">
        <v>1253300</v>
      </c>
      <c r="S43" s="275">
        <f>+P43</f>
        <v>697600</v>
      </c>
      <c r="T43" s="275"/>
      <c r="U43" s="275"/>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row>
    <row r="44" spans="1:45" x14ac:dyDescent="0.25">
      <c r="A44" s="472"/>
      <c r="B44" s="478"/>
      <c r="C44" s="453" t="s">
        <v>184</v>
      </c>
      <c r="D44" s="460" t="s">
        <v>185</v>
      </c>
      <c r="E44" s="251" t="s">
        <v>2</v>
      </c>
      <c r="F44" s="251" t="s">
        <v>78</v>
      </c>
      <c r="G44" s="270" t="s">
        <v>95</v>
      </c>
      <c r="H44" s="270" t="s">
        <v>80</v>
      </c>
      <c r="I44" s="270" t="s">
        <v>186</v>
      </c>
      <c r="J44" s="272">
        <v>0</v>
      </c>
      <c r="K44" s="272">
        <v>50000</v>
      </c>
      <c r="L44" s="272">
        <v>50000</v>
      </c>
      <c r="M44" s="272">
        <v>50000</v>
      </c>
      <c r="N44" s="272">
        <v>50000</v>
      </c>
      <c r="O44" s="272">
        <v>0</v>
      </c>
      <c r="P44" s="273">
        <f t="shared" si="15"/>
        <v>200000</v>
      </c>
      <c r="Q44" s="53"/>
      <c r="R44" s="275">
        <v>200000</v>
      </c>
      <c r="S44" s="275">
        <f>+P44</f>
        <v>200000</v>
      </c>
      <c r="T44" s="275"/>
      <c r="U44" s="275"/>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row>
    <row r="45" spans="1:45" ht="55.15" customHeight="1" x14ac:dyDescent="0.35">
      <c r="A45" s="472"/>
      <c r="B45" s="478"/>
      <c r="C45" s="451"/>
      <c r="D45" s="459"/>
      <c r="E45" s="384" t="s">
        <v>2</v>
      </c>
      <c r="F45" s="384" t="s">
        <v>78</v>
      </c>
      <c r="G45" s="267" t="s">
        <v>83</v>
      </c>
      <c r="H45" s="267" t="s">
        <v>80</v>
      </c>
      <c r="I45" s="267" t="s">
        <v>187</v>
      </c>
      <c r="J45" s="274"/>
      <c r="K45" s="274">
        <f>2*2500*2</f>
        <v>10000</v>
      </c>
      <c r="L45" s="274">
        <f>2*2500*2</f>
        <v>10000</v>
      </c>
      <c r="M45" s="274">
        <f t="shared" ref="M45:N45" si="16">2*2500*2</f>
        <v>10000</v>
      </c>
      <c r="N45" s="274">
        <f t="shared" si="16"/>
        <v>10000</v>
      </c>
      <c r="O45" s="274"/>
      <c r="P45" s="275">
        <f t="shared" si="15"/>
        <v>40000</v>
      </c>
      <c r="Q45" s="253" t="s">
        <v>99</v>
      </c>
      <c r="R45" s="294"/>
      <c r="S45" s="294"/>
      <c r="T45" s="294"/>
      <c r="U45" s="294"/>
      <c r="V45" s="53"/>
      <c r="W45" s="54"/>
      <c r="X45" s="253" t="s">
        <v>188</v>
      </c>
      <c r="Y45" s="53"/>
      <c r="Z45" s="53"/>
      <c r="AA45" s="53"/>
      <c r="AB45" s="53"/>
      <c r="AC45" s="53"/>
      <c r="AD45" s="53"/>
      <c r="AE45" s="53"/>
      <c r="AF45" s="53"/>
      <c r="AG45" s="53"/>
      <c r="AH45" s="53"/>
      <c r="AI45" s="53"/>
      <c r="AJ45" s="53"/>
      <c r="AK45" s="53"/>
      <c r="AL45" s="53"/>
      <c r="AM45" s="53"/>
      <c r="AN45" s="53"/>
      <c r="AO45" s="53"/>
      <c r="AP45" s="53"/>
      <c r="AQ45" s="53"/>
      <c r="AR45" s="53"/>
      <c r="AS45" s="53"/>
    </row>
    <row r="46" spans="1:45" ht="18.75" x14ac:dyDescent="0.3">
      <c r="A46" s="472"/>
      <c r="B46" s="478"/>
      <c r="C46" s="451"/>
      <c r="D46" s="458" t="s">
        <v>189</v>
      </c>
      <c r="E46" s="384" t="s">
        <v>5</v>
      </c>
      <c r="F46" s="384" t="s">
        <v>78</v>
      </c>
      <c r="G46" s="384" t="s">
        <v>88</v>
      </c>
      <c r="H46" s="384" t="s">
        <v>80</v>
      </c>
      <c r="I46" s="384" t="s">
        <v>190</v>
      </c>
      <c r="J46" s="274"/>
      <c r="K46" s="274"/>
      <c r="L46" s="274">
        <f>30*500</f>
        <v>15000</v>
      </c>
      <c r="M46" s="274">
        <f>30*500</f>
        <v>15000</v>
      </c>
      <c r="N46" s="274"/>
      <c r="O46" s="384"/>
      <c r="P46" s="275">
        <f t="shared" ref="P46:P49" si="17">SUM(J46:O46)</f>
        <v>30000</v>
      </c>
      <c r="Q46" s="313" t="s">
        <v>85</v>
      </c>
      <c r="R46" s="314"/>
      <c r="S46" s="314"/>
      <c r="T46" s="314"/>
      <c r="U46" s="314"/>
      <c r="V46" s="315" t="s">
        <v>191</v>
      </c>
      <c r="W46" s="315"/>
      <c r="X46" s="316">
        <f>+SUM(J46:O46)</f>
        <v>30000</v>
      </c>
      <c r="Y46" s="315"/>
      <c r="Z46" s="246" t="s">
        <v>192</v>
      </c>
      <c r="AA46" s="53"/>
      <c r="AB46" s="53"/>
      <c r="AC46" s="279"/>
      <c r="AD46" s="53"/>
      <c r="AE46" s="53"/>
      <c r="AF46" s="53"/>
      <c r="AG46" s="53"/>
      <c r="AH46" s="53"/>
      <c r="AI46" s="53"/>
      <c r="AJ46" s="53"/>
      <c r="AK46" s="53"/>
      <c r="AL46" s="53"/>
      <c r="AM46" s="53"/>
      <c r="AN46" s="53"/>
      <c r="AO46" s="53"/>
      <c r="AP46" s="53"/>
      <c r="AQ46" s="53"/>
      <c r="AR46" s="53"/>
      <c r="AS46" s="53"/>
    </row>
    <row r="47" spans="1:45" ht="18.75" x14ac:dyDescent="0.3">
      <c r="A47" s="472"/>
      <c r="B47" s="478"/>
      <c r="C47" s="451"/>
      <c r="D47" s="458"/>
      <c r="E47" s="384" t="s">
        <v>5</v>
      </c>
      <c r="F47" s="384" t="s">
        <v>78</v>
      </c>
      <c r="G47" s="384" t="s">
        <v>83</v>
      </c>
      <c r="H47" s="384" t="s">
        <v>80</v>
      </c>
      <c r="I47" s="384" t="s">
        <v>193</v>
      </c>
      <c r="J47" s="274"/>
      <c r="K47" s="274"/>
      <c r="L47" s="274">
        <f>1500*8</f>
        <v>12000</v>
      </c>
      <c r="M47" s="274">
        <f>1500*12</f>
        <v>18000</v>
      </c>
      <c r="N47" s="274"/>
      <c r="O47" s="384"/>
      <c r="P47" s="275">
        <f t="shared" si="17"/>
        <v>30000</v>
      </c>
      <c r="Q47" s="313" t="s">
        <v>85</v>
      </c>
      <c r="R47" s="314"/>
      <c r="S47" s="314"/>
      <c r="T47" s="314"/>
      <c r="U47" s="314"/>
      <c r="V47" s="315" t="s">
        <v>191</v>
      </c>
      <c r="W47" s="315"/>
      <c r="X47" s="316">
        <f t="shared" ref="X47:X49" si="18">+SUM(J47:O47)</f>
        <v>30000</v>
      </c>
      <c r="Y47" s="315"/>
      <c r="Z47" s="246" t="s">
        <v>194</v>
      </c>
      <c r="AA47" s="53"/>
      <c r="AB47" s="53"/>
      <c r="AC47" s="279"/>
      <c r="AD47" s="53"/>
      <c r="AE47" s="53"/>
      <c r="AF47" s="53"/>
      <c r="AG47" s="53"/>
      <c r="AH47" s="53"/>
      <c r="AI47" s="53"/>
      <c r="AJ47" s="53"/>
      <c r="AK47" s="53"/>
      <c r="AL47" s="53"/>
      <c r="AM47" s="53"/>
      <c r="AN47" s="53"/>
      <c r="AO47" s="53"/>
      <c r="AP47" s="53"/>
      <c r="AQ47" s="53"/>
      <c r="AR47" s="53"/>
      <c r="AS47" s="53"/>
    </row>
    <row r="48" spans="1:45" ht="18.75" x14ac:dyDescent="0.3">
      <c r="A48" s="472"/>
      <c r="B48" s="478"/>
      <c r="C48" s="451"/>
      <c r="D48" s="458"/>
      <c r="E48" s="384" t="s">
        <v>5</v>
      </c>
      <c r="F48" s="384" t="s">
        <v>78</v>
      </c>
      <c r="G48" s="384" t="s">
        <v>166</v>
      </c>
      <c r="H48" s="384" t="s">
        <v>80</v>
      </c>
      <c r="I48" s="384" t="s">
        <v>195</v>
      </c>
      <c r="J48" s="274"/>
      <c r="K48" s="274"/>
      <c r="L48" s="274">
        <v>50000</v>
      </c>
      <c r="M48" s="274">
        <v>75000</v>
      </c>
      <c r="N48" s="274"/>
      <c r="O48" s="384"/>
      <c r="P48" s="275">
        <f t="shared" si="17"/>
        <v>125000</v>
      </c>
      <c r="Q48" s="313" t="s">
        <v>85</v>
      </c>
      <c r="R48" s="314"/>
      <c r="S48" s="314"/>
      <c r="T48" s="314"/>
      <c r="U48" s="314"/>
      <c r="V48" s="315" t="s">
        <v>191</v>
      </c>
      <c r="W48" s="315"/>
      <c r="X48" s="316">
        <f t="shared" si="18"/>
        <v>125000</v>
      </c>
      <c r="Y48" s="315"/>
      <c r="Z48" s="315" t="s">
        <v>196</v>
      </c>
      <c r="AA48" s="53"/>
      <c r="AB48" s="53"/>
      <c r="AC48" s="279"/>
      <c r="AD48" s="53"/>
      <c r="AE48" s="53"/>
      <c r="AF48" s="53"/>
      <c r="AG48" s="53"/>
      <c r="AH48" s="53"/>
      <c r="AI48" s="53"/>
      <c r="AJ48" s="53"/>
      <c r="AK48" s="53"/>
      <c r="AL48" s="53"/>
      <c r="AM48" s="53"/>
      <c r="AN48" s="53"/>
      <c r="AO48" s="53"/>
      <c r="AP48" s="53"/>
      <c r="AQ48" s="53"/>
      <c r="AR48" s="53"/>
      <c r="AS48" s="53"/>
    </row>
    <row r="49" spans="1:45" ht="18.75" x14ac:dyDescent="0.3">
      <c r="A49" s="472"/>
      <c r="B49" s="478"/>
      <c r="C49" s="451"/>
      <c r="D49" s="458"/>
      <c r="E49" s="384" t="s">
        <v>5</v>
      </c>
      <c r="F49" s="384" t="s">
        <v>78</v>
      </c>
      <c r="G49" s="384" t="s">
        <v>79</v>
      </c>
      <c r="H49" s="384" t="s">
        <v>80</v>
      </c>
      <c r="I49" s="384" t="s">
        <v>197</v>
      </c>
      <c r="J49" s="274"/>
      <c r="K49" s="274"/>
      <c r="L49" s="274">
        <f>25*500</f>
        <v>12500</v>
      </c>
      <c r="M49" s="274">
        <f>25*500</f>
        <v>12500</v>
      </c>
      <c r="N49" s="274"/>
      <c r="O49" s="384"/>
      <c r="P49" s="275">
        <f t="shared" si="17"/>
        <v>25000</v>
      </c>
      <c r="Q49" s="313" t="s">
        <v>85</v>
      </c>
      <c r="R49" s="314"/>
      <c r="S49" s="314"/>
      <c r="T49" s="314"/>
      <c r="U49" s="314"/>
      <c r="V49" s="315" t="s">
        <v>191</v>
      </c>
      <c r="W49" s="315"/>
      <c r="X49" s="316">
        <f t="shared" si="18"/>
        <v>25000</v>
      </c>
      <c r="Y49" s="315"/>
      <c r="Z49" s="315" t="s">
        <v>198</v>
      </c>
      <c r="AA49" s="53"/>
      <c r="AB49" s="53"/>
      <c r="AC49" s="279"/>
      <c r="AD49" s="53"/>
      <c r="AE49" s="53"/>
      <c r="AF49" s="53"/>
      <c r="AG49" s="53"/>
      <c r="AH49" s="53"/>
      <c r="AI49" s="53"/>
      <c r="AJ49" s="53"/>
      <c r="AK49" s="53"/>
      <c r="AL49" s="53"/>
      <c r="AM49" s="53"/>
      <c r="AN49" s="53"/>
      <c r="AO49" s="53"/>
      <c r="AP49" s="53"/>
      <c r="AQ49" s="53"/>
      <c r="AR49" s="53"/>
      <c r="AS49" s="53"/>
    </row>
    <row r="50" spans="1:45" ht="31.9" customHeight="1" thickBot="1" x14ac:dyDescent="0.3">
      <c r="A50" s="472"/>
      <c r="B50" s="478"/>
      <c r="C50" s="452"/>
      <c r="D50" s="151" t="s">
        <v>199</v>
      </c>
      <c r="E50" s="281" t="s">
        <v>4</v>
      </c>
      <c r="F50" s="281" t="s">
        <v>4</v>
      </c>
      <c r="G50" s="281" t="s">
        <v>166</v>
      </c>
      <c r="H50" s="281" t="s">
        <v>29</v>
      </c>
      <c r="I50" s="281" t="s">
        <v>200</v>
      </c>
      <c r="J50" s="282"/>
      <c r="K50" s="282">
        <v>75000</v>
      </c>
      <c r="L50" s="282">
        <v>75000</v>
      </c>
      <c r="M50" s="282">
        <v>75000</v>
      </c>
      <c r="N50" s="282">
        <v>75000</v>
      </c>
      <c r="O50" s="282"/>
      <c r="P50" s="283">
        <f t="shared" si="15"/>
        <v>300000</v>
      </c>
      <c r="Q50" s="53"/>
      <c r="R50" s="283">
        <v>300000</v>
      </c>
      <c r="S50" s="283"/>
      <c r="T50" s="283"/>
      <c r="U50" s="283">
        <f>+P50</f>
        <v>300000</v>
      </c>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row>
    <row r="51" spans="1:45" ht="45" x14ac:dyDescent="0.25">
      <c r="A51" s="472"/>
      <c r="B51" s="478"/>
      <c r="C51" s="449" t="s">
        <v>201</v>
      </c>
      <c r="D51" s="250" t="s">
        <v>746</v>
      </c>
      <c r="E51" s="251" t="s">
        <v>2</v>
      </c>
      <c r="F51" s="251" t="s">
        <v>78</v>
      </c>
      <c r="G51" s="270" t="s">
        <v>83</v>
      </c>
      <c r="H51" s="270" t="s">
        <v>80</v>
      </c>
      <c r="I51" s="270" t="s">
        <v>202</v>
      </c>
      <c r="J51" s="272"/>
      <c r="K51" s="272">
        <f>10*250</f>
        <v>2500</v>
      </c>
      <c r="L51" s="272">
        <f>20*250</f>
        <v>5000</v>
      </c>
      <c r="M51" s="272">
        <f>L51</f>
        <v>5000</v>
      </c>
      <c r="N51" s="272">
        <f>M51</f>
        <v>5000</v>
      </c>
      <c r="O51" s="272"/>
      <c r="P51" s="273">
        <f>SUM(J51:O51)</f>
        <v>17500</v>
      </c>
      <c r="Q51" s="53"/>
      <c r="R51" s="273">
        <v>17500</v>
      </c>
      <c r="S51" s="273">
        <f>+P51</f>
        <v>17500</v>
      </c>
      <c r="T51" s="273"/>
      <c r="U51" s="27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row>
    <row r="52" spans="1:45" ht="30" x14ac:dyDescent="0.25">
      <c r="A52" s="472"/>
      <c r="B52" s="478"/>
      <c r="C52" s="450"/>
      <c r="D52" s="265" t="s">
        <v>735</v>
      </c>
      <c r="E52" s="384" t="s">
        <v>2</v>
      </c>
      <c r="F52" s="384" t="s">
        <v>78</v>
      </c>
      <c r="G52" s="267" t="s">
        <v>102</v>
      </c>
      <c r="H52" s="267" t="s">
        <v>80</v>
      </c>
      <c r="I52" s="267" t="s">
        <v>203</v>
      </c>
      <c r="J52" s="274"/>
      <c r="K52" s="274">
        <v>25000</v>
      </c>
      <c r="L52" s="274">
        <v>75000</v>
      </c>
      <c r="M52" s="274">
        <f>L52</f>
        <v>75000</v>
      </c>
      <c r="N52" s="274">
        <f>M52</f>
        <v>75000</v>
      </c>
      <c r="O52" s="274"/>
      <c r="P52" s="275">
        <f>SUM(J52:O52)</f>
        <v>250000</v>
      </c>
      <c r="Q52" s="53"/>
      <c r="R52" s="275">
        <v>250000</v>
      </c>
      <c r="S52" s="275">
        <f>+P52</f>
        <v>250000</v>
      </c>
      <c r="T52" s="275"/>
      <c r="U52" s="275"/>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row>
    <row r="53" spans="1:45" ht="15" customHeight="1" x14ac:dyDescent="0.3">
      <c r="A53" s="472"/>
      <c r="B53" s="478"/>
      <c r="C53" s="450"/>
      <c r="D53" s="459" t="s">
        <v>204</v>
      </c>
      <c r="E53" s="384" t="s">
        <v>5</v>
      </c>
      <c r="F53" s="384" t="s">
        <v>78</v>
      </c>
      <c r="G53" s="384" t="s">
        <v>102</v>
      </c>
      <c r="H53" s="384" t="s">
        <v>80</v>
      </c>
      <c r="I53" s="317" t="s">
        <v>205</v>
      </c>
      <c r="J53" s="274"/>
      <c r="K53" s="274"/>
      <c r="L53" s="274">
        <v>90000</v>
      </c>
      <c r="M53" s="274">
        <v>110000</v>
      </c>
      <c r="N53" s="274"/>
      <c r="O53" s="274"/>
      <c r="P53" s="275">
        <f>SUM(J53:O53)</f>
        <v>200000</v>
      </c>
      <c r="Q53" s="313" t="s">
        <v>85</v>
      </c>
      <c r="R53" s="314"/>
      <c r="S53" s="314"/>
      <c r="T53" s="314"/>
      <c r="U53" s="314"/>
      <c r="V53" s="315" t="s">
        <v>191</v>
      </c>
      <c r="W53" s="315"/>
      <c r="X53" s="316">
        <f>+SUM(J53:O53)</f>
        <v>200000</v>
      </c>
      <c r="Y53" s="279"/>
      <c r="Z53" s="247" t="s">
        <v>206</v>
      </c>
      <c r="AA53" s="248"/>
      <c r="AB53" s="248"/>
      <c r="AC53" s="248"/>
      <c r="AD53" s="248"/>
      <c r="AE53" s="248"/>
      <c r="AF53" s="248"/>
      <c r="AG53" s="248"/>
      <c r="AH53" s="248"/>
      <c r="AI53" s="248"/>
      <c r="AJ53" s="248"/>
      <c r="AK53" s="248"/>
      <c r="AL53" s="248"/>
      <c r="AM53" s="248"/>
      <c r="AN53" s="248"/>
      <c r="AO53" s="248"/>
      <c r="AP53" s="248"/>
      <c r="AQ53" s="248"/>
      <c r="AR53" s="248"/>
      <c r="AS53" s="249"/>
    </row>
    <row r="54" spans="1:45" ht="15" customHeight="1" x14ac:dyDescent="0.3">
      <c r="A54" s="472"/>
      <c r="B54" s="478"/>
      <c r="C54" s="450"/>
      <c r="D54" s="459"/>
      <c r="E54" s="384" t="s">
        <v>5</v>
      </c>
      <c r="F54" s="384" t="s">
        <v>78</v>
      </c>
      <c r="G54" s="384" t="s">
        <v>88</v>
      </c>
      <c r="H54" s="384" t="s">
        <v>80</v>
      </c>
      <c r="I54" s="317" t="s">
        <v>207</v>
      </c>
      <c r="J54" s="274"/>
      <c r="K54" s="274"/>
      <c r="L54" s="274">
        <v>15000</v>
      </c>
      <c r="M54" s="274">
        <v>15000</v>
      </c>
      <c r="N54" s="274"/>
      <c r="O54" s="274"/>
      <c r="P54" s="275">
        <f t="shared" ref="P54:P55" si="19">SUM(J54:O54)</f>
        <v>30000</v>
      </c>
      <c r="Q54" s="313" t="s">
        <v>85</v>
      </c>
      <c r="R54" s="314"/>
      <c r="S54" s="314"/>
      <c r="T54" s="314"/>
      <c r="U54" s="314"/>
      <c r="V54" s="315" t="s">
        <v>191</v>
      </c>
      <c r="W54" s="315"/>
      <c r="X54" s="316">
        <f t="shared" ref="X54:X55" si="20">+SUM(J54:O54)</f>
        <v>30000</v>
      </c>
      <c r="Y54" s="279"/>
      <c r="Z54" s="246" t="s">
        <v>208</v>
      </c>
      <c r="AA54" s="147"/>
      <c r="AB54" s="147"/>
      <c r="AC54" s="147"/>
      <c r="AD54" s="147"/>
      <c r="AE54" s="147"/>
      <c r="AF54" s="147"/>
      <c r="AG54" s="147"/>
      <c r="AH54" s="147"/>
      <c r="AI54" s="147"/>
      <c r="AJ54" s="147"/>
      <c r="AK54" s="147"/>
      <c r="AL54" s="147"/>
      <c r="AM54" s="147"/>
      <c r="AN54" s="147"/>
      <c r="AO54" s="147"/>
      <c r="AP54" s="147"/>
      <c r="AQ54" s="147"/>
      <c r="AR54" s="147"/>
      <c r="AS54" s="147"/>
    </row>
    <row r="55" spans="1:45" ht="15" customHeight="1" x14ac:dyDescent="0.3">
      <c r="A55" s="472"/>
      <c r="B55" s="478"/>
      <c r="C55" s="450"/>
      <c r="D55" s="459"/>
      <c r="E55" s="384" t="s">
        <v>5</v>
      </c>
      <c r="F55" s="384" t="s">
        <v>78</v>
      </c>
      <c r="G55" s="384" t="s">
        <v>83</v>
      </c>
      <c r="H55" s="384" t="s">
        <v>80</v>
      </c>
      <c r="I55" s="317" t="s">
        <v>209</v>
      </c>
      <c r="J55" s="274"/>
      <c r="K55" s="274"/>
      <c r="L55" s="274">
        <f>1500*8</f>
        <v>12000</v>
      </c>
      <c r="M55" s="274">
        <f>1500*12</f>
        <v>18000</v>
      </c>
      <c r="N55" s="274"/>
      <c r="O55" s="274"/>
      <c r="P55" s="275">
        <f t="shared" si="19"/>
        <v>30000</v>
      </c>
      <c r="Q55" s="313" t="s">
        <v>85</v>
      </c>
      <c r="R55" s="314"/>
      <c r="S55" s="314"/>
      <c r="T55" s="314"/>
      <c r="U55" s="314"/>
      <c r="V55" s="315" t="s">
        <v>191</v>
      </c>
      <c r="W55" s="315"/>
      <c r="X55" s="316">
        <f t="shared" si="20"/>
        <v>30000</v>
      </c>
      <c r="Y55" s="279"/>
      <c r="Z55" s="246" t="s">
        <v>210</v>
      </c>
      <c r="AA55" s="147"/>
      <c r="AB55" s="147"/>
      <c r="AC55" s="147"/>
      <c r="AD55" s="147"/>
      <c r="AE55" s="147"/>
      <c r="AF55" s="147"/>
      <c r="AG55" s="147"/>
      <c r="AH55" s="147"/>
      <c r="AI55" s="147"/>
      <c r="AJ55" s="147"/>
      <c r="AK55" s="147"/>
      <c r="AL55" s="147"/>
      <c r="AM55" s="147"/>
      <c r="AN55" s="147"/>
      <c r="AO55" s="147"/>
      <c r="AP55" s="147"/>
      <c r="AQ55" s="147"/>
      <c r="AR55" s="147"/>
      <c r="AS55" s="147"/>
    </row>
    <row r="56" spans="1:45" ht="18.75" x14ac:dyDescent="0.3">
      <c r="A56" s="472"/>
      <c r="B56" s="478"/>
      <c r="C56" s="450"/>
      <c r="D56" s="459"/>
      <c r="E56" s="384" t="s">
        <v>5</v>
      </c>
      <c r="F56" s="384" t="s">
        <v>78</v>
      </c>
      <c r="G56" s="384" t="s">
        <v>79</v>
      </c>
      <c r="H56" s="384" t="s">
        <v>80</v>
      </c>
      <c r="I56" s="317" t="s">
        <v>211</v>
      </c>
      <c r="J56" s="274"/>
      <c r="K56" s="274"/>
      <c r="L56" s="274">
        <f>25*500</f>
        <v>12500</v>
      </c>
      <c r="M56" s="274">
        <f>25*500</f>
        <v>12500</v>
      </c>
      <c r="N56" s="274"/>
      <c r="O56" s="274"/>
      <c r="P56" s="275">
        <f t="shared" ref="P56" si="21">SUM(J56:O56)</f>
        <v>25000</v>
      </c>
      <c r="Q56" s="313" t="s">
        <v>85</v>
      </c>
      <c r="R56" s="314"/>
      <c r="S56" s="314"/>
      <c r="T56" s="314"/>
      <c r="U56" s="314"/>
      <c r="V56" s="315" t="s">
        <v>191</v>
      </c>
      <c r="W56" s="315"/>
      <c r="X56" s="316">
        <f t="shared" ref="X56" si="22">+SUM(J56:O56)</f>
        <v>25000</v>
      </c>
      <c r="Y56" s="279"/>
      <c r="Z56" s="315" t="s">
        <v>212</v>
      </c>
      <c r="AA56" s="53"/>
      <c r="AB56" s="53"/>
      <c r="AC56" s="279"/>
      <c r="AD56" s="53"/>
      <c r="AE56" s="53"/>
      <c r="AF56" s="53"/>
      <c r="AG56" s="53"/>
      <c r="AH56" s="53"/>
      <c r="AI56" s="53"/>
      <c r="AJ56" s="53"/>
      <c r="AK56" s="53"/>
      <c r="AL56" s="53"/>
      <c r="AM56" s="53"/>
      <c r="AN56" s="53"/>
      <c r="AO56" s="53"/>
      <c r="AP56" s="53"/>
      <c r="AQ56" s="53"/>
      <c r="AR56" s="53"/>
      <c r="AS56" s="53"/>
    </row>
    <row r="57" spans="1:45" ht="55.9" customHeight="1" thickBot="1" x14ac:dyDescent="0.3">
      <c r="A57" s="472"/>
      <c r="B57" s="478"/>
      <c r="C57" s="450"/>
      <c r="D57" s="459" t="s">
        <v>736</v>
      </c>
      <c r="E57" s="384" t="s">
        <v>2</v>
      </c>
      <c r="F57" s="384" t="s">
        <v>78</v>
      </c>
      <c r="G57" s="267" t="s">
        <v>95</v>
      </c>
      <c r="H57" s="267" t="s">
        <v>80</v>
      </c>
      <c r="I57" s="267" t="s">
        <v>213</v>
      </c>
      <c r="J57" s="274"/>
      <c r="K57" s="121">
        <v>2500</v>
      </c>
      <c r="L57" s="274">
        <v>5000</v>
      </c>
      <c r="M57" s="274">
        <v>5000</v>
      </c>
      <c r="N57" s="274">
        <v>5000</v>
      </c>
      <c r="O57" s="274">
        <v>2500</v>
      </c>
      <c r="P57" s="275">
        <f>SUM(J57:O57)</f>
        <v>20000</v>
      </c>
      <c r="Q57" s="280" t="s">
        <v>157</v>
      </c>
      <c r="R57" s="283">
        <v>35000</v>
      </c>
      <c r="S57" s="283">
        <f>+P57</f>
        <v>20000</v>
      </c>
      <c r="T57" s="283"/>
      <c r="U57" s="28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row>
    <row r="58" spans="1:45" ht="55.9" customHeight="1" thickBot="1" x14ac:dyDescent="0.4">
      <c r="A58" s="472"/>
      <c r="B58" s="478"/>
      <c r="C58" s="452"/>
      <c r="D58" s="461"/>
      <c r="E58" s="385" t="s">
        <v>2</v>
      </c>
      <c r="F58" s="385" t="s">
        <v>78</v>
      </c>
      <c r="G58" s="281" t="s">
        <v>83</v>
      </c>
      <c r="H58" s="281" t="s">
        <v>80</v>
      </c>
      <c r="I58" s="281" t="s">
        <v>214</v>
      </c>
      <c r="J58" s="282"/>
      <c r="K58" s="128">
        <f>10*250</f>
        <v>2500</v>
      </c>
      <c r="L58" s="282">
        <f>10*250*2</f>
        <v>5000</v>
      </c>
      <c r="M58" s="282">
        <f>10*250*2</f>
        <v>5000</v>
      </c>
      <c r="N58" s="282">
        <f>10*250*2</f>
        <v>5000</v>
      </c>
      <c r="O58" s="128">
        <f>10*250</f>
        <v>2500</v>
      </c>
      <c r="P58" s="283">
        <f>SUM(J58:O58)</f>
        <v>20000</v>
      </c>
      <c r="Q58" s="253" t="s">
        <v>99</v>
      </c>
      <c r="R58" s="294"/>
      <c r="S58" s="294"/>
      <c r="T58" s="294"/>
      <c r="U58" s="294"/>
      <c r="V58" s="53"/>
      <c r="W58" s="54"/>
      <c r="X58" s="253" t="s">
        <v>215</v>
      </c>
      <c r="Y58" s="53"/>
      <c r="Z58" s="53"/>
      <c r="AA58" s="53"/>
      <c r="AB58" s="53"/>
      <c r="AC58" s="53"/>
      <c r="AD58" s="53"/>
      <c r="AE58" s="53"/>
      <c r="AF58" s="53"/>
      <c r="AG58" s="53"/>
      <c r="AH58" s="53"/>
      <c r="AI58" s="53"/>
      <c r="AJ58" s="53"/>
      <c r="AK58" s="53"/>
      <c r="AL58" s="53"/>
      <c r="AM58" s="53"/>
      <c r="AN58" s="53"/>
      <c r="AO58" s="53"/>
      <c r="AP58" s="53"/>
      <c r="AQ58" s="53"/>
      <c r="AR58" s="53"/>
      <c r="AS58" s="53"/>
    </row>
    <row r="59" spans="1:45" ht="15.75" thickBot="1" x14ac:dyDescent="0.3">
      <c r="A59" s="472"/>
      <c r="B59" s="479"/>
      <c r="C59" s="285" t="s">
        <v>216</v>
      </c>
      <c r="D59" s="286"/>
      <c r="E59" s="287"/>
      <c r="F59" s="288"/>
      <c r="G59" s="289"/>
      <c r="H59" s="289"/>
      <c r="I59" s="287"/>
      <c r="J59" s="290">
        <f>SUM(J36:J58)</f>
        <v>140400</v>
      </c>
      <c r="K59" s="290">
        <f t="shared" ref="K59:O59" si="23">SUM(K36:K58)</f>
        <v>1565100</v>
      </c>
      <c r="L59" s="290">
        <f t="shared" si="23"/>
        <v>5701300</v>
      </c>
      <c r="M59" s="290">
        <f t="shared" si="23"/>
        <v>737300</v>
      </c>
      <c r="N59" s="290">
        <f>SUM(N36:N58)</f>
        <v>245400</v>
      </c>
      <c r="O59" s="290">
        <f t="shared" si="23"/>
        <v>25400</v>
      </c>
      <c r="P59" s="291">
        <f>SUM(J59:O59)</f>
        <v>8414900</v>
      </c>
      <c r="Q59" s="292">
        <f>+P59/1000000</f>
        <v>8.4148999999999994</v>
      </c>
      <c r="R59" s="318">
        <v>7522400</v>
      </c>
      <c r="S59" s="318">
        <f>+SUM(S36:S57)</f>
        <v>6957500</v>
      </c>
      <c r="T59" s="318">
        <f>+SUM(T36:T57)</f>
        <v>0</v>
      </c>
      <c r="U59" s="318">
        <f>+SUM(U36:U57)</f>
        <v>300000</v>
      </c>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row>
    <row r="60" spans="1:45" ht="45.6" customHeight="1" x14ac:dyDescent="0.25">
      <c r="A60" s="472"/>
      <c r="B60" s="477" t="s">
        <v>217</v>
      </c>
      <c r="C60" s="462" t="s">
        <v>818</v>
      </c>
      <c r="D60" s="250" t="s">
        <v>218</v>
      </c>
      <c r="E60" s="270" t="s">
        <v>2</v>
      </c>
      <c r="F60" s="270" t="s">
        <v>78</v>
      </c>
      <c r="G60" s="270" t="s">
        <v>102</v>
      </c>
      <c r="H60" s="270" t="s">
        <v>80</v>
      </c>
      <c r="I60" s="270" t="s">
        <v>219</v>
      </c>
      <c r="J60" s="272">
        <v>25000</v>
      </c>
      <c r="K60" s="272">
        <v>25000</v>
      </c>
      <c r="L60" s="272">
        <v>0</v>
      </c>
      <c r="M60" s="272">
        <v>0</v>
      </c>
      <c r="N60" s="272">
        <v>0</v>
      </c>
      <c r="O60" s="272">
        <v>0</v>
      </c>
      <c r="P60" s="273">
        <f>SUM(J60:O60)</f>
        <v>50000</v>
      </c>
      <c r="Q60" s="53"/>
      <c r="R60" s="273">
        <v>50000</v>
      </c>
      <c r="S60" s="273">
        <f>+P60</f>
        <v>50000</v>
      </c>
      <c r="T60" s="273"/>
      <c r="U60" s="27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row>
    <row r="61" spans="1:45" ht="30.75" thickBot="1" x14ac:dyDescent="0.3">
      <c r="A61" s="472"/>
      <c r="B61" s="478"/>
      <c r="C61" s="464"/>
      <c r="D61" s="266" t="s">
        <v>220</v>
      </c>
      <c r="E61" s="281" t="s">
        <v>2</v>
      </c>
      <c r="F61" s="281" t="s">
        <v>78</v>
      </c>
      <c r="G61" s="281" t="s">
        <v>174</v>
      </c>
      <c r="H61" s="281" t="s">
        <v>80</v>
      </c>
      <c r="I61" s="281" t="s">
        <v>221</v>
      </c>
      <c r="J61" s="282">
        <v>40000</v>
      </c>
      <c r="K61" s="282">
        <v>0</v>
      </c>
      <c r="L61" s="282">
        <v>0</v>
      </c>
      <c r="M61" s="282">
        <v>0</v>
      </c>
      <c r="N61" s="282">
        <v>0</v>
      </c>
      <c r="O61" s="282">
        <v>0</v>
      </c>
      <c r="P61" s="283">
        <f t="shared" ref="P61:P77" si="24">SUM(J61:O61)</f>
        <v>40000</v>
      </c>
      <c r="Q61" s="53"/>
      <c r="R61" s="283">
        <v>40000</v>
      </c>
      <c r="S61" s="283">
        <f>+P61</f>
        <v>40000</v>
      </c>
      <c r="T61" s="283"/>
      <c r="U61" s="28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row>
    <row r="62" spans="1:45" x14ac:dyDescent="0.25">
      <c r="A62" s="472"/>
      <c r="B62" s="478"/>
      <c r="C62" s="462" t="s">
        <v>819</v>
      </c>
      <c r="D62" s="465" t="s">
        <v>222</v>
      </c>
      <c r="E62" s="270" t="s">
        <v>2</v>
      </c>
      <c r="F62" s="270" t="s">
        <v>78</v>
      </c>
      <c r="G62" s="270" t="s">
        <v>102</v>
      </c>
      <c r="H62" s="270" t="s">
        <v>80</v>
      </c>
      <c r="I62" s="270" t="s">
        <v>223</v>
      </c>
      <c r="J62" s="272">
        <v>20000</v>
      </c>
      <c r="K62" s="272">
        <v>0</v>
      </c>
      <c r="L62" s="272">
        <v>0</v>
      </c>
      <c r="M62" s="272">
        <v>0</v>
      </c>
      <c r="N62" s="272">
        <v>0</v>
      </c>
      <c r="O62" s="272">
        <v>0</v>
      </c>
      <c r="P62" s="273">
        <f t="shared" si="24"/>
        <v>20000</v>
      </c>
      <c r="Q62" s="53"/>
      <c r="R62" s="273">
        <v>40000</v>
      </c>
      <c r="S62" s="273">
        <f>+P62</f>
        <v>20000</v>
      </c>
      <c r="T62" s="273"/>
      <c r="U62" s="27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row>
    <row r="63" spans="1:45" x14ac:dyDescent="0.25">
      <c r="A63" s="472"/>
      <c r="B63" s="478"/>
      <c r="C63" s="463"/>
      <c r="D63" s="466"/>
      <c r="E63" s="267" t="s">
        <v>2</v>
      </c>
      <c r="F63" s="267" t="s">
        <v>78</v>
      </c>
      <c r="G63" s="267" t="s">
        <v>102</v>
      </c>
      <c r="H63" s="267" t="s">
        <v>80</v>
      </c>
      <c r="I63" s="319" t="s">
        <v>224</v>
      </c>
      <c r="J63" s="320">
        <v>20000</v>
      </c>
      <c r="K63" s="320"/>
      <c r="L63" s="320"/>
      <c r="M63" s="320"/>
      <c r="N63" s="320"/>
      <c r="O63" s="320"/>
      <c r="P63" s="275">
        <f t="shared" si="24"/>
        <v>20000</v>
      </c>
      <c r="Q63" s="53"/>
      <c r="R63" s="277"/>
      <c r="S63" s="277"/>
      <c r="T63" s="277"/>
      <c r="U63" s="277"/>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row>
    <row r="64" spans="1:45" ht="30" x14ac:dyDescent="0.25">
      <c r="A64" s="472"/>
      <c r="B64" s="478"/>
      <c r="C64" s="463"/>
      <c r="D64" s="112" t="s">
        <v>225</v>
      </c>
      <c r="E64" s="267" t="s">
        <v>2</v>
      </c>
      <c r="F64" s="267" t="s">
        <v>78</v>
      </c>
      <c r="G64" s="267" t="s">
        <v>102</v>
      </c>
      <c r="H64" s="267" t="s">
        <v>80</v>
      </c>
      <c r="I64" s="267" t="s">
        <v>226</v>
      </c>
      <c r="J64" s="274">
        <v>80000</v>
      </c>
      <c r="K64" s="274">
        <v>0</v>
      </c>
      <c r="L64" s="274">
        <v>0</v>
      </c>
      <c r="M64" s="274">
        <v>0</v>
      </c>
      <c r="N64" s="274">
        <v>0</v>
      </c>
      <c r="O64" s="274">
        <v>0</v>
      </c>
      <c r="P64" s="275">
        <f t="shared" si="24"/>
        <v>80000</v>
      </c>
      <c r="Q64" s="53"/>
      <c r="R64" s="275">
        <v>80000</v>
      </c>
      <c r="S64" s="275">
        <f>+P64</f>
        <v>80000</v>
      </c>
      <c r="T64" s="275"/>
      <c r="U64" s="275"/>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row>
    <row r="65" spans="1:45" ht="42" customHeight="1" thickBot="1" x14ac:dyDescent="0.4">
      <c r="A65" s="472"/>
      <c r="B65" s="478"/>
      <c r="C65" s="463"/>
      <c r="D65" s="321" t="s">
        <v>227</v>
      </c>
      <c r="E65" s="281" t="s">
        <v>2</v>
      </c>
      <c r="F65" s="281" t="s">
        <v>78</v>
      </c>
      <c r="G65" s="281" t="s">
        <v>95</v>
      </c>
      <c r="H65" s="281" t="s">
        <v>80</v>
      </c>
      <c r="I65" s="281" t="s">
        <v>228</v>
      </c>
      <c r="J65" s="282">
        <f>2500*4</f>
        <v>10000</v>
      </c>
      <c r="K65" s="282">
        <f>2500*4</f>
        <v>10000</v>
      </c>
      <c r="L65" s="282">
        <v>0</v>
      </c>
      <c r="M65" s="282">
        <v>0</v>
      </c>
      <c r="N65" s="282">
        <v>0</v>
      </c>
      <c r="O65" s="282">
        <v>0</v>
      </c>
      <c r="P65" s="283">
        <f>SUM(J65:O65)</f>
        <v>20000</v>
      </c>
      <c r="Q65" s="322" t="s">
        <v>157</v>
      </c>
      <c r="R65" s="306">
        <v>18100</v>
      </c>
      <c r="S65" s="306">
        <f>+P65</f>
        <v>20000</v>
      </c>
      <c r="T65" s="306"/>
      <c r="U65" s="306"/>
      <c r="V65" s="307"/>
      <c r="W65" s="53"/>
      <c r="X65" s="53"/>
      <c r="Y65" s="53"/>
      <c r="Z65" s="53"/>
      <c r="AA65" s="53"/>
      <c r="AB65" s="53"/>
      <c r="AC65" s="53"/>
      <c r="AD65" s="53"/>
      <c r="AE65" s="53"/>
      <c r="AF65" s="53"/>
      <c r="AG65" s="53"/>
      <c r="AH65" s="53"/>
      <c r="AI65" s="53"/>
      <c r="AJ65" s="53"/>
      <c r="AK65" s="53"/>
      <c r="AL65" s="53"/>
      <c r="AM65" s="53"/>
      <c r="AN65" s="53"/>
      <c r="AO65" s="53"/>
      <c r="AP65" s="53"/>
      <c r="AQ65" s="53"/>
      <c r="AR65" s="53"/>
      <c r="AS65" s="53"/>
    </row>
    <row r="66" spans="1:45" x14ac:dyDescent="0.25">
      <c r="A66" s="472"/>
      <c r="B66" s="478"/>
      <c r="C66" s="449" t="s">
        <v>229</v>
      </c>
      <c r="D66" s="271" t="s">
        <v>230</v>
      </c>
      <c r="E66" s="270" t="s">
        <v>3</v>
      </c>
      <c r="F66" s="270" t="s">
        <v>3</v>
      </c>
      <c r="G66" s="270" t="s">
        <v>174</v>
      </c>
      <c r="H66" s="270" t="s">
        <v>80</v>
      </c>
      <c r="I66" s="251" t="s">
        <v>231</v>
      </c>
      <c r="J66" s="272">
        <f>Output2.2!M89</f>
        <v>0</v>
      </c>
      <c r="K66" s="272">
        <f>Output2.2!N89</f>
        <v>235000</v>
      </c>
      <c r="L66" s="272">
        <f>Output2.2!O89</f>
        <v>970000</v>
      </c>
      <c r="M66" s="272">
        <f>Output2.2!P89</f>
        <v>970000</v>
      </c>
      <c r="N66" s="272">
        <f>Output2.2!Q89</f>
        <v>735000</v>
      </c>
      <c r="O66" s="272">
        <f>Output2.2!R89</f>
        <v>0</v>
      </c>
      <c r="P66" s="273">
        <f>SUM(J66:O66)</f>
        <v>2910000</v>
      </c>
      <c r="Q66" s="53"/>
      <c r="R66" s="273">
        <v>2910000</v>
      </c>
      <c r="S66" s="273"/>
      <c r="T66" s="273">
        <f>+P66</f>
        <v>2910000</v>
      </c>
      <c r="U66" s="27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row>
    <row r="67" spans="1:45" ht="30" x14ac:dyDescent="0.25">
      <c r="A67" s="472"/>
      <c r="B67" s="478"/>
      <c r="C67" s="450"/>
      <c r="D67" s="112" t="s">
        <v>820</v>
      </c>
      <c r="E67" s="267" t="s">
        <v>2</v>
      </c>
      <c r="F67" s="267" t="s">
        <v>78</v>
      </c>
      <c r="G67" s="267" t="s">
        <v>102</v>
      </c>
      <c r="H67" s="267" t="s">
        <v>80</v>
      </c>
      <c r="I67" s="444" t="s">
        <v>232</v>
      </c>
      <c r="J67" s="274">
        <f>SUM(Output2.2!M6:M13,Output2.2!M20:M27)</f>
        <v>0</v>
      </c>
      <c r="K67" s="274">
        <f>SUM(Output2.2!N6:N13,Output2.2!N20:N27)</f>
        <v>114150</v>
      </c>
      <c r="L67" s="274">
        <f>SUM(Output2.2!O6:O13,Output2.2!O20:O27)</f>
        <v>228300</v>
      </c>
      <c r="M67" s="274">
        <f>SUM(Output2.2!P6:P13,Output2.2!P20:P27)</f>
        <v>228300</v>
      </c>
      <c r="N67" s="274">
        <f>SUM(Output2.2!Q6:Q13,Output2.2!Q20:Q27)</f>
        <v>114150</v>
      </c>
      <c r="O67" s="274">
        <f>SUM(Output2.2!R6:R13,Output2.2!R20:R27)</f>
        <v>0</v>
      </c>
      <c r="P67" s="275">
        <f>SUM(J67:O67)</f>
        <v>684900</v>
      </c>
      <c r="Q67" s="53"/>
      <c r="R67" s="275">
        <v>684900</v>
      </c>
      <c r="S67" s="275">
        <f>+P67</f>
        <v>684900</v>
      </c>
      <c r="T67" s="275"/>
      <c r="U67" s="275"/>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row>
    <row r="68" spans="1:45" ht="60.75" thickBot="1" x14ac:dyDescent="0.3">
      <c r="A68" s="472"/>
      <c r="B68" s="478"/>
      <c r="C68" s="454"/>
      <c r="D68" s="151" t="s">
        <v>747</v>
      </c>
      <c r="E68" s="281" t="s">
        <v>2</v>
      </c>
      <c r="F68" s="281" t="s">
        <v>78</v>
      </c>
      <c r="G68" s="281" t="s">
        <v>95</v>
      </c>
      <c r="H68" s="281" t="s">
        <v>80</v>
      </c>
      <c r="I68" s="445"/>
      <c r="J68" s="282">
        <f>SUM(Output2.2!M15:M16,Output2.2!M29:M30)</f>
        <v>0</v>
      </c>
      <c r="K68" s="282">
        <f>SUM(Output2.2!N15:N16,Output2.2!N29:N30)</f>
        <v>20000</v>
      </c>
      <c r="L68" s="282">
        <v>35000</v>
      </c>
      <c r="M68" s="282">
        <v>35000</v>
      </c>
      <c r="N68" s="282">
        <f>SUM(Output2.2!Q15:Q16,Output2.2!Q29:Q30)</f>
        <v>20000</v>
      </c>
      <c r="O68" s="282">
        <f>SUM(Output2.2!R15:R16,Output2.2!R29:R30)</f>
        <v>0</v>
      </c>
      <c r="P68" s="283">
        <f t="shared" si="24"/>
        <v>110000</v>
      </c>
      <c r="Q68" s="53"/>
      <c r="R68" s="283">
        <v>120000</v>
      </c>
      <c r="S68" s="283">
        <f>+P68</f>
        <v>110000</v>
      </c>
      <c r="T68" s="283"/>
      <c r="U68" s="28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row>
    <row r="69" spans="1:45" ht="41.45" customHeight="1" x14ac:dyDescent="0.25">
      <c r="A69" s="472"/>
      <c r="B69" s="478"/>
      <c r="C69" s="449" t="s">
        <v>233</v>
      </c>
      <c r="D69" s="271" t="s">
        <v>234</v>
      </c>
      <c r="E69" s="270" t="s">
        <v>3</v>
      </c>
      <c r="F69" s="270" t="s">
        <v>3</v>
      </c>
      <c r="G69" s="270" t="s">
        <v>174</v>
      </c>
      <c r="H69" s="270" t="s">
        <v>80</v>
      </c>
      <c r="I69" s="251" t="s">
        <v>235</v>
      </c>
      <c r="J69" s="272">
        <f>Output2.2!M91</f>
        <v>322300</v>
      </c>
      <c r="K69" s="272">
        <f>Output2.2!N91</f>
        <v>966900</v>
      </c>
      <c r="L69" s="272">
        <f>Output2.2!O91</f>
        <v>644600</v>
      </c>
      <c r="M69" s="272">
        <f>Output2.2!P91</f>
        <v>0</v>
      </c>
      <c r="N69" s="272">
        <f>Output2.2!Q91</f>
        <v>0</v>
      </c>
      <c r="O69" s="272">
        <f>Output2.2!R91</f>
        <v>0</v>
      </c>
      <c r="P69" s="273">
        <f>SUM(J69:O69)</f>
        <v>1933800</v>
      </c>
      <c r="Q69" s="53"/>
      <c r="R69" s="273">
        <v>1933800</v>
      </c>
      <c r="S69" s="273"/>
      <c r="T69" s="273">
        <f>+P69</f>
        <v>1933800</v>
      </c>
      <c r="U69" s="27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row>
    <row r="70" spans="1:45" ht="60" x14ac:dyDescent="0.25">
      <c r="A70" s="472"/>
      <c r="B70" s="478"/>
      <c r="C70" s="450"/>
      <c r="D70" s="388" t="s">
        <v>821</v>
      </c>
      <c r="E70" s="267" t="s">
        <v>2</v>
      </c>
      <c r="F70" s="267" t="s">
        <v>78</v>
      </c>
      <c r="G70" s="267" t="s">
        <v>174</v>
      </c>
      <c r="H70" s="267" t="s">
        <v>80</v>
      </c>
      <c r="I70" s="444" t="s">
        <v>236</v>
      </c>
      <c r="J70" s="274">
        <f>Output2.2!M35</f>
        <v>37500</v>
      </c>
      <c r="K70" s="274">
        <f>Output2.2!N35</f>
        <v>112500</v>
      </c>
      <c r="L70" s="274">
        <f>Output2.2!O35</f>
        <v>75000</v>
      </c>
      <c r="M70" s="274">
        <f>Output2.2!P35</f>
        <v>0</v>
      </c>
      <c r="N70" s="274">
        <f>Output2.2!Q35</f>
        <v>0</v>
      </c>
      <c r="O70" s="274">
        <f>Output2.2!R35</f>
        <v>0</v>
      </c>
      <c r="P70" s="275">
        <f t="shared" si="24"/>
        <v>225000</v>
      </c>
      <c r="Q70" s="53"/>
      <c r="R70" s="275">
        <v>225000</v>
      </c>
      <c r="S70" s="275">
        <f t="shared" ref="S70:S77" si="25">+P70</f>
        <v>225000</v>
      </c>
      <c r="T70" s="275"/>
      <c r="U70" s="275"/>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row>
    <row r="71" spans="1:45" ht="30" x14ac:dyDescent="0.25">
      <c r="A71" s="472"/>
      <c r="B71" s="478"/>
      <c r="C71" s="450"/>
      <c r="D71" s="112" t="s">
        <v>737</v>
      </c>
      <c r="E71" s="267" t="s">
        <v>2</v>
      </c>
      <c r="F71" s="267" t="s">
        <v>78</v>
      </c>
      <c r="G71" s="267" t="s">
        <v>102</v>
      </c>
      <c r="H71" s="267" t="s">
        <v>80</v>
      </c>
      <c r="I71" s="444"/>
      <c r="J71" s="274">
        <f>SUM(Output2.2!M37:M39)</f>
        <v>135350</v>
      </c>
      <c r="K71" s="274">
        <f>SUM(Output2.2!N37:N39)</f>
        <v>406050</v>
      </c>
      <c r="L71" s="274">
        <f>SUM(Output2.2!O37:O39)</f>
        <v>270700</v>
      </c>
      <c r="M71" s="274">
        <f>SUM(Output2.2!P37:P39)</f>
        <v>0</v>
      </c>
      <c r="N71" s="274">
        <f>SUM(Output2.2!Q37:Q39)</f>
        <v>0</v>
      </c>
      <c r="O71" s="274">
        <f>SUM(Output2.2!R37:R39)</f>
        <v>0</v>
      </c>
      <c r="P71" s="275">
        <f t="shared" si="24"/>
        <v>812100</v>
      </c>
      <c r="Q71" s="53"/>
      <c r="R71" s="275">
        <v>812100</v>
      </c>
      <c r="S71" s="275">
        <f t="shared" si="25"/>
        <v>812100</v>
      </c>
      <c r="T71" s="275"/>
      <c r="U71" s="275"/>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row>
    <row r="72" spans="1:45" ht="45.75" thickBot="1" x14ac:dyDescent="0.3">
      <c r="A72" s="472"/>
      <c r="B72" s="478"/>
      <c r="C72" s="454"/>
      <c r="D72" s="151" t="s">
        <v>738</v>
      </c>
      <c r="E72" s="281" t="s">
        <v>2</v>
      </c>
      <c r="F72" s="281" t="s">
        <v>78</v>
      </c>
      <c r="G72" s="281" t="s">
        <v>95</v>
      </c>
      <c r="H72" s="281" t="s">
        <v>80</v>
      </c>
      <c r="I72" s="445"/>
      <c r="J72" s="282">
        <f>SUM(Output2.2!M41)</f>
        <v>10000</v>
      </c>
      <c r="K72" s="282">
        <v>25000</v>
      </c>
      <c r="L72" s="282">
        <v>15000</v>
      </c>
      <c r="M72" s="282">
        <f>SUM(Output2.2!P41)</f>
        <v>0</v>
      </c>
      <c r="N72" s="282">
        <f>SUM(Output2.2!Q41)</f>
        <v>0</v>
      </c>
      <c r="O72" s="282">
        <f>SUM(Output2.2!R41)</f>
        <v>0</v>
      </c>
      <c r="P72" s="283">
        <f t="shared" si="24"/>
        <v>50000</v>
      </c>
      <c r="Q72" s="53"/>
      <c r="R72" s="283">
        <v>60000</v>
      </c>
      <c r="S72" s="283">
        <f t="shared" si="25"/>
        <v>50000</v>
      </c>
      <c r="T72" s="283"/>
      <c r="U72" s="28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row>
    <row r="73" spans="1:45" ht="45" x14ac:dyDescent="0.25">
      <c r="A73" s="472"/>
      <c r="B73" s="478"/>
      <c r="C73" s="462" t="s">
        <v>237</v>
      </c>
      <c r="D73" s="271" t="s">
        <v>238</v>
      </c>
      <c r="E73" s="270" t="s">
        <v>2</v>
      </c>
      <c r="F73" s="270" t="s">
        <v>78</v>
      </c>
      <c r="G73" s="270" t="s">
        <v>174</v>
      </c>
      <c r="H73" s="323" t="s">
        <v>80</v>
      </c>
      <c r="I73" s="446" t="s">
        <v>239</v>
      </c>
      <c r="J73" s="272">
        <f>SUM(Output2.2!M46:M52,Output2.2!M62:M63)</f>
        <v>8800</v>
      </c>
      <c r="K73" s="272">
        <f>SUM(Output2.2!N46:N52,Output2.2!N62:N63)</f>
        <v>74700</v>
      </c>
      <c r="L73" s="272">
        <f>SUM(Output2.2!O46:O52,Output2.2!O62:O63)</f>
        <v>103250</v>
      </c>
      <c r="M73" s="272">
        <f>SUM(Output2.2!P46:P52,Output2.2!P62:P63)</f>
        <v>98850</v>
      </c>
      <c r="N73" s="272">
        <f>SUM(Output2.2!Q46:Q52,Output2.2!Q62:Q63)</f>
        <v>65900</v>
      </c>
      <c r="O73" s="272">
        <f>SUM(Output2.2!R46:R52,Output2.2!R62:R63)</f>
        <v>0</v>
      </c>
      <c r="P73" s="273">
        <f t="shared" si="24"/>
        <v>351500</v>
      </c>
      <c r="Q73" s="53"/>
      <c r="R73" s="273">
        <v>351500</v>
      </c>
      <c r="S73" s="273">
        <f t="shared" si="25"/>
        <v>351500</v>
      </c>
      <c r="T73" s="273"/>
      <c r="U73" s="27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row>
    <row r="74" spans="1:45" ht="16.899999999999999" customHeight="1" x14ac:dyDescent="0.25">
      <c r="A74" s="472"/>
      <c r="B74" s="478"/>
      <c r="C74" s="463"/>
      <c r="D74" s="411" t="s">
        <v>739</v>
      </c>
      <c r="E74" s="267" t="s">
        <v>2</v>
      </c>
      <c r="F74" s="267" t="s">
        <v>78</v>
      </c>
      <c r="G74" s="267" t="s">
        <v>102</v>
      </c>
      <c r="H74" s="267" t="s">
        <v>80</v>
      </c>
      <c r="I74" s="447"/>
      <c r="J74" s="320">
        <f>SUM(Output2.2!M54:M56,Output2.2!M65:M67)</f>
        <v>9560</v>
      </c>
      <c r="K74" s="320">
        <f>SUM(Output2.2!N54:N56,Output2.2!N65:N67)</f>
        <v>33460</v>
      </c>
      <c r="L74" s="320">
        <f>SUM(Output2.2!O54:O56,Output2.2!O65:O67)</f>
        <v>40630</v>
      </c>
      <c r="M74" s="320">
        <f>SUM(Output2.2!P54:P56,Output2.2!P65:P67)</f>
        <v>35850</v>
      </c>
      <c r="N74" s="320">
        <f>SUM(Output2.2!Q54:Q56,Output2.2!Q65:Q67)</f>
        <v>23900</v>
      </c>
      <c r="O74" s="320">
        <f>SUM(Output2.2!R54:R56,Output2.2!R65:R67)</f>
        <v>0</v>
      </c>
      <c r="P74" s="277">
        <f t="shared" si="24"/>
        <v>143400</v>
      </c>
      <c r="Q74" s="53"/>
      <c r="R74" s="277">
        <v>143400</v>
      </c>
      <c r="S74" s="277">
        <f t="shared" si="25"/>
        <v>143400</v>
      </c>
      <c r="T74" s="277"/>
      <c r="U74" s="277"/>
      <c r="V74" s="53"/>
      <c r="W74" s="53"/>
      <c r="X74" s="53"/>
      <c r="Y74" s="53"/>
      <c r="Z74" s="53"/>
      <c r="AA74" s="53"/>
      <c r="AB74" s="53"/>
      <c r="AC74" s="53"/>
      <c r="AD74" s="53"/>
      <c r="AE74" s="53"/>
      <c r="AF74" s="53"/>
      <c r="AG74" s="53"/>
      <c r="AH74" s="53"/>
      <c r="AI74" s="53"/>
      <c r="AJ74" s="53"/>
      <c r="AK74" s="53"/>
      <c r="AL74" s="53"/>
      <c r="AM74" s="53"/>
      <c r="AN74" s="53"/>
      <c r="AO74" s="53"/>
      <c r="AP74" s="53"/>
      <c r="AQ74" s="53"/>
      <c r="AR74" s="53"/>
      <c r="AS74" s="53"/>
    </row>
    <row r="75" spans="1:45" ht="45.75" thickBot="1" x14ac:dyDescent="0.3">
      <c r="A75" s="472"/>
      <c r="B75" s="478"/>
      <c r="C75" s="481"/>
      <c r="D75" s="151" t="s">
        <v>240</v>
      </c>
      <c r="E75" s="281" t="s">
        <v>2</v>
      </c>
      <c r="F75" s="281" t="s">
        <v>78</v>
      </c>
      <c r="G75" s="281" t="s">
        <v>95</v>
      </c>
      <c r="H75" s="324" t="s">
        <v>80</v>
      </c>
      <c r="I75" s="480"/>
      <c r="J75" s="325">
        <f>SUM(Output2.2!M58,Output2.2!M69)</f>
        <v>4000</v>
      </c>
      <c r="K75" s="325">
        <f>SUM(Output2.2!N58,Output2.2!N69)</f>
        <v>8000</v>
      </c>
      <c r="L75" s="325">
        <f>SUM(Output2.2!O58,Output2.2!O69)</f>
        <v>8000</v>
      </c>
      <c r="M75" s="325">
        <f>SUM(Output2.2!P58,Output2.2!P69)</f>
        <v>6000</v>
      </c>
      <c r="N75" s="325">
        <f>SUM(Output2.2!Q58,Output2.2!Q69)</f>
        <v>4000</v>
      </c>
      <c r="O75" s="325">
        <f>SUM(Output2.2!R58,Output2.2!R69)</f>
        <v>0</v>
      </c>
      <c r="P75" s="284">
        <f t="shared" si="24"/>
        <v>30000</v>
      </c>
      <c r="Q75" s="53"/>
      <c r="R75" s="284">
        <v>30000</v>
      </c>
      <c r="S75" s="284">
        <f t="shared" si="25"/>
        <v>30000</v>
      </c>
      <c r="T75" s="284"/>
      <c r="U75" s="284"/>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row>
    <row r="76" spans="1:45" ht="58.15" customHeight="1" x14ac:dyDescent="0.25">
      <c r="A76" s="472"/>
      <c r="B76" s="478"/>
      <c r="C76" s="462" t="s">
        <v>241</v>
      </c>
      <c r="D76" s="271" t="s">
        <v>242</v>
      </c>
      <c r="E76" s="270" t="s">
        <v>2</v>
      </c>
      <c r="F76" s="270" t="s">
        <v>78</v>
      </c>
      <c r="G76" s="270" t="s">
        <v>102</v>
      </c>
      <c r="H76" s="270" t="s">
        <v>80</v>
      </c>
      <c r="I76" s="446" t="s">
        <v>243</v>
      </c>
      <c r="J76" s="272">
        <f>SUM(Output2.2!M74:M75,Output2.2!M81:M82)</f>
        <v>39000</v>
      </c>
      <c r="K76" s="272">
        <f>SUM(Output2.2!N74:N75,Output2.2!N81:N82)</f>
        <v>78000</v>
      </c>
      <c r="L76" s="272">
        <f>SUM(Output2.2!O74:O75,Output2.2!O81:O82)</f>
        <v>78000</v>
      </c>
      <c r="M76" s="272">
        <f>SUM(Output2.2!P74:P75,Output2.2!P81:P82)</f>
        <v>20000</v>
      </c>
      <c r="N76" s="272">
        <f>SUM(Output2.2!Q74:Q75,Output2.2!Q81:Q82)</f>
        <v>0</v>
      </c>
      <c r="O76" s="272">
        <f>SUM(Output2.2!R74:R75,Output2.2!R81:R82)</f>
        <v>0</v>
      </c>
      <c r="P76" s="273">
        <f t="shared" si="24"/>
        <v>215000</v>
      </c>
      <c r="Q76" s="53"/>
      <c r="R76" s="273">
        <v>215000</v>
      </c>
      <c r="S76" s="273">
        <f t="shared" si="25"/>
        <v>215000</v>
      </c>
      <c r="T76" s="273"/>
      <c r="U76" s="27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row>
    <row r="77" spans="1:45" ht="45.75" thickBot="1" x14ac:dyDescent="0.3">
      <c r="A77" s="472"/>
      <c r="B77" s="478"/>
      <c r="C77" s="481"/>
      <c r="D77" s="151" t="s">
        <v>244</v>
      </c>
      <c r="E77" s="281" t="s">
        <v>2</v>
      </c>
      <c r="F77" s="281" t="s">
        <v>78</v>
      </c>
      <c r="G77" s="281" t="s">
        <v>95</v>
      </c>
      <c r="H77" s="281" t="s">
        <v>80</v>
      </c>
      <c r="I77" s="480"/>
      <c r="J77" s="325">
        <f>SUM(Output2.2!M77,Output2.2!M84)</f>
        <v>15750</v>
      </c>
      <c r="K77" s="325">
        <f>SUM(Output2.2!N77,Output2.2!N84)</f>
        <v>31500</v>
      </c>
      <c r="L77" s="325">
        <f>SUM(Output2.2!O77,Output2.2!O84)</f>
        <v>31500</v>
      </c>
      <c r="M77" s="325">
        <f>SUM(Output2.2!P77,Output2.2!P84)</f>
        <v>11250</v>
      </c>
      <c r="N77" s="325">
        <f>SUM(Output2.2!Q77,Output2.2!Q84)</f>
        <v>0</v>
      </c>
      <c r="O77" s="325">
        <f>SUM(Output2.2!R77,Output2.2!R84)</f>
        <v>0</v>
      </c>
      <c r="P77" s="284">
        <f t="shared" si="24"/>
        <v>90000</v>
      </c>
      <c r="Q77" s="53"/>
      <c r="R77" s="284">
        <v>90000</v>
      </c>
      <c r="S77" s="284">
        <f t="shared" si="25"/>
        <v>90000</v>
      </c>
      <c r="T77" s="284"/>
      <c r="U77" s="284"/>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row>
    <row r="78" spans="1:45" ht="30.75" thickBot="1" x14ac:dyDescent="0.3">
      <c r="A78" s="472"/>
      <c r="B78" s="478"/>
      <c r="C78" s="455" t="s">
        <v>245</v>
      </c>
      <c r="D78" s="295" t="s">
        <v>246</v>
      </c>
      <c r="E78" s="270" t="s">
        <v>4</v>
      </c>
      <c r="F78" s="270" t="s">
        <v>4</v>
      </c>
      <c r="G78" s="270" t="s">
        <v>153</v>
      </c>
      <c r="H78" s="270" t="s">
        <v>29</v>
      </c>
      <c r="I78" s="270" t="s">
        <v>247</v>
      </c>
      <c r="J78" s="272">
        <v>100000</v>
      </c>
      <c r="K78" s="272">
        <v>100000</v>
      </c>
      <c r="L78" s="272">
        <v>100000</v>
      </c>
      <c r="M78" s="272">
        <v>100000</v>
      </c>
      <c r="N78" s="272">
        <v>100000</v>
      </c>
      <c r="O78" s="272">
        <v>100000</v>
      </c>
      <c r="P78" s="273">
        <f t="shared" ref="P78:P83" si="26">SUM(J78:O78)</f>
        <v>600000</v>
      </c>
      <c r="Q78" s="53"/>
      <c r="R78" s="284">
        <v>600000</v>
      </c>
      <c r="S78" s="284"/>
      <c r="T78" s="284"/>
      <c r="U78" s="284">
        <f>+P78</f>
        <v>600000</v>
      </c>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row>
    <row r="79" spans="1:45" ht="61.5" thickBot="1" x14ac:dyDescent="0.35">
      <c r="A79" s="472"/>
      <c r="B79" s="478"/>
      <c r="C79" s="456"/>
      <c r="D79" s="112" t="s">
        <v>248</v>
      </c>
      <c r="E79" s="267" t="s">
        <v>2</v>
      </c>
      <c r="F79" s="267" t="s">
        <v>78</v>
      </c>
      <c r="G79" s="267" t="s">
        <v>153</v>
      </c>
      <c r="H79" s="267" t="s">
        <v>80</v>
      </c>
      <c r="I79" s="267" t="s">
        <v>249</v>
      </c>
      <c r="J79" s="320">
        <f t="shared" ref="J79:O79" si="27">1700*12</f>
        <v>20400</v>
      </c>
      <c r="K79" s="320">
        <f t="shared" si="27"/>
        <v>20400</v>
      </c>
      <c r="L79" s="320">
        <f t="shared" si="27"/>
        <v>20400</v>
      </c>
      <c r="M79" s="320">
        <f t="shared" si="27"/>
        <v>20400</v>
      </c>
      <c r="N79" s="320">
        <f t="shared" si="27"/>
        <v>20400</v>
      </c>
      <c r="O79" s="320">
        <f t="shared" si="27"/>
        <v>20400</v>
      </c>
      <c r="P79" s="277">
        <f>SUM(J79:O79)</f>
        <v>122400</v>
      </c>
      <c r="Q79" s="296" t="s">
        <v>157</v>
      </c>
      <c r="R79" s="326">
        <v>122400</v>
      </c>
      <c r="S79" s="326">
        <f>+P79</f>
        <v>122400</v>
      </c>
      <c r="T79" s="326"/>
      <c r="U79" s="326"/>
      <c r="V79" s="280"/>
      <c r="W79" s="280"/>
      <c r="X79" s="296" t="s">
        <v>158</v>
      </c>
      <c r="Y79" s="53"/>
      <c r="Z79" s="53"/>
      <c r="AA79" s="53"/>
      <c r="AB79" s="53"/>
      <c r="AC79" s="53"/>
      <c r="AD79" s="53"/>
      <c r="AE79" s="53"/>
      <c r="AF79" s="53"/>
      <c r="AG79" s="53"/>
      <c r="AH79" s="53"/>
      <c r="AI79" s="53"/>
      <c r="AJ79" s="53"/>
      <c r="AK79" s="53"/>
      <c r="AL79" s="53"/>
      <c r="AM79" s="53"/>
      <c r="AN79" s="53"/>
      <c r="AO79" s="53"/>
      <c r="AP79" s="53"/>
      <c r="AQ79" s="53"/>
      <c r="AR79" s="53"/>
      <c r="AS79" s="53"/>
    </row>
    <row r="80" spans="1:45" ht="60.75" thickBot="1" x14ac:dyDescent="0.3">
      <c r="A80" s="472"/>
      <c r="B80" s="478"/>
      <c r="C80" s="457"/>
      <c r="D80" s="151" t="s">
        <v>250</v>
      </c>
      <c r="E80" s="281" t="s">
        <v>2</v>
      </c>
      <c r="F80" s="281" t="s">
        <v>78</v>
      </c>
      <c r="G80" s="281" t="s">
        <v>83</v>
      </c>
      <c r="H80" s="281" t="s">
        <v>80</v>
      </c>
      <c r="I80" s="281" t="s">
        <v>251</v>
      </c>
      <c r="J80" s="325">
        <v>15000</v>
      </c>
      <c r="K80" s="325">
        <v>15000</v>
      </c>
      <c r="L80" s="325">
        <v>15000</v>
      </c>
      <c r="M80" s="325">
        <v>15000</v>
      </c>
      <c r="N80" s="325">
        <v>15000</v>
      </c>
      <c r="O80" s="325"/>
      <c r="P80" s="284">
        <f>SUM(J80:O80)</f>
        <v>75000</v>
      </c>
      <c r="Q80" s="53"/>
      <c r="R80" s="326"/>
      <c r="S80" s="326"/>
      <c r="T80" s="326"/>
      <c r="U80" s="326"/>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row>
    <row r="81" spans="1:50" ht="15.75" thickBot="1" x14ac:dyDescent="0.3">
      <c r="A81" s="472"/>
      <c r="B81" s="479"/>
      <c r="C81" s="285" t="s">
        <v>252</v>
      </c>
      <c r="D81" s="286"/>
      <c r="E81" s="287"/>
      <c r="F81" s="288"/>
      <c r="G81" s="289"/>
      <c r="H81" s="289"/>
      <c r="I81" s="287"/>
      <c r="J81" s="290">
        <f>SUM(J60:J80)</f>
        <v>912660</v>
      </c>
      <c r="K81" s="290">
        <f t="shared" ref="K81:O81" si="28">SUM(K60:K80)</f>
        <v>2275660</v>
      </c>
      <c r="L81" s="290">
        <f t="shared" si="28"/>
        <v>2635380</v>
      </c>
      <c r="M81" s="290">
        <f t="shared" si="28"/>
        <v>1540650</v>
      </c>
      <c r="N81" s="290">
        <f t="shared" si="28"/>
        <v>1098350</v>
      </c>
      <c r="O81" s="290">
        <f t="shared" si="28"/>
        <v>120400</v>
      </c>
      <c r="P81" s="291">
        <f>SUM(J81:O81)</f>
        <v>8583100</v>
      </c>
      <c r="Q81" s="292">
        <f>+P81/1000000</f>
        <v>8.5831</v>
      </c>
      <c r="R81" s="318">
        <v>8526200</v>
      </c>
      <c r="S81" s="318">
        <f>+SUM(S60:S79)</f>
        <v>3044300</v>
      </c>
      <c r="T81" s="318">
        <f>+SUM(T60:T79)</f>
        <v>4843800</v>
      </c>
      <c r="U81" s="318">
        <f>+SUM(U60:U79)</f>
        <v>600000</v>
      </c>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row>
    <row r="82" spans="1:50" ht="41.45" customHeight="1" thickBot="1" x14ac:dyDescent="0.3">
      <c r="A82" s="473"/>
      <c r="B82" s="298" t="s">
        <v>253</v>
      </c>
      <c r="C82" s="327"/>
      <c r="D82" s="300"/>
      <c r="E82" s="301"/>
      <c r="F82" s="301"/>
      <c r="G82" s="301"/>
      <c r="H82" s="301"/>
      <c r="I82" s="301"/>
      <c r="J82" s="302">
        <f t="shared" ref="J82:O82" si="29">SUM(J81,J59)</f>
        <v>1053060</v>
      </c>
      <c r="K82" s="302">
        <f t="shared" si="29"/>
        <v>3840760</v>
      </c>
      <c r="L82" s="302">
        <f t="shared" si="29"/>
        <v>8336680</v>
      </c>
      <c r="M82" s="302">
        <f t="shared" si="29"/>
        <v>2277950</v>
      </c>
      <c r="N82" s="302">
        <f t="shared" si="29"/>
        <v>1343750</v>
      </c>
      <c r="O82" s="302">
        <f t="shared" si="29"/>
        <v>145800</v>
      </c>
      <c r="P82" s="303">
        <f>SUM(J82:O82)</f>
        <v>16998000</v>
      </c>
      <c r="Q82" s="292">
        <f>+P82/1000000</f>
        <v>16.998000000000001</v>
      </c>
      <c r="R82" s="328">
        <v>16123600</v>
      </c>
      <c r="S82" s="303" t="e">
        <f>+S59+S81+#REF!</f>
        <v>#REF!</v>
      </c>
      <c r="T82" s="303" t="e">
        <f>+T59+T81+#REF!</f>
        <v>#REF!</v>
      </c>
      <c r="U82" s="303" t="e">
        <f>+U59+U81+#REF!</f>
        <v>#REF!</v>
      </c>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row>
    <row r="83" spans="1:50" ht="64.150000000000006" customHeight="1" x14ac:dyDescent="0.25">
      <c r="A83" s="471" t="s">
        <v>254</v>
      </c>
      <c r="B83" s="474" t="s">
        <v>255</v>
      </c>
      <c r="C83" s="462" t="s">
        <v>256</v>
      </c>
      <c r="D83" s="250" t="s">
        <v>257</v>
      </c>
      <c r="E83" s="270" t="s">
        <v>2</v>
      </c>
      <c r="F83" s="270" t="s">
        <v>78</v>
      </c>
      <c r="G83" s="270" t="s">
        <v>95</v>
      </c>
      <c r="H83" s="270" t="s">
        <v>80</v>
      </c>
      <c r="I83" s="270" t="s">
        <v>258</v>
      </c>
      <c r="J83" s="272">
        <v>20000</v>
      </c>
      <c r="K83" s="272"/>
      <c r="L83" s="272">
        <v>15000</v>
      </c>
      <c r="M83" s="272"/>
      <c r="N83" s="272">
        <v>15000</v>
      </c>
      <c r="O83" s="272"/>
      <c r="P83" s="273">
        <f t="shared" si="26"/>
        <v>50000</v>
      </c>
      <c r="Q83" s="53"/>
      <c r="R83" s="273">
        <v>75000</v>
      </c>
      <c r="S83" s="273">
        <f t="shared" ref="S83:S91" si="30">+P83</f>
        <v>50000</v>
      </c>
      <c r="T83" s="273"/>
      <c r="U83" s="27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row>
    <row r="84" spans="1:50" ht="34.9" customHeight="1" x14ac:dyDescent="0.25">
      <c r="A84" s="472"/>
      <c r="B84" s="475"/>
      <c r="C84" s="463"/>
      <c r="D84" s="459" t="s">
        <v>259</v>
      </c>
      <c r="E84" s="267" t="s">
        <v>2</v>
      </c>
      <c r="F84" s="267" t="s">
        <v>78</v>
      </c>
      <c r="G84" s="267" t="s">
        <v>166</v>
      </c>
      <c r="H84" s="267" t="s">
        <v>80</v>
      </c>
      <c r="I84" s="267" t="s">
        <v>260</v>
      </c>
      <c r="J84" s="274">
        <v>10000</v>
      </c>
      <c r="K84" s="274">
        <v>10000</v>
      </c>
      <c r="L84" s="274"/>
      <c r="M84" s="274"/>
      <c r="N84" s="274"/>
      <c r="O84" s="274"/>
      <c r="P84" s="275">
        <f t="shared" ref="P84:P122" si="31">SUM(J84:O84)</f>
        <v>20000</v>
      </c>
      <c r="Q84" s="53"/>
      <c r="R84" s="275">
        <v>50000</v>
      </c>
      <c r="S84" s="275">
        <f t="shared" si="30"/>
        <v>20000</v>
      </c>
      <c r="T84" s="275"/>
      <c r="U84" s="275"/>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row>
    <row r="85" spans="1:50" ht="40.15" customHeight="1" x14ac:dyDescent="0.25">
      <c r="A85" s="472"/>
      <c r="B85" s="475"/>
      <c r="C85" s="463"/>
      <c r="D85" s="459"/>
      <c r="E85" s="267" t="s">
        <v>2</v>
      </c>
      <c r="F85" s="267" t="s">
        <v>78</v>
      </c>
      <c r="G85" s="267" t="s">
        <v>102</v>
      </c>
      <c r="H85" s="267" t="s">
        <v>80</v>
      </c>
      <c r="I85" s="267" t="s">
        <v>261</v>
      </c>
      <c r="J85" s="274"/>
      <c r="K85" s="274">
        <v>20000</v>
      </c>
      <c r="L85" s="274">
        <v>20000</v>
      </c>
      <c r="M85" s="274"/>
      <c r="N85" s="274"/>
      <c r="O85" s="274"/>
      <c r="P85" s="275">
        <f>SUM(J85:O85)</f>
        <v>40000</v>
      </c>
      <c r="Q85" s="53"/>
      <c r="R85" s="275">
        <v>40000</v>
      </c>
      <c r="S85" s="275">
        <f t="shared" si="30"/>
        <v>40000</v>
      </c>
      <c r="T85" s="275"/>
      <c r="U85" s="275"/>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row>
    <row r="86" spans="1:50" ht="45" x14ac:dyDescent="0.25">
      <c r="A86" s="472"/>
      <c r="B86" s="475"/>
      <c r="C86" s="463"/>
      <c r="D86" s="265" t="s">
        <v>262</v>
      </c>
      <c r="E86" s="267" t="s">
        <v>2</v>
      </c>
      <c r="F86" s="267" t="s">
        <v>78</v>
      </c>
      <c r="G86" s="267" t="s">
        <v>95</v>
      </c>
      <c r="H86" s="267" t="s">
        <v>80</v>
      </c>
      <c r="I86" s="267" t="s">
        <v>263</v>
      </c>
      <c r="J86" s="274"/>
      <c r="K86" s="274"/>
      <c r="L86" s="274">
        <v>10000</v>
      </c>
      <c r="M86" s="274">
        <v>10000</v>
      </c>
      <c r="N86" s="274">
        <v>10000</v>
      </c>
      <c r="O86" s="274"/>
      <c r="P86" s="275">
        <f t="shared" si="31"/>
        <v>30000</v>
      </c>
      <c r="Q86" s="53"/>
      <c r="R86" s="275">
        <v>30000</v>
      </c>
      <c r="S86" s="275">
        <f t="shared" si="30"/>
        <v>30000</v>
      </c>
      <c r="T86" s="275"/>
      <c r="U86" s="275"/>
      <c r="V86" s="53"/>
      <c r="W86" s="53"/>
      <c r="X86" s="53"/>
      <c r="Y86" s="53"/>
      <c r="Z86" s="53"/>
      <c r="AA86" s="53"/>
      <c r="AB86" s="53"/>
      <c r="AC86" s="53"/>
      <c r="AD86" s="53"/>
      <c r="AE86" s="53"/>
      <c r="AF86" s="53"/>
      <c r="AG86" s="53"/>
      <c r="AH86" s="53"/>
      <c r="AI86" s="53"/>
      <c r="AJ86" s="53"/>
      <c r="AK86" s="53"/>
      <c r="AL86" s="53"/>
      <c r="AM86" s="53"/>
      <c r="AN86" s="53"/>
      <c r="AO86" s="53"/>
      <c r="AP86" s="53"/>
      <c r="AQ86" s="53"/>
      <c r="AR86" s="53"/>
      <c r="AS86" s="53"/>
      <c r="AT86" s="53"/>
      <c r="AU86" s="53"/>
      <c r="AV86" s="53"/>
      <c r="AW86" s="53"/>
      <c r="AX86" s="53"/>
    </row>
    <row r="87" spans="1:50" ht="28.15" customHeight="1" x14ac:dyDescent="0.25">
      <c r="A87" s="472"/>
      <c r="B87" s="475"/>
      <c r="C87" s="463"/>
      <c r="D87" s="459" t="s">
        <v>264</v>
      </c>
      <c r="E87" s="267" t="s">
        <v>2</v>
      </c>
      <c r="F87" s="267" t="s">
        <v>78</v>
      </c>
      <c r="G87" s="267" t="s">
        <v>79</v>
      </c>
      <c r="H87" s="267" t="s">
        <v>80</v>
      </c>
      <c r="I87" s="267" t="s">
        <v>265</v>
      </c>
      <c r="J87" s="274">
        <v>10000</v>
      </c>
      <c r="K87" s="274">
        <f>+J87</f>
        <v>10000</v>
      </c>
      <c r="L87" s="274">
        <f>+K87</f>
        <v>10000</v>
      </c>
      <c r="M87" s="274">
        <f>+L87</f>
        <v>10000</v>
      </c>
      <c r="N87" s="274"/>
      <c r="O87" s="274"/>
      <c r="P87" s="275">
        <f t="shared" si="31"/>
        <v>40000</v>
      </c>
      <c r="Q87" s="53"/>
      <c r="R87" s="275">
        <v>60000</v>
      </c>
      <c r="S87" s="275">
        <f t="shared" si="30"/>
        <v>40000</v>
      </c>
      <c r="T87" s="275"/>
      <c r="U87" s="275"/>
      <c r="V87" s="53"/>
      <c r="W87" s="53"/>
      <c r="X87" s="53"/>
      <c r="Y87" s="53"/>
      <c r="Z87" s="53"/>
      <c r="AA87" s="53"/>
      <c r="AB87" s="53"/>
      <c r="AC87" s="53"/>
      <c r="AD87" s="53"/>
      <c r="AE87" s="53"/>
      <c r="AF87" s="53"/>
      <c r="AG87" s="53"/>
      <c r="AH87" s="53"/>
      <c r="AI87" s="53"/>
      <c r="AJ87" s="53"/>
      <c r="AK87" s="53"/>
      <c r="AL87" s="53"/>
      <c r="AM87" s="53"/>
      <c r="AN87" s="53"/>
      <c r="AO87" s="53"/>
      <c r="AP87" s="53"/>
      <c r="AQ87" s="53"/>
      <c r="AR87" s="53"/>
      <c r="AS87" s="53"/>
      <c r="AT87" s="53"/>
      <c r="AU87" s="53"/>
      <c r="AV87" s="53"/>
      <c r="AW87" s="53"/>
      <c r="AX87" s="53"/>
    </row>
    <row r="88" spans="1:50" ht="30" customHeight="1" thickBot="1" x14ac:dyDescent="0.3">
      <c r="A88" s="472"/>
      <c r="B88" s="475"/>
      <c r="C88" s="463"/>
      <c r="D88" s="459"/>
      <c r="E88" s="267" t="s">
        <v>2</v>
      </c>
      <c r="F88" s="267" t="s">
        <v>78</v>
      </c>
      <c r="G88" s="267" t="s">
        <v>83</v>
      </c>
      <c r="H88" s="267" t="s">
        <v>80</v>
      </c>
      <c r="I88" s="267" t="s">
        <v>266</v>
      </c>
      <c r="J88" s="274">
        <f>30*250</f>
        <v>7500</v>
      </c>
      <c r="K88" s="274">
        <f>30*250</f>
        <v>7500</v>
      </c>
      <c r="L88" s="274">
        <f>30*250</f>
        <v>7500</v>
      </c>
      <c r="M88" s="274">
        <f>30*250</f>
        <v>7500</v>
      </c>
      <c r="N88" s="274"/>
      <c r="O88" s="274"/>
      <c r="P88" s="275">
        <f t="shared" si="31"/>
        <v>30000</v>
      </c>
      <c r="Q88" s="53"/>
      <c r="R88" s="283">
        <v>30000</v>
      </c>
      <c r="S88" s="275">
        <f t="shared" si="30"/>
        <v>30000</v>
      </c>
      <c r="T88" s="275"/>
      <c r="U88" s="275"/>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53"/>
      <c r="AU88" s="53"/>
      <c r="AV88" s="53"/>
      <c r="AW88" s="53"/>
      <c r="AX88" s="53"/>
    </row>
    <row r="89" spans="1:50" ht="28.15" customHeight="1" x14ac:dyDescent="0.25">
      <c r="A89" s="472"/>
      <c r="B89" s="475"/>
      <c r="C89" s="463"/>
      <c r="D89" s="467" t="s">
        <v>267</v>
      </c>
      <c r="E89" s="267" t="s">
        <v>2</v>
      </c>
      <c r="F89" s="267" t="s">
        <v>78</v>
      </c>
      <c r="G89" s="267" t="s">
        <v>95</v>
      </c>
      <c r="H89" s="267"/>
      <c r="I89" s="267" t="s">
        <v>268</v>
      </c>
      <c r="J89" s="274">
        <v>2500</v>
      </c>
      <c r="K89" s="274">
        <v>2500</v>
      </c>
      <c r="L89" s="274">
        <v>2500</v>
      </c>
      <c r="M89" s="274">
        <v>2500</v>
      </c>
      <c r="N89" s="274"/>
      <c r="O89" s="274"/>
      <c r="P89" s="275">
        <f t="shared" si="31"/>
        <v>10000</v>
      </c>
      <c r="Q89" s="53"/>
      <c r="R89" s="294"/>
      <c r="S89" s="329">
        <f t="shared" si="30"/>
        <v>10000</v>
      </c>
      <c r="T89" s="329"/>
      <c r="U89" s="329"/>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3"/>
      <c r="AT89" s="53"/>
      <c r="AU89" s="53"/>
      <c r="AV89" s="53"/>
      <c r="AW89" s="53"/>
      <c r="AX89" s="53"/>
    </row>
    <row r="90" spans="1:50" ht="28.15" customHeight="1" x14ac:dyDescent="0.35">
      <c r="A90" s="472"/>
      <c r="B90" s="475"/>
      <c r="C90" s="463"/>
      <c r="D90" s="468"/>
      <c r="E90" s="267" t="s">
        <v>2</v>
      </c>
      <c r="F90" s="267" t="s">
        <v>78</v>
      </c>
      <c r="G90" s="267" t="s">
        <v>83</v>
      </c>
      <c r="H90" s="267" t="s">
        <v>80</v>
      </c>
      <c r="I90" s="330" t="s">
        <v>269</v>
      </c>
      <c r="J90" s="331">
        <v>2500</v>
      </c>
      <c r="K90" s="331">
        <v>2500</v>
      </c>
      <c r="L90" s="331">
        <v>2500</v>
      </c>
      <c r="M90" s="331">
        <v>2500</v>
      </c>
      <c r="N90" s="331"/>
      <c r="O90" s="331"/>
      <c r="P90" s="275">
        <f t="shared" si="31"/>
        <v>10000</v>
      </c>
      <c r="Q90" s="253" t="s">
        <v>99</v>
      </c>
      <c r="R90" s="294"/>
      <c r="S90" s="332"/>
      <c r="T90" s="332"/>
      <c r="U90" s="332"/>
      <c r="V90" s="53"/>
      <c r="W90" s="253" t="s">
        <v>270</v>
      </c>
      <c r="X90" s="53"/>
      <c r="Y90" s="53"/>
      <c r="Z90" s="53"/>
      <c r="AA90" s="53"/>
      <c r="AB90" s="53"/>
      <c r="AC90" s="53"/>
      <c r="AD90" s="53"/>
      <c r="AE90" s="53"/>
      <c r="AF90" s="53"/>
      <c r="AG90" s="53"/>
      <c r="AH90" s="53"/>
      <c r="AI90" s="53"/>
      <c r="AJ90" s="53"/>
      <c r="AK90" s="53"/>
      <c r="AL90" s="53"/>
      <c r="AM90" s="53"/>
      <c r="AN90" s="53"/>
      <c r="AO90" s="53"/>
      <c r="AP90" s="53"/>
      <c r="AQ90" s="53"/>
      <c r="AR90" s="53"/>
      <c r="AS90" s="53"/>
      <c r="AT90" s="53"/>
      <c r="AU90" s="53"/>
      <c r="AV90" s="53"/>
      <c r="AW90" s="53"/>
      <c r="AX90" s="53"/>
    </row>
    <row r="91" spans="1:50" ht="30" customHeight="1" thickBot="1" x14ac:dyDescent="0.3">
      <c r="A91" s="472"/>
      <c r="B91" s="475"/>
      <c r="C91" s="464"/>
      <c r="D91" s="469"/>
      <c r="E91" s="281" t="s">
        <v>2</v>
      </c>
      <c r="F91" s="281" t="s">
        <v>78</v>
      </c>
      <c r="G91" s="281" t="s">
        <v>166</v>
      </c>
      <c r="H91" s="281"/>
      <c r="I91" s="281" t="s">
        <v>271</v>
      </c>
      <c r="J91" s="282">
        <v>10000</v>
      </c>
      <c r="K91" s="282">
        <v>10000</v>
      </c>
      <c r="L91" s="282">
        <v>10000</v>
      </c>
      <c r="M91" s="282">
        <v>10000</v>
      </c>
      <c r="N91" s="282"/>
      <c r="O91" s="282"/>
      <c r="P91" s="283">
        <f t="shared" si="31"/>
        <v>40000</v>
      </c>
      <c r="Q91" s="53"/>
      <c r="R91" s="294"/>
      <c r="S91" s="333">
        <f t="shared" si="30"/>
        <v>40000</v>
      </c>
      <c r="T91" s="333"/>
      <c r="U91" s="33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3"/>
      <c r="AT91" s="53"/>
      <c r="AU91" s="53"/>
      <c r="AV91" s="53"/>
      <c r="AW91" s="53"/>
      <c r="AX91" s="53"/>
    </row>
    <row r="92" spans="1:50" ht="32.25" customHeight="1" x14ac:dyDescent="0.25">
      <c r="A92" s="472"/>
      <c r="B92" s="475"/>
      <c r="C92" s="462" t="s">
        <v>272</v>
      </c>
      <c r="D92" s="484" t="s">
        <v>273</v>
      </c>
      <c r="E92" s="270" t="s">
        <v>4</v>
      </c>
      <c r="F92" s="270" t="s">
        <v>4</v>
      </c>
      <c r="G92" s="270" t="s">
        <v>274</v>
      </c>
      <c r="H92" s="270" t="s">
        <v>29</v>
      </c>
      <c r="I92" s="270" t="s">
        <v>275</v>
      </c>
      <c r="J92" s="334">
        <v>15000</v>
      </c>
      <c r="K92" s="334"/>
      <c r="L92" s="334"/>
      <c r="M92" s="334"/>
      <c r="N92" s="334"/>
      <c r="O92" s="334"/>
      <c r="P92" s="335">
        <f t="shared" si="31"/>
        <v>15000</v>
      </c>
      <c r="Q92" s="53"/>
      <c r="R92" s="335">
        <v>15000</v>
      </c>
      <c r="S92" s="294"/>
      <c r="T92" s="294"/>
      <c r="U92" s="294">
        <f>+P92</f>
        <v>15000</v>
      </c>
      <c r="V92" s="53"/>
      <c r="W92" s="53"/>
      <c r="X92" s="53"/>
      <c r="Y92" s="53"/>
      <c r="Z92" s="53"/>
      <c r="AA92" s="53"/>
      <c r="AB92" s="53"/>
      <c r="AC92" s="53"/>
      <c r="AD92" s="53"/>
      <c r="AE92" s="53"/>
      <c r="AF92" s="53"/>
      <c r="AG92" s="53"/>
      <c r="AH92" s="53"/>
      <c r="AI92" s="53"/>
      <c r="AJ92" s="53"/>
      <c r="AK92" s="53"/>
      <c r="AL92" s="53"/>
      <c r="AM92" s="53"/>
      <c r="AN92" s="53"/>
      <c r="AO92" s="53"/>
      <c r="AP92" s="53"/>
      <c r="AQ92" s="53"/>
      <c r="AR92" s="53"/>
      <c r="AS92" s="53"/>
      <c r="AT92" s="53"/>
      <c r="AU92" s="53"/>
      <c r="AV92" s="53"/>
      <c r="AW92" s="53"/>
      <c r="AX92" s="53"/>
    </row>
    <row r="93" spans="1:50" ht="32.25" customHeight="1" x14ac:dyDescent="0.25">
      <c r="A93" s="472"/>
      <c r="B93" s="475"/>
      <c r="C93" s="463"/>
      <c r="D93" s="483"/>
      <c r="E93" s="267" t="s">
        <v>4</v>
      </c>
      <c r="F93" s="267" t="s">
        <v>4</v>
      </c>
      <c r="G93" s="267" t="s">
        <v>95</v>
      </c>
      <c r="H93" s="267" t="s">
        <v>29</v>
      </c>
      <c r="I93" s="267" t="s">
        <v>276</v>
      </c>
      <c r="J93" s="331">
        <v>10000</v>
      </c>
      <c r="K93" s="331"/>
      <c r="L93" s="331"/>
      <c r="M93" s="331"/>
      <c r="N93" s="331"/>
      <c r="O93" s="331"/>
      <c r="P93" s="314">
        <f t="shared" si="31"/>
        <v>10000</v>
      </c>
      <c r="Q93" s="53"/>
      <c r="R93" s="314">
        <v>10000</v>
      </c>
      <c r="S93" s="314"/>
      <c r="T93" s="314"/>
      <c r="U93" s="314">
        <f>+P93</f>
        <v>10000</v>
      </c>
      <c r="V93" s="53"/>
      <c r="W93" s="53"/>
      <c r="X93" s="53"/>
      <c r="Y93" s="53"/>
      <c r="Z93" s="53"/>
      <c r="AA93" s="53"/>
      <c r="AB93" s="53"/>
      <c r="AC93" s="53"/>
      <c r="AD93" s="53"/>
      <c r="AE93" s="53"/>
      <c r="AF93" s="53"/>
      <c r="AG93" s="53"/>
      <c r="AH93" s="53"/>
      <c r="AI93" s="53"/>
      <c r="AJ93" s="53"/>
      <c r="AK93" s="53"/>
      <c r="AL93" s="53"/>
      <c r="AM93" s="53"/>
      <c r="AN93" s="53"/>
      <c r="AO93" s="53"/>
      <c r="AP93" s="53"/>
      <c r="AQ93" s="53"/>
      <c r="AR93" s="53"/>
      <c r="AS93" s="53"/>
      <c r="AT93" s="53"/>
      <c r="AU93" s="53"/>
      <c r="AV93" s="53"/>
      <c r="AW93" s="53"/>
      <c r="AX93" s="53"/>
    </row>
    <row r="94" spans="1:50" ht="15.75" thickBot="1" x14ac:dyDescent="0.3">
      <c r="A94" s="472"/>
      <c r="B94" s="475"/>
      <c r="C94" s="463"/>
      <c r="D94" s="467" t="s">
        <v>277</v>
      </c>
      <c r="E94" s="267" t="s">
        <v>2</v>
      </c>
      <c r="F94" s="267" t="s">
        <v>78</v>
      </c>
      <c r="G94" s="267" t="s">
        <v>95</v>
      </c>
      <c r="H94" s="267" t="s">
        <v>80</v>
      </c>
      <c r="I94" s="267" t="s">
        <v>278</v>
      </c>
      <c r="J94" s="331">
        <v>10000</v>
      </c>
      <c r="K94" s="331"/>
      <c r="L94" s="331"/>
      <c r="M94" s="331">
        <v>10000</v>
      </c>
      <c r="N94" s="331"/>
      <c r="O94" s="331"/>
      <c r="P94" s="314">
        <f t="shared" si="31"/>
        <v>20000</v>
      </c>
      <c r="Q94" s="53"/>
      <c r="R94" s="314">
        <v>30000</v>
      </c>
      <c r="S94" s="314">
        <f>+P94</f>
        <v>20000</v>
      </c>
      <c r="T94" s="314"/>
      <c r="U94" s="314"/>
      <c r="V94" s="53"/>
      <c r="W94" s="53"/>
      <c r="X94" s="53"/>
      <c r="Y94" s="53"/>
      <c r="Z94" s="53"/>
      <c r="AA94" s="53"/>
      <c r="AB94" s="53"/>
      <c r="AC94" s="53"/>
      <c r="AD94" s="53"/>
      <c r="AE94" s="53"/>
      <c r="AF94" s="53"/>
      <c r="AG94" s="53"/>
      <c r="AH94" s="53"/>
      <c r="AI94" s="53"/>
      <c r="AJ94" s="53"/>
      <c r="AK94" s="53"/>
      <c r="AL94" s="53"/>
      <c r="AM94" s="53"/>
      <c r="AN94" s="53"/>
      <c r="AO94" s="53"/>
      <c r="AP94" s="53"/>
      <c r="AQ94" s="53"/>
      <c r="AR94" s="53"/>
      <c r="AS94" s="53"/>
      <c r="AT94" s="53"/>
      <c r="AU94" s="53"/>
      <c r="AV94" s="53"/>
      <c r="AW94" s="53"/>
      <c r="AX94" s="53"/>
    </row>
    <row r="95" spans="1:50" x14ac:dyDescent="0.25">
      <c r="A95" s="472"/>
      <c r="B95" s="475"/>
      <c r="C95" s="463"/>
      <c r="D95" s="468"/>
      <c r="E95" s="319" t="s">
        <v>2</v>
      </c>
      <c r="F95" s="319" t="s">
        <v>78</v>
      </c>
      <c r="G95" s="319" t="s">
        <v>166</v>
      </c>
      <c r="H95" s="319" t="s">
        <v>80</v>
      </c>
      <c r="I95" s="319" t="s">
        <v>279</v>
      </c>
      <c r="J95" s="331">
        <v>50450</v>
      </c>
      <c r="K95" s="331"/>
      <c r="L95" s="331"/>
      <c r="M95" s="331"/>
      <c r="N95" s="331"/>
      <c r="O95" s="331"/>
      <c r="P95" s="314">
        <f t="shared" si="31"/>
        <v>50450</v>
      </c>
      <c r="Q95" s="53"/>
      <c r="R95" s="335">
        <v>54450</v>
      </c>
      <c r="S95" s="294">
        <f>+P95</f>
        <v>50450</v>
      </c>
      <c r="T95" s="294"/>
      <c r="U95" s="294"/>
      <c r="V95" s="53"/>
      <c r="W95" s="53"/>
      <c r="X95" s="53"/>
      <c r="Y95" s="53"/>
      <c r="Z95" s="53"/>
      <c r="AA95" s="53"/>
      <c r="AB95" s="53"/>
      <c r="AC95" s="53"/>
      <c r="AD95" s="53"/>
      <c r="AE95" s="53"/>
      <c r="AF95" s="53"/>
      <c r="AG95" s="53"/>
      <c r="AH95" s="53"/>
      <c r="AI95" s="53"/>
      <c r="AJ95" s="53"/>
      <c r="AK95" s="53"/>
      <c r="AL95" s="53"/>
      <c r="AM95" s="53"/>
      <c r="AN95" s="53"/>
      <c r="AO95" s="53"/>
      <c r="AP95" s="53"/>
      <c r="AQ95" s="53"/>
      <c r="AR95" s="53"/>
      <c r="AS95" s="53"/>
      <c r="AT95" s="53"/>
      <c r="AU95" s="53"/>
      <c r="AV95" s="53"/>
      <c r="AW95" s="53"/>
      <c r="AX95" s="53"/>
    </row>
    <row r="96" spans="1:50" x14ac:dyDescent="0.25">
      <c r="A96" s="472"/>
      <c r="B96" s="475"/>
      <c r="C96" s="463"/>
      <c r="D96" s="468"/>
      <c r="E96" s="267" t="s">
        <v>2</v>
      </c>
      <c r="F96" s="267" t="s">
        <v>78</v>
      </c>
      <c r="G96" s="267" t="s">
        <v>102</v>
      </c>
      <c r="H96" s="267" t="s">
        <v>80</v>
      </c>
      <c r="I96" s="267" t="s">
        <v>280</v>
      </c>
      <c r="J96" s="331"/>
      <c r="K96" s="331">
        <v>24500</v>
      </c>
      <c r="L96" s="331"/>
      <c r="M96" s="331"/>
      <c r="N96" s="331"/>
      <c r="O96" s="331"/>
      <c r="P96" s="314">
        <f t="shared" si="31"/>
        <v>24500</v>
      </c>
      <c r="Q96" s="53"/>
      <c r="R96" s="314"/>
      <c r="S96" s="314"/>
      <c r="T96" s="314"/>
      <c r="U96" s="314"/>
      <c r="V96" s="53"/>
      <c r="W96" s="53"/>
      <c r="X96" s="53"/>
      <c r="Y96" s="53"/>
      <c r="Z96" s="53"/>
      <c r="AA96" s="53"/>
      <c r="AB96" s="53"/>
      <c r="AC96" s="53"/>
      <c r="AD96" s="53"/>
      <c r="AE96" s="53"/>
      <c r="AF96" s="53"/>
      <c r="AG96" s="53"/>
      <c r="AH96" s="53"/>
      <c r="AI96" s="53"/>
      <c r="AJ96" s="53"/>
      <c r="AK96" s="53"/>
      <c r="AL96" s="53"/>
      <c r="AM96" s="53"/>
      <c r="AN96" s="53"/>
      <c r="AO96" s="53"/>
      <c r="AP96" s="53"/>
      <c r="AQ96" s="53"/>
      <c r="AR96" s="53"/>
      <c r="AS96" s="53"/>
      <c r="AT96" s="53"/>
      <c r="AU96" s="53"/>
      <c r="AV96" s="53"/>
      <c r="AW96" s="53"/>
      <c r="AX96" s="53"/>
    </row>
    <row r="97" spans="1:50" ht="21" x14ac:dyDescent="0.35">
      <c r="A97" s="472"/>
      <c r="B97" s="475"/>
      <c r="C97" s="463"/>
      <c r="D97" s="468"/>
      <c r="E97" s="267" t="s">
        <v>2</v>
      </c>
      <c r="F97" s="267" t="s">
        <v>78</v>
      </c>
      <c r="G97" s="267" t="s">
        <v>102</v>
      </c>
      <c r="H97" s="267" t="s">
        <v>80</v>
      </c>
      <c r="I97" s="267" t="s">
        <v>281</v>
      </c>
      <c r="J97" s="331"/>
      <c r="K97" s="331">
        <f>3*8500</f>
        <v>25500</v>
      </c>
      <c r="L97" s="331"/>
      <c r="M97" s="331"/>
      <c r="N97" s="331"/>
      <c r="O97" s="331"/>
      <c r="P97" s="314">
        <f t="shared" si="31"/>
        <v>25500</v>
      </c>
      <c r="Q97" s="253" t="s">
        <v>99</v>
      </c>
      <c r="R97" s="314"/>
      <c r="S97" s="314"/>
      <c r="T97" s="314"/>
      <c r="U97" s="314"/>
      <c r="V97" s="53"/>
      <c r="W97" s="53"/>
      <c r="X97" s="53"/>
      <c r="Y97" s="53"/>
      <c r="Z97" s="53"/>
      <c r="AA97" s="53"/>
      <c r="AB97" s="53"/>
      <c r="AC97" s="53"/>
      <c r="AD97" s="53"/>
      <c r="AE97" s="53"/>
      <c r="AF97" s="53"/>
      <c r="AG97" s="53"/>
      <c r="AH97" s="53"/>
      <c r="AI97" s="53"/>
      <c r="AJ97" s="53"/>
      <c r="AK97" s="53"/>
      <c r="AL97" s="53"/>
      <c r="AM97" s="53"/>
      <c r="AN97" s="53"/>
      <c r="AO97" s="53"/>
      <c r="AP97" s="53"/>
      <c r="AQ97" s="53"/>
      <c r="AR97" s="53"/>
      <c r="AS97" s="53"/>
      <c r="AT97" s="53"/>
      <c r="AU97" s="53"/>
      <c r="AV97" s="53"/>
      <c r="AW97" s="53"/>
      <c r="AX97" s="53"/>
    </row>
    <row r="98" spans="1:50" ht="21" x14ac:dyDescent="0.35">
      <c r="A98" s="472"/>
      <c r="B98" s="475"/>
      <c r="C98" s="463"/>
      <c r="D98" s="468"/>
      <c r="E98" s="267" t="s">
        <v>2</v>
      </c>
      <c r="F98" s="267" t="s">
        <v>78</v>
      </c>
      <c r="G98" s="267" t="s">
        <v>166</v>
      </c>
      <c r="H98" s="267" t="s">
        <v>80</v>
      </c>
      <c r="I98" s="267" t="s">
        <v>282</v>
      </c>
      <c r="J98" s="331">
        <v>8000</v>
      </c>
      <c r="K98" s="331">
        <v>8000</v>
      </c>
      <c r="L98" s="331"/>
      <c r="M98" s="331">
        <v>8000</v>
      </c>
      <c r="N98" s="331">
        <v>0</v>
      </c>
      <c r="O98" s="331">
        <v>8000</v>
      </c>
      <c r="P98" s="314">
        <f t="shared" si="31"/>
        <v>32000</v>
      </c>
      <c r="Q98" s="53"/>
      <c r="R98" s="314"/>
      <c r="S98" s="314"/>
      <c r="T98" s="314"/>
      <c r="U98" s="314"/>
      <c r="V98" s="322" t="s">
        <v>283</v>
      </c>
      <c r="W98" s="53" t="s">
        <v>284</v>
      </c>
      <c r="X98" s="53"/>
      <c r="Y98" s="53"/>
      <c r="Z98" s="53"/>
      <c r="AA98" s="53"/>
      <c r="AB98" s="53"/>
      <c r="AC98" s="53"/>
      <c r="AD98" s="53"/>
      <c r="AE98" s="53"/>
      <c r="AF98" s="53"/>
      <c r="AG98" s="53"/>
      <c r="AH98" s="53"/>
      <c r="AI98" s="53"/>
      <c r="AJ98" s="53"/>
      <c r="AK98" s="53"/>
      <c r="AL98" s="53"/>
      <c r="AM98" s="53"/>
      <c r="AN98" s="53"/>
      <c r="AO98" s="53"/>
      <c r="AP98" s="53"/>
      <c r="AQ98" s="53"/>
      <c r="AR98" s="53"/>
      <c r="AS98" s="53"/>
      <c r="AT98" s="53"/>
      <c r="AU98" s="53"/>
      <c r="AV98" s="53"/>
      <c r="AW98" s="53"/>
      <c r="AX98" s="53"/>
    </row>
    <row r="99" spans="1:50" x14ac:dyDescent="0.25">
      <c r="A99" s="472"/>
      <c r="B99" s="475"/>
      <c r="C99" s="463"/>
      <c r="D99" s="483"/>
      <c r="E99" s="267" t="s">
        <v>2</v>
      </c>
      <c r="F99" s="267" t="s">
        <v>78</v>
      </c>
      <c r="G99" s="267" t="s">
        <v>166</v>
      </c>
      <c r="H99" s="267" t="s">
        <v>80</v>
      </c>
      <c r="I99" s="267" t="s">
        <v>285</v>
      </c>
      <c r="J99" s="331">
        <v>50000</v>
      </c>
      <c r="K99" s="331">
        <v>0</v>
      </c>
      <c r="L99" s="331">
        <v>100000</v>
      </c>
      <c r="M99" s="331"/>
      <c r="N99" s="331">
        <v>100000</v>
      </c>
      <c r="O99" s="331">
        <v>0</v>
      </c>
      <c r="P99" s="314">
        <f t="shared" si="31"/>
        <v>250000</v>
      </c>
      <c r="Q99" s="53"/>
      <c r="R99" s="314">
        <v>50000</v>
      </c>
      <c r="S99" s="314">
        <f>+P99</f>
        <v>250000</v>
      </c>
      <c r="T99" s="314"/>
      <c r="U99" s="314"/>
      <c r="V99" s="53"/>
      <c r="W99" s="53"/>
      <c r="X99" s="53"/>
      <c r="Y99" s="53"/>
      <c r="Z99" s="53"/>
      <c r="AA99" s="53"/>
      <c r="AB99" s="53"/>
      <c r="AC99" s="53"/>
      <c r="AD99" s="53"/>
      <c r="AE99" s="53"/>
      <c r="AF99" s="53"/>
      <c r="AG99" s="53"/>
      <c r="AH99" s="53"/>
      <c r="AI99" s="53"/>
      <c r="AJ99" s="53"/>
      <c r="AK99" s="53"/>
      <c r="AL99" s="53"/>
      <c r="AM99" s="53"/>
      <c r="AN99" s="53"/>
      <c r="AO99" s="53"/>
      <c r="AP99" s="53"/>
      <c r="AQ99" s="53"/>
      <c r="AR99" s="53"/>
      <c r="AS99" s="53"/>
      <c r="AT99" s="53"/>
      <c r="AU99" s="53"/>
      <c r="AV99" s="53"/>
      <c r="AW99" s="53"/>
      <c r="AX99" s="53"/>
    </row>
    <row r="100" spans="1:50" ht="56.45" customHeight="1" x14ac:dyDescent="0.25">
      <c r="A100" s="472"/>
      <c r="B100" s="475"/>
      <c r="C100" s="463"/>
      <c r="D100" s="336" t="s">
        <v>286</v>
      </c>
      <c r="E100" s="267" t="s">
        <v>4</v>
      </c>
      <c r="F100" s="267" t="s">
        <v>4</v>
      </c>
      <c r="G100" s="267" t="s">
        <v>274</v>
      </c>
      <c r="H100" s="267" t="s">
        <v>29</v>
      </c>
      <c r="I100" s="267" t="s">
        <v>287</v>
      </c>
      <c r="J100" s="331">
        <v>5000</v>
      </c>
      <c r="K100" s="331">
        <v>5000</v>
      </c>
      <c r="L100" s="331">
        <v>5000</v>
      </c>
      <c r="M100" s="331">
        <v>5000</v>
      </c>
      <c r="N100" s="331">
        <v>5000</v>
      </c>
      <c r="O100" s="331">
        <v>5000</v>
      </c>
      <c r="P100" s="314">
        <f t="shared" si="31"/>
        <v>30000</v>
      </c>
      <c r="Q100" s="53"/>
      <c r="R100" s="314">
        <v>30000</v>
      </c>
      <c r="S100" s="314"/>
      <c r="T100" s="314"/>
      <c r="U100" s="314">
        <f>+P100</f>
        <v>30000</v>
      </c>
      <c r="V100" s="53"/>
      <c r="W100" s="53"/>
      <c r="X100" s="53"/>
      <c r="Y100" s="53"/>
      <c r="Z100" s="53"/>
      <c r="AA100" s="53"/>
      <c r="AB100" s="53"/>
      <c r="AC100" s="53"/>
      <c r="AD100" s="53"/>
      <c r="AE100" s="53"/>
      <c r="AF100" s="53"/>
      <c r="AG100" s="53"/>
      <c r="AH100" s="53"/>
      <c r="AI100" s="53"/>
      <c r="AJ100" s="53"/>
      <c r="AK100" s="53"/>
      <c r="AL100" s="53"/>
      <c r="AM100" s="53"/>
      <c r="AN100" s="53"/>
      <c r="AO100" s="53"/>
      <c r="AP100" s="53"/>
      <c r="AQ100" s="53"/>
      <c r="AR100" s="53"/>
      <c r="AS100" s="53"/>
      <c r="AT100" s="53"/>
      <c r="AU100" s="53"/>
      <c r="AV100" s="53"/>
      <c r="AW100" s="53"/>
      <c r="AX100" s="53"/>
    </row>
    <row r="101" spans="1:50" ht="15.75" thickBot="1" x14ac:dyDescent="0.3">
      <c r="A101" s="472"/>
      <c r="B101" s="475"/>
      <c r="C101" s="463"/>
      <c r="D101" s="467" t="s">
        <v>288</v>
      </c>
      <c r="E101" s="330" t="s">
        <v>2</v>
      </c>
      <c r="F101" s="330" t="s">
        <v>78</v>
      </c>
      <c r="G101" s="330" t="s">
        <v>166</v>
      </c>
      <c r="H101" s="330" t="s">
        <v>80</v>
      </c>
      <c r="I101" s="330" t="s">
        <v>289</v>
      </c>
      <c r="J101" s="331">
        <v>20000</v>
      </c>
      <c r="K101" s="331"/>
      <c r="L101" s="331"/>
      <c r="M101" s="331"/>
      <c r="N101" s="331"/>
      <c r="O101" s="331">
        <v>20000</v>
      </c>
      <c r="P101" s="314">
        <f t="shared" si="31"/>
        <v>40000</v>
      </c>
      <c r="Q101" s="53"/>
      <c r="R101" s="283">
        <v>40000</v>
      </c>
      <c r="S101" s="314">
        <f t="shared" ref="S101:S111" si="32">+P101</f>
        <v>40000</v>
      </c>
      <c r="T101" s="314"/>
      <c r="U101" s="314"/>
      <c r="V101" s="53"/>
      <c r="W101" s="53"/>
      <c r="X101" s="53"/>
      <c r="Y101" s="53"/>
      <c r="Z101" s="53"/>
      <c r="AA101" s="53"/>
      <c r="AB101" s="53"/>
      <c r="AC101" s="53"/>
      <c r="AD101" s="53"/>
      <c r="AE101" s="53"/>
      <c r="AF101" s="53"/>
      <c r="AG101" s="53"/>
      <c r="AH101" s="53"/>
      <c r="AI101" s="53"/>
      <c r="AJ101" s="53"/>
      <c r="AK101" s="53"/>
      <c r="AL101" s="53"/>
      <c r="AM101" s="53"/>
      <c r="AN101" s="53"/>
      <c r="AO101" s="53"/>
      <c r="AP101" s="53"/>
      <c r="AQ101" s="53"/>
      <c r="AR101" s="53"/>
      <c r="AS101" s="53"/>
      <c r="AT101" s="53"/>
      <c r="AU101" s="53"/>
      <c r="AV101" s="53"/>
      <c r="AW101" s="53"/>
      <c r="AX101" s="53"/>
    </row>
    <row r="102" spans="1:50" x14ac:dyDescent="0.25">
      <c r="A102" s="472"/>
      <c r="B102" s="475"/>
      <c r="C102" s="463"/>
      <c r="D102" s="468"/>
      <c r="E102" s="267" t="s">
        <v>2</v>
      </c>
      <c r="F102" s="267" t="s">
        <v>78</v>
      </c>
      <c r="G102" s="267" t="s">
        <v>95</v>
      </c>
      <c r="H102" s="267" t="s">
        <v>80</v>
      </c>
      <c r="I102" s="267" t="s">
        <v>290</v>
      </c>
      <c r="J102" s="331">
        <v>5000</v>
      </c>
      <c r="K102" s="331"/>
      <c r="L102" s="331"/>
      <c r="M102" s="331"/>
      <c r="N102" s="331">
        <v>5000</v>
      </c>
      <c r="O102" s="331"/>
      <c r="P102" s="314">
        <f t="shared" si="31"/>
        <v>10000</v>
      </c>
      <c r="Q102" s="53"/>
      <c r="R102" s="314">
        <v>20000</v>
      </c>
      <c r="S102" s="314">
        <f t="shared" si="32"/>
        <v>10000</v>
      </c>
      <c r="T102" s="314"/>
      <c r="U102" s="314"/>
      <c r="V102" s="53"/>
      <c r="W102" s="53"/>
      <c r="X102" s="53"/>
      <c r="Y102" s="53"/>
      <c r="Z102" s="53"/>
      <c r="AA102" s="53"/>
      <c r="AB102" s="53"/>
      <c r="AC102" s="53"/>
      <c r="AD102" s="53"/>
      <c r="AE102" s="53"/>
      <c r="AF102" s="53"/>
      <c r="AG102" s="53"/>
      <c r="AH102" s="53"/>
      <c r="AI102" s="53"/>
      <c r="AJ102" s="53"/>
      <c r="AK102" s="53"/>
      <c r="AL102" s="53"/>
      <c r="AM102" s="53"/>
      <c r="AN102" s="53"/>
      <c r="AO102" s="53"/>
      <c r="AP102" s="53"/>
      <c r="AQ102" s="53"/>
      <c r="AR102" s="53"/>
      <c r="AS102" s="53"/>
      <c r="AT102" s="53"/>
      <c r="AU102" s="53"/>
      <c r="AV102" s="53"/>
      <c r="AW102" s="53"/>
      <c r="AX102" s="53"/>
    </row>
    <row r="103" spans="1:50" ht="21" x14ac:dyDescent="0.35">
      <c r="A103" s="472"/>
      <c r="B103" s="475"/>
      <c r="C103" s="463"/>
      <c r="D103" s="468"/>
      <c r="E103" s="267" t="s">
        <v>2</v>
      </c>
      <c r="F103" s="267" t="s">
        <v>78</v>
      </c>
      <c r="G103" s="267" t="s">
        <v>79</v>
      </c>
      <c r="H103" s="267" t="s">
        <v>80</v>
      </c>
      <c r="I103" s="267" t="s">
        <v>291</v>
      </c>
      <c r="J103" s="331">
        <f>2*2500</f>
        <v>5000</v>
      </c>
      <c r="K103" s="331"/>
      <c r="L103" s="331"/>
      <c r="M103" s="331"/>
      <c r="N103" s="331">
        <f>2*2500</f>
        <v>5000</v>
      </c>
      <c r="O103" s="331"/>
      <c r="P103" s="314">
        <f t="shared" si="31"/>
        <v>10000</v>
      </c>
      <c r="Q103" s="253" t="s">
        <v>99</v>
      </c>
      <c r="R103" s="314"/>
      <c r="S103" s="314"/>
      <c r="T103" s="314"/>
      <c r="U103" s="314"/>
      <c r="V103" s="53"/>
      <c r="W103" s="53" t="s">
        <v>292</v>
      </c>
      <c r="X103" s="53"/>
      <c r="Y103" s="53"/>
      <c r="Z103" s="53"/>
      <c r="AA103" s="53"/>
      <c r="AB103" s="53"/>
      <c r="AC103" s="53"/>
      <c r="AD103" s="53"/>
      <c r="AE103" s="53"/>
      <c r="AF103" s="53"/>
      <c r="AG103" s="53"/>
      <c r="AH103" s="53"/>
      <c r="AI103" s="53"/>
      <c r="AJ103" s="53"/>
      <c r="AK103" s="53"/>
      <c r="AL103" s="53"/>
      <c r="AM103" s="53"/>
      <c r="AN103" s="53"/>
      <c r="AO103" s="53"/>
      <c r="AP103" s="53"/>
      <c r="AQ103" s="53"/>
      <c r="AR103" s="53"/>
      <c r="AS103" s="53"/>
      <c r="AT103" s="53"/>
      <c r="AU103" s="53"/>
      <c r="AV103" s="53"/>
      <c r="AW103" s="53"/>
      <c r="AX103" s="53"/>
    </row>
    <row r="104" spans="1:50" x14ac:dyDescent="0.25">
      <c r="A104" s="472"/>
      <c r="B104" s="475"/>
      <c r="C104" s="463"/>
      <c r="D104" s="483"/>
      <c r="E104" s="267" t="s">
        <v>2</v>
      </c>
      <c r="F104" s="267" t="s">
        <v>78</v>
      </c>
      <c r="G104" s="267" t="s">
        <v>102</v>
      </c>
      <c r="H104" s="267" t="s">
        <v>80</v>
      </c>
      <c r="I104" s="267" t="s">
        <v>293</v>
      </c>
      <c r="J104" s="331"/>
      <c r="K104" s="331">
        <f>10*2000</f>
        <v>20000</v>
      </c>
      <c r="L104" s="331"/>
      <c r="M104" s="331"/>
      <c r="N104" s="331"/>
      <c r="O104" s="331"/>
      <c r="P104" s="314">
        <f t="shared" si="31"/>
        <v>20000</v>
      </c>
      <c r="Q104" s="53"/>
      <c r="R104" s="314">
        <v>20000</v>
      </c>
      <c r="S104" s="314">
        <f t="shared" si="32"/>
        <v>20000</v>
      </c>
      <c r="T104" s="314"/>
      <c r="U104" s="314"/>
      <c r="V104" s="53"/>
      <c r="W104" s="53"/>
      <c r="X104" s="53"/>
      <c r="Y104" s="53"/>
      <c r="Z104" s="53"/>
      <c r="AA104" s="53"/>
      <c r="AB104" s="53"/>
      <c r="AC104" s="53"/>
      <c r="AD104" s="53"/>
      <c r="AE104" s="53"/>
      <c r="AF104" s="53"/>
      <c r="AG104" s="53"/>
      <c r="AH104" s="53"/>
      <c r="AI104" s="53"/>
      <c r="AJ104" s="53"/>
      <c r="AK104" s="53"/>
      <c r="AL104" s="53"/>
      <c r="AM104" s="53"/>
      <c r="AN104" s="53"/>
      <c r="AO104" s="53"/>
      <c r="AP104" s="53"/>
      <c r="AQ104" s="53"/>
      <c r="AR104" s="53"/>
      <c r="AS104" s="53"/>
      <c r="AT104" s="53"/>
      <c r="AU104" s="53"/>
      <c r="AV104" s="53"/>
      <c r="AW104" s="53"/>
      <c r="AX104" s="53"/>
    </row>
    <row r="105" spans="1:50" ht="28.5" customHeight="1" x14ac:dyDescent="0.25">
      <c r="A105" s="472"/>
      <c r="B105" s="475"/>
      <c r="C105" s="463"/>
      <c r="D105" s="459" t="s">
        <v>294</v>
      </c>
      <c r="E105" s="267" t="s">
        <v>2</v>
      </c>
      <c r="F105" s="267" t="s">
        <v>78</v>
      </c>
      <c r="G105" s="267" t="s">
        <v>79</v>
      </c>
      <c r="H105" s="267" t="s">
        <v>80</v>
      </c>
      <c r="I105" s="267" t="s">
        <v>295</v>
      </c>
      <c r="J105" s="274">
        <v>10000</v>
      </c>
      <c r="K105" s="274"/>
      <c r="L105" s="274">
        <v>10000</v>
      </c>
      <c r="M105" s="274"/>
      <c r="N105" s="274"/>
      <c r="O105" s="274"/>
      <c r="P105" s="275">
        <f t="shared" si="31"/>
        <v>20000</v>
      </c>
      <c r="Q105" s="53"/>
      <c r="R105" s="294"/>
      <c r="S105" s="337">
        <f t="shared" si="32"/>
        <v>20000</v>
      </c>
      <c r="T105" s="337"/>
      <c r="U105" s="337"/>
      <c r="V105" s="53"/>
      <c r="W105" s="53"/>
      <c r="X105" s="53"/>
      <c r="Y105" s="53"/>
      <c r="Z105" s="53"/>
      <c r="AA105" s="53"/>
      <c r="AB105" s="53"/>
      <c r="AC105" s="53"/>
      <c r="AD105" s="53"/>
      <c r="AE105" s="53"/>
      <c r="AF105" s="53"/>
      <c r="AG105" s="53"/>
      <c r="AH105" s="53"/>
      <c r="AI105" s="53"/>
      <c r="AJ105" s="53"/>
      <c r="AK105" s="53"/>
      <c r="AL105" s="53"/>
      <c r="AM105" s="53"/>
      <c r="AN105" s="53"/>
      <c r="AO105" s="53"/>
      <c r="AP105" s="53"/>
      <c r="AQ105" s="53"/>
      <c r="AR105" s="53"/>
      <c r="AS105" s="53"/>
      <c r="AT105" s="53"/>
      <c r="AU105" s="53"/>
      <c r="AV105" s="53"/>
      <c r="AW105" s="53"/>
      <c r="AX105" s="53"/>
    </row>
    <row r="106" spans="1:50" ht="28.5" customHeight="1" thickBot="1" x14ac:dyDescent="0.3">
      <c r="A106" s="472"/>
      <c r="B106" s="475"/>
      <c r="C106" s="464"/>
      <c r="D106" s="461"/>
      <c r="E106" s="281" t="s">
        <v>2</v>
      </c>
      <c r="F106" s="281" t="s">
        <v>78</v>
      </c>
      <c r="G106" s="281" t="s">
        <v>95</v>
      </c>
      <c r="H106" s="281" t="s">
        <v>80</v>
      </c>
      <c r="I106" s="281" t="s">
        <v>296</v>
      </c>
      <c r="J106" s="282">
        <v>5000</v>
      </c>
      <c r="K106" s="282">
        <v>5000</v>
      </c>
      <c r="L106" s="282">
        <v>5000</v>
      </c>
      <c r="M106" s="282"/>
      <c r="N106" s="282"/>
      <c r="O106" s="282"/>
      <c r="P106" s="283">
        <f t="shared" si="31"/>
        <v>15000</v>
      </c>
      <c r="Q106" s="53"/>
      <c r="R106" s="294"/>
      <c r="S106" s="337">
        <f t="shared" si="32"/>
        <v>15000</v>
      </c>
      <c r="T106" s="337"/>
      <c r="U106" s="337"/>
      <c r="V106" s="53"/>
      <c r="W106" s="53"/>
      <c r="X106" s="53"/>
      <c r="Y106" s="53"/>
      <c r="Z106" s="53"/>
      <c r="AA106" s="53"/>
      <c r="AB106" s="53"/>
      <c r="AC106" s="53"/>
      <c r="AD106" s="53"/>
      <c r="AE106" s="53"/>
      <c r="AF106" s="53"/>
      <c r="AG106" s="53"/>
      <c r="AH106" s="53"/>
      <c r="AI106" s="53"/>
      <c r="AJ106" s="53"/>
      <c r="AK106" s="53"/>
      <c r="AL106" s="53"/>
      <c r="AM106" s="53"/>
      <c r="AN106" s="53"/>
      <c r="AO106" s="53"/>
      <c r="AP106" s="53"/>
      <c r="AQ106" s="53"/>
      <c r="AR106" s="53"/>
      <c r="AS106" s="53"/>
      <c r="AT106" s="53"/>
      <c r="AU106" s="53"/>
      <c r="AV106" s="53"/>
      <c r="AW106" s="53"/>
      <c r="AX106" s="53"/>
    </row>
    <row r="107" spans="1:50" ht="28.9" customHeight="1" x14ac:dyDescent="0.25">
      <c r="A107" s="472"/>
      <c r="B107" s="475"/>
      <c r="C107" s="449" t="s">
        <v>822</v>
      </c>
      <c r="D107" s="250" t="s">
        <v>297</v>
      </c>
      <c r="E107" s="270" t="s">
        <v>2</v>
      </c>
      <c r="F107" s="270" t="s">
        <v>78</v>
      </c>
      <c r="G107" s="270" t="s">
        <v>166</v>
      </c>
      <c r="H107" s="270" t="s">
        <v>80</v>
      </c>
      <c r="I107" s="270" t="s">
        <v>298</v>
      </c>
      <c r="J107" s="272">
        <v>54500</v>
      </c>
      <c r="K107" s="272">
        <v>0</v>
      </c>
      <c r="L107" s="272">
        <v>0</v>
      </c>
      <c r="M107" s="272">
        <v>0</v>
      </c>
      <c r="N107" s="272">
        <v>0</v>
      </c>
      <c r="O107" s="272">
        <v>0</v>
      </c>
      <c r="P107" s="273">
        <f t="shared" si="31"/>
        <v>54500</v>
      </c>
      <c r="Q107" s="53"/>
      <c r="R107" s="273">
        <v>80000</v>
      </c>
      <c r="S107" s="277">
        <f t="shared" si="32"/>
        <v>54500</v>
      </c>
      <c r="T107" s="277"/>
      <c r="U107" s="277"/>
      <c r="V107" s="53"/>
      <c r="W107" s="53"/>
      <c r="X107" s="53"/>
      <c r="Y107" s="53"/>
      <c r="Z107" s="53"/>
      <c r="AA107" s="53"/>
      <c r="AB107" s="53"/>
      <c r="AC107" s="53"/>
      <c r="AD107" s="53"/>
      <c r="AE107" s="53"/>
      <c r="AF107" s="53"/>
      <c r="AG107" s="53"/>
      <c r="AH107" s="53"/>
      <c r="AI107" s="53"/>
      <c r="AJ107" s="53"/>
      <c r="AK107" s="53"/>
      <c r="AL107" s="53"/>
      <c r="AM107" s="53"/>
      <c r="AN107" s="53"/>
      <c r="AO107" s="53"/>
      <c r="AP107" s="53"/>
      <c r="AQ107" s="53"/>
      <c r="AR107" s="53"/>
      <c r="AS107" s="53"/>
      <c r="AT107" s="53"/>
      <c r="AU107" s="53"/>
      <c r="AV107" s="53"/>
      <c r="AW107" s="53"/>
      <c r="AX107" s="53"/>
    </row>
    <row r="108" spans="1:50" x14ac:dyDescent="0.25">
      <c r="A108" s="472"/>
      <c r="B108" s="475"/>
      <c r="C108" s="450"/>
      <c r="D108" s="265" t="s">
        <v>299</v>
      </c>
      <c r="E108" s="267" t="s">
        <v>2</v>
      </c>
      <c r="F108" s="267" t="s">
        <v>78</v>
      </c>
      <c r="G108" s="267" t="s">
        <v>102</v>
      </c>
      <c r="H108" s="267" t="s">
        <v>80</v>
      </c>
      <c r="I108" s="267" t="s">
        <v>300</v>
      </c>
      <c r="J108" s="274">
        <v>0</v>
      </c>
      <c r="K108" s="274">
        <v>150000</v>
      </c>
      <c r="L108" s="274">
        <v>0</v>
      </c>
      <c r="M108" s="274">
        <v>0</v>
      </c>
      <c r="N108" s="274">
        <v>0</v>
      </c>
      <c r="O108" s="274">
        <v>0</v>
      </c>
      <c r="P108" s="275">
        <f t="shared" si="31"/>
        <v>150000</v>
      </c>
      <c r="Q108" s="53"/>
      <c r="R108" s="275">
        <v>150000</v>
      </c>
      <c r="S108" s="275">
        <f t="shared" si="32"/>
        <v>150000</v>
      </c>
      <c r="T108" s="275"/>
      <c r="U108" s="275"/>
      <c r="V108" s="53"/>
      <c r="W108" s="53"/>
      <c r="X108" s="53"/>
      <c r="Y108" s="53"/>
      <c r="Z108" s="53"/>
      <c r="AA108" s="53"/>
      <c r="AB108" s="53"/>
      <c r="AC108" s="53"/>
      <c r="AD108" s="53"/>
      <c r="AE108" s="53"/>
      <c r="AF108" s="53"/>
      <c r="AG108" s="53"/>
      <c r="AH108" s="53"/>
      <c r="AI108" s="53"/>
      <c r="AJ108" s="53"/>
      <c r="AK108" s="53"/>
      <c r="AL108" s="53"/>
      <c r="AM108" s="53"/>
      <c r="AN108" s="53"/>
      <c r="AO108" s="53"/>
      <c r="AP108" s="53"/>
      <c r="AQ108" s="53"/>
      <c r="AR108" s="53"/>
      <c r="AS108" s="53"/>
      <c r="AT108" s="53"/>
      <c r="AU108" s="53"/>
      <c r="AV108" s="53"/>
      <c r="AW108" s="53"/>
      <c r="AX108" s="53"/>
    </row>
    <row r="109" spans="1:50" ht="30" x14ac:dyDescent="0.25">
      <c r="A109" s="472"/>
      <c r="B109" s="475"/>
      <c r="C109" s="450"/>
      <c r="D109" s="265" t="s">
        <v>301</v>
      </c>
      <c r="E109" s="267" t="s">
        <v>2</v>
      </c>
      <c r="F109" s="267" t="s">
        <v>78</v>
      </c>
      <c r="G109" s="267" t="s">
        <v>95</v>
      </c>
      <c r="H109" s="267" t="s">
        <v>80</v>
      </c>
      <c r="I109" s="267" t="s">
        <v>302</v>
      </c>
      <c r="J109" s="274">
        <v>0</v>
      </c>
      <c r="K109" s="274">
        <v>10000</v>
      </c>
      <c r="L109" s="274">
        <v>10000</v>
      </c>
      <c r="M109" s="274">
        <v>10000</v>
      </c>
      <c r="N109" s="274">
        <v>10000</v>
      </c>
      <c r="O109" s="274">
        <v>10000</v>
      </c>
      <c r="P109" s="275">
        <f t="shared" si="31"/>
        <v>50000</v>
      </c>
      <c r="Q109" s="53"/>
      <c r="R109" s="275">
        <v>50000</v>
      </c>
      <c r="S109" s="275">
        <f t="shared" si="32"/>
        <v>50000</v>
      </c>
      <c r="T109" s="275"/>
      <c r="U109" s="275"/>
      <c r="V109" s="53"/>
      <c r="W109" s="53"/>
      <c r="X109" s="53"/>
      <c r="Y109" s="53"/>
      <c r="Z109" s="53"/>
      <c r="AA109" s="53"/>
      <c r="AB109" s="53"/>
      <c r="AC109" s="53"/>
      <c r="AD109" s="53"/>
      <c r="AE109" s="53"/>
      <c r="AF109" s="53"/>
      <c r="AG109" s="53"/>
      <c r="AH109" s="53"/>
      <c r="AI109" s="53"/>
      <c r="AJ109" s="53"/>
      <c r="AK109" s="53"/>
      <c r="AL109" s="53"/>
      <c r="AM109" s="53"/>
      <c r="AN109" s="53"/>
      <c r="AO109" s="53"/>
      <c r="AP109" s="53"/>
      <c r="AQ109" s="53"/>
      <c r="AR109" s="53"/>
      <c r="AS109" s="53"/>
      <c r="AT109" s="53"/>
      <c r="AU109" s="53"/>
      <c r="AV109" s="53"/>
      <c r="AW109" s="53"/>
      <c r="AX109" s="53"/>
    </row>
    <row r="110" spans="1:50" x14ac:dyDescent="0.25">
      <c r="A110" s="472"/>
      <c r="B110" s="475"/>
      <c r="C110" s="450"/>
      <c r="D110" s="459" t="s">
        <v>303</v>
      </c>
      <c r="E110" s="267" t="s">
        <v>2</v>
      </c>
      <c r="F110" s="267" t="s">
        <v>78</v>
      </c>
      <c r="G110" s="267" t="s">
        <v>166</v>
      </c>
      <c r="H110" s="267" t="s">
        <v>80</v>
      </c>
      <c r="I110" s="267" t="s">
        <v>304</v>
      </c>
      <c r="J110" s="274">
        <v>0</v>
      </c>
      <c r="K110" s="274">
        <v>0</v>
      </c>
      <c r="L110" s="274">
        <v>15000</v>
      </c>
      <c r="M110" s="274">
        <v>15000</v>
      </c>
      <c r="N110" s="274"/>
      <c r="O110" s="274"/>
      <c r="P110" s="275">
        <f t="shared" si="31"/>
        <v>30000</v>
      </c>
      <c r="Q110" s="53"/>
      <c r="R110" s="275">
        <v>40000</v>
      </c>
      <c r="S110" s="275">
        <f t="shared" si="32"/>
        <v>30000</v>
      </c>
      <c r="T110" s="275"/>
      <c r="U110" s="275"/>
      <c r="V110" s="53"/>
      <c r="W110" s="53"/>
      <c r="X110" s="53"/>
      <c r="Y110" s="53"/>
      <c r="Z110" s="53"/>
      <c r="AA110" s="53"/>
      <c r="AB110" s="53"/>
      <c r="AC110" s="53"/>
      <c r="AD110" s="53"/>
      <c r="AE110" s="53"/>
      <c r="AF110" s="53"/>
      <c r="AG110" s="53"/>
      <c r="AH110" s="53"/>
      <c r="AI110" s="53"/>
      <c r="AJ110" s="53"/>
      <c r="AK110" s="53"/>
      <c r="AL110" s="53"/>
      <c r="AM110" s="53"/>
      <c r="AN110" s="53"/>
      <c r="AO110" s="53"/>
      <c r="AP110" s="53"/>
      <c r="AQ110" s="53"/>
      <c r="AR110" s="53"/>
      <c r="AS110" s="53"/>
      <c r="AT110" s="53"/>
      <c r="AU110" s="53"/>
      <c r="AV110" s="53"/>
      <c r="AW110" s="53"/>
      <c r="AX110" s="53"/>
    </row>
    <row r="111" spans="1:50" x14ac:dyDescent="0.25">
      <c r="A111" s="472"/>
      <c r="B111" s="475"/>
      <c r="C111" s="450"/>
      <c r="D111" s="459"/>
      <c r="E111" s="267" t="s">
        <v>2</v>
      </c>
      <c r="F111" s="267" t="s">
        <v>78</v>
      </c>
      <c r="G111" s="267" t="s">
        <v>166</v>
      </c>
      <c r="H111" s="267" t="s">
        <v>80</v>
      </c>
      <c r="I111" s="267" t="s">
        <v>305</v>
      </c>
      <c r="J111" s="274">
        <v>0</v>
      </c>
      <c r="K111" s="274">
        <v>0</v>
      </c>
      <c r="L111" s="274">
        <f>12*1000</f>
        <v>12000</v>
      </c>
      <c r="M111" s="274">
        <f>12*1000</f>
        <v>12000</v>
      </c>
      <c r="N111" s="274">
        <f>12*1000</f>
        <v>12000</v>
      </c>
      <c r="O111" s="274">
        <f>12*1000</f>
        <v>12000</v>
      </c>
      <c r="P111" s="275">
        <f t="shared" si="31"/>
        <v>48000</v>
      </c>
      <c r="Q111" s="53"/>
      <c r="R111" s="275">
        <v>48000</v>
      </c>
      <c r="S111" s="275">
        <f t="shared" si="32"/>
        <v>48000</v>
      </c>
      <c r="T111" s="275"/>
      <c r="U111" s="275"/>
      <c r="V111" s="53"/>
      <c r="W111" s="53"/>
      <c r="X111" s="53"/>
      <c r="Y111" s="53"/>
      <c r="Z111" s="53"/>
      <c r="AA111" s="53"/>
      <c r="AB111" s="53"/>
      <c r="AC111" s="53"/>
      <c r="AD111" s="53"/>
      <c r="AE111" s="53"/>
      <c r="AF111" s="53"/>
      <c r="AG111" s="53"/>
      <c r="AH111" s="53"/>
      <c r="AI111" s="53"/>
      <c r="AJ111" s="53"/>
      <c r="AK111" s="53"/>
      <c r="AL111" s="53"/>
      <c r="AM111" s="53"/>
      <c r="AN111" s="53"/>
      <c r="AO111" s="53"/>
      <c r="AP111" s="53"/>
      <c r="AQ111" s="53"/>
      <c r="AR111" s="53"/>
      <c r="AS111" s="53"/>
      <c r="AT111" s="53"/>
      <c r="AU111" s="53"/>
      <c r="AV111" s="53"/>
      <c r="AW111" s="53"/>
      <c r="AX111" s="53"/>
    </row>
    <row r="112" spans="1:50" ht="30.75" thickBot="1" x14ac:dyDescent="0.3">
      <c r="A112" s="472"/>
      <c r="B112" s="475"/>
      <c r="C112" s="452"/>
      <c r="D112" s="266" t="s">
        <v>306</v>
      </c>
      <c r="E112" s="281" t="s">
        <v>4</v>
      </c>
      <c r="F112" s="281" t="s">
        <v>4</v>
      </c>
      <c r="G112" s="281" t="s">
        <v>274</v>
      </c>
      <c r="H112" s="281" t="s">
        <v>29</v>
      </c>
      <c r="I112" s="281" t="s">
        <v>307</v>
      </c>
      <c r="J112" s="282">
        <v>0</v>
      </c>
      <c r="K112" s="282">
        <v>0</v>
      </c>
      <c r="L112" s="282">
        <v>30000</v>
      </c>
      <c r="M112" s="282">
        <v>30000</v>
      </c>
      <c r="N112" s="282">
        <v>30000</v>
      </c>
      <c r="O112" s="282">
        <v>30000</v>
      </c>
      <c r="P112" s="283">
        <f t="shared" si="31"/>
        <v>120000</v>
      </c>
      <c r="Q112" s="53"/>
      <c r="R112" s="283">
        <v>120000</v>
      </c>
      <c r="S112" s="283"/>
      <c r="T112" s="283"/>
      <c r="U112" s="283">
        <f>+P112</f>
        <v>120000</v>
      </c>
      <c r="V112" s="53"/>
      <c r="W112" s="53"/>
      <c r="X112" s="53"/>
      <c r="Y112" s="53"/>
      <c r="Z112" s="53"/>
      <c r="AA112" s="53"/>
      <c r="AB112" s="53"/>
      <c r="AC112" s="53"/>
      <c r="AD112" s="53"/>
      <c r="AE112" s="53"/>
      <c r="AF112" s="53"/>
      <c r="AG112" s="53"/>
      <c r="AH112" s="53"/>
      <c r="AI112" s="53"/>
      <c r="AJ112" s="53"/>
      <c r="AK112" s="53"/>
      <c r="AL112" s="53"/>
      <c r="AM112" s="53"/>
      <c r="AN112" s="53"/>
      <c r="AO112" s="53"/>
      <c r="AP112" s="53"/>
      <c r="AQ112" s="53"/>
      <c r="AR112" s="53"/>
      <c r="AS112" s="53"/>
      <c r="AT112" s="53"/>
      <c r="AU112" s="53"/>
      <c r="AV112" s="53"/>
      <c r="AW112" s="53"/>
      <c r="AX112" s="53"/>
    </row>
    <row r="113" spans="1:50" ht="15.75" thickBot="1" x14ac:dyDescent="0.3">
      <c r="A113" s="472"/>
      <c r="B113" s="476"/>
      <c r="C113" s="285" t="s">
        <v>308</v>
      </c>
      <c r="D113" s="286"/>
      <c r="E113" s="287"/>
      <c r="F113" s="288"/>
      <c r="G113" s="289"/>
      <c r="H113" s="289"/>
      <c r="I113" s="287"/>
      <c r="J113" s="290">
        <f t="shared" ref="J113:O113" si="33">SUM(J83:J112)</f>
        <v>310450</v>
      </c>
      <c r="K113" s="290">
        <f t="shared" si="33"/>
        <v>310500</v>
      </c>
      <c r="L113" s="290">
        <f t="shared" si="33"/>
        <v>264500</v>
      </c>
      <c r="M113" s="290">
        <f t="shared" si="33"/>
        <v>132500</v>
      </c>
      <c r="N113" s="290">
        <f t="shared" si="33"/>
        <v>192000</v>
      </c>
      <c r="O113" s="290">
        <f t="shared" si="33"/>
        <v>85000</v>
      </c>
      <c r="P113" s="291">
        <f>SUM(J113:O113)</f>
        <v>1294950</v>
      </c>
      <c r="Q113" s="338">
        <f>+P113/1000000</f>
        <v>1.29495</v>
      </c>
      <c r="R113" s="339">
        <v>1042450</v>
      </c>
      <c r="S113" s="339">
        <f>+SUM(S83:S112)</f>
        <v>1017950</v>
      </c>
      <c r="T113" s="339">
        <f>+SUM(T83:T112)</f>
        <v>0</v>
      </c>
      <c r="U113" s="339">
        <f>+SUM(U83:U112)</f>
        <v>175000</v>
      </c>
      <c r="V113" s="53"/>
      <c r="W113" s="53"/>
      <c r="X113" s="53"/>
      <c r="Y113" s="53"/>
      <c r="Z113" s="53"/>
      <c r="AA113" s="53"/>
      <c r="AB113" s="53"/>
      <c r="AC113" s="53"/>
      <c r="AD113" s="53"/>
      <c r="AE113" s="53"/>
      <c r="AF113" s="53"/>
      <c r="AG113" s="53"/>
      <c r="AH113" s="53"/>
      <c r="AI113" s="53"/>
      <c r="AJ113" s="53"/>
      <c r="AK113" s="53"/>
      <c r="AL113" s="53"/>
      <c r="AM113" s="53"/>
      <c r="AN113" s="53"/>
      <c r="AO113" s="53"/>
      <c r="AP113" s="53"/>
      <c r="AQ113" s="53"/>
      <c r="AR113" s="53"/>
      <c r="AS113" s="53"/>
      <c r="AT113" s="53"/>
      <c r="AU113" s="53"/>
      <c r="AV113" s="53"/>
      <c r="AW113" s="53"/>
      <c r="AX113" s="53"/>
    </row>
    <row r="114" spans="1:50" ht="35.450000000000003" customHeight="1" thickBot="1" x14ac:dyDescent="0.3">
      <c r="A114" s="472"/>
      <c r="B114" s="474" t="s">
        <v>309</v>
      </c>
      <c r="C114" s="455" t="s">
        <v>310</v>
      </c>
      <c r="D114" s="250" t="s">
        <v>311</v>
      </c>
      <c r="E114" s="270" t="s">
        <v>4</v>
      </c>
      <c r="F114" s="270" t="s">
        <v>4</v>
      </c>
      <c r="G114" s="270" t="s">
        <v>95</v>
      </c>
      <c r="H114" s="270" t="s">
        <v>29</v>
      </c>
      <c r="I114" s="270" t="s">
        <v>312</v>
      </c>
      <c r="J114" s="272">
        <v>10000</v>
      </c>
      <c r="K114" s="272">
        <v>5000</v>
      </c>
      <c r="L114" s="272"/>
      <c r="M114" s="272"/>
      <c r="N114" s="334"/>
      <c r="O114" s="334"/>
      <c r="P114" s="335">
        <f t="shared" si="31"/>
        <v>15000</v>
      </c>
      <c r="Q114" s="53"/>
      <c r="R114" s="273">
        <v>15000</v>
      </c>
      <c r="S114" s="273"/>
      <c r="T114" s="273"/>
      <c r="U114" s="273">
        <f>+P114</f>
        <v>15000</v>
      </c>
      <c r="V114" s="53"/>
      <c r="W114" s="53"/>
      <c r="X114" s="53"/>
      <c r="Y114" s="53"/>
      <c r="Z114" s="53"/>
      <c r="AA114" s="53"/>
      <c r="AB114" s="53"/>
      <c r="AC114" s="53"/>
      <c r="AD114" s="53"/>
      <c r="AE114" s="53"/>
      <c r="AF114" s="53"/>
      <c r="AG114" s="53"/>
      <c r="AH114" s="53"/>
      <c r="AI114" s="53"/>
      <c r="AJ114" s="53"/>
      <c r="AK114" s="53"/>
      <c r="AL114" s="53"/>
      <c r="AM114" s="53"/>
      <c r="AN114" s="53"/>
      <c r="AO114" s="53"/>
      <c r="AP114" s="53"/>
      <c r="AQ114" s="53"/>
      <c r="AR114" s="53"/>
      <c r="AS114" s="53"/>
      <c r="AT114" s="53"/>
      <c r="AU114" s="53"/>
      <c r="AV114" s="53"/>
      <c r="AW114" s="53"/>
      <c r="AX114" s="53"/>
    </row>
    <row r="115" spans="1:50" ht="37.15" customHeight="1" thickBot="1" x14ac:dyDescent="0.3">
      <c r="A115" s="472"/>
      <c r="B115" s="475"/>
      <c r="C115" s="456"/>
      <c r="D115" s="467" t="s">
        <v>313</v>
      </c>
      <c r="E115" s="267" t="s">
        <v>2</v>
      </c>
      <c r="F115" s="267" t="s">
        <v>78</v>
      </c>
      <c r="G115" s="267" t="s">
        <v>79</v>
      </c>
      <c r="H115" s="267" t="s">
        <v>80</v>
      </c>
      <c r="I115" s="267" t="s">
        <v>314</v>
      </c>
      <c r="J115" s="274">
        <f>15*500</f>
        <v>7500</v>
      </c>
      <c r="K115" s="274"/>
      <c r="L115" s="274"/>
      <c r="M115" s="274"/>
      <c r="N115" s="274"/>
      <c r="O115" s="274"/>
      <c r="P115" s="275">
        <f t="shared" si="31"/>
        <v>7500</v>
      </c>
      <c r="Q115" s="53"/>
      <c r="R115" s="273">
        <v>20000</v>
      </c>
      <c r="S115" s="273">
        <f>+P115</f>
        <v>7500</v>
      </c>
      <c r="T115" s="273"/>
      <c r="U115" s="273"/>
      <c r="V115" s="53"/>
      <c r="W115" s="53"/>
      <c r="X115" s="53"/>
      <c r="Y115" s="53"/>
      <c r="Z115" s="53"/>
      <c r="AA115" s="53"/>
      <c r="AB115" s="53"/>
      <c r="AC115" s="53"/>
      <c r="AD115" s="53"/>
      <c r="AE115" s="53"/>
      <c r="AF115" s="53"/>
      <c r="AG115" s="53"/>
      <c r="AH115" s="53"/>
      <c r="AI115" s="53"/>
      <c r="AJ115" s="53"/>
      <c r="AK115" s="53"/>
      <c r="AL115" s="53"/>
      <c r="AM115" s="53"/>
      <c r="AN115" s="53"/>
      <c r="AO115" s="53"/>
      <c r="AP115" s="53"/>
      <c r="AQ115" s="53"/>
      <c r="AR115" s="53"/>
      <c r="AS115" s="53"/>
      <c r="AT115" s="53"/>
      <c r="AU115" s="53"/>
      <c r="AV115" s="53"/>
      <c r="AW115" s="53"/>
      <c r="AX115" s="53"/>
    </row>
    <row r="116" spans="1:50" ht="37.15" customHeight="1" thickBot="1" x14ac:dyDescent="0.3">
      <c r="A116" s="472"/>
      <c r="B116" s="475"/>
      <c r="C116" s="456"/>
      <c r="D116" s="483"/>
      <c r="E116" s="267" t="s">
        <v>2</v>
      </c>
      <c r="F116" s="267" t="s">
        <v>78</v>
      </c>
      <c r="G116" s="267" t="s">
        <v>83</v>
      </c>
      <c r="H116" s="267" t="s">
        <v>80</v>
      </c>
      <c r="I116" s="267" t="s">
        <v>315</v>
      </c>
      <c r="J116" s="274">
        <v>2500</v>
      </c>
      <c r="K116" s="274">
        <f>2500*2</f>
        <v>5000</v>
      </c>
      <c r="L116" s="274"/>
      <c r="M116" s="274"/>
      <c r="N116" s="274">
        <f>2500*2</f>
        <v>5000</v>
      </c>
      <c r="O116" s="274"/>
      <c r="P116" s="275">
        <f t="shared" si="31"/>
        <v>12500</v>
      </c>
      <c r="Q116" s="280" t="s">
        <v>316</v>
      </c>
      <c r="R116" s="273"/>
      <c r="S116" s="273"/>
      <c r="T116" s="273"/>
      <c r="U116" s="273"/>
      <c r="V116" s="53"/>
      <c r="W116" s="53"/>
      <c r="X116" s="53"/>
      <c r="Y116" s="53"/>
      <c r="Z116" s="53"/>
      <c r="AA116" s="53"/>
      <c r="AB116" s="53"/>
      <c r="AC116" s="53"/>
      <c r="AD116" s="53"/>
      <c r="AE116" s="53"/>
      <c r="AF116" s="53"/>
      <c r="AG116" s="53"/>
      <c r="AH116" s="53"/>
      <c r="AI116" s="53"/>
      <c r="AJ116" s="53"/>
      <c r="AK116" s="53"/>
      <c r="AL116" s="53"/>
      <c r="AM116" s="53"/>
      <c r="AN116" s="53"/>
      <c r="AO116" s="53"/>
      <c r="AP116" s="53"/>
      <c r="AQ116" s="53"/>
      <c r="AR116" s="53"/>
      <c r="AS116" s="53"/>
      <c r="AT116" s="53"/>
      <c r="AU116" s="53"/>
      <c r="AV116" s="53"/>
      <c r="AW116" s="53"/>
      <c r="AX116" s="53"/>
    </row>
    <row r="117" spans="1:50" ht="26.25" customHeight="1" x14ac:dyDescent="0.25">
      <c r="A117" s="472"/>
      <c r="B117" s="475"/>
      <c r="C117" s="456"/>
      <c r="D117" s="459" t="s">
        <v>317</v>
      </c>
      <c r="E117" s="267" t="s">
        <v>2</v>
      </c>
      <c r="F117" s="267" t="s">
        <v>78</v>
      </c>
      <c r="G117" s="267" t="s">
        <v>95</v>
      </c>
      <c r="H117" s="267" t="s">
        <v>80</v>
      </c>
      <c r="I117" s="267" t="s">
        <v>318</v>
      </c>
      <c r="J117" s="274">
        <v>10000</v>
      </c>
      <c r="K117" s="274">
        <v>5000</v>
      </c>
      <c r="L117" s="274"/>
      <c r="M117" s="274"/>
      <c r="N117" s="274">
        <v>5000</v>
      </c>
      <c r="O117" s="274"/>
      <c r="P117" s="275">
        <f t="shared" si="31"/>
        <v>20000</v>
      </c>
      <c r="Q117" s="53"/>
      <c r="R117" s="273">
        <v>20000</v>
      </c>
      <c r="S117" s="273">
        <f>+P117</f>
        <v>20000</v>
      </c>
      <c r="T117" s="273"/>
      <c r="U117" s="273"/>
      <c r="V117" s="53"/>
      <c r="W117" s="53"/>
      <c r="X117" s="53"/>
      <c r="Y117" s="53"/>
      <c r="Z117" s="53"/>
      <c r="AA117" s="53"/>
      <c r="AB117" s="53"/>
      <c r="AC117" s="53"/>
      <c r="AD117" s="53"/>
      <c r="AE117" s="53"/>
      <c r="AF117" s="53"/>
      <c r="AG117" s="53"/>
      <c r="AH117" s="53"/>
      <c r="AI117" s="53"/>
      <c r="AJ117" s="53"/>
      <c r="AK117" s="53"/>
      <c r="AL117" s="53"/>
      <c r="AM117" s="53"/>
      <c r="AN117" s="53"/>
      <c r="AO117" s="53"/>
      <c r="AP117" s="53"/>
      <c r="AQ117" s="53"/>
      <c r="AR117" s="53"/>
      <c r="AS117" s="53"/>
      <c r="AT117" s="53"/>
      <c r="AU117" s="53"/>
      <c r="AV117" s="53"/>
      <c r="AW117" s="53"/>
      <c r="AX117" s="53"/>
    </row>
    <row r="118" spans="1:50" ht="26.25" customHeight="1" x14ac:dyDescent="0.25">
      <c r="A118" s="472"/>
      <c r="B118" s="475"/>
      <c r="C118" s="456"/>
      <c r="D118" s="459"/>
      <c r="E118" s="267" t="s">
        <v>2</v>
      </c>
      <c r="F118" s="267" t="s">
        <v>78</v>
      </c>
      <c r="G118" s="267" t="s">
        <v>102</v>
      </c>
      <c r="H118" s="267" t="s">
        <v>80</v>
      </c>
      <c r="I118" s="267" t="s">
        <v>319</v>
      </c>
      <c r="J118" s="274">
        <v>10000</v>
      </c>
      <c r="K118" s="274">
        <v>30000</v>
      </c>
      <c r="L118" s="274"/>
      <c r="M118" s="274"/>
      <c r="N118" s="274"/>
      <c r="O118" s="274"/>
      <c r="P118" s="275">
        <f t="shared" si="31"/>
        <v>40000</v>
      </c>
      <c r="Q118" s="53"/>
      <c r="R118" s="294"/>
      <c r="S118" s="337">
        <f>+P118</f>
        <v>40000</v>
      </c>
      <c r="T118" s="337"/>
      <c r="U118" s="337"/>
      <c r="V118" s="53"/>
      <c r="W118" s="53"/>
      <c r="X118" s="53"/>
      <c r="Y118" s="53"/>
      <c r="Z118" s="53"/>
      <c r="AA118" s="53"/>
      <c r="AB118" s="53"/>
      <c r="AC118" s="53"/>
      <c r="AD118" s="53"/>
      <c r="AE118" s="53"/>
      <c r="AF118" s="53"/>
      <c r="AG118" s="53"/>
      <c r="AH118" s="53"/>
      <c r="AI118" s="53"/>
      <c r="AJ118" s="53"/>
      <c r="AK118" s="53"/>
      <c r="AL118" s="53"/>
      <c r="AM118" s="53"/>
      <c r="AN118" s="53"/>
      <c r="AO118" s="53"/>
      <c r="AP118" s="53"/>
      <c r="AQ118" s="53"/>
      <c r="AR118" s="53"/>
      <c r="AS118" s="53"/>
      <c r="AT118" s="53"/>
      <c r="AU118" s="53"/>
      <c r="AV118" s="53"/>
      <c r="AW118" s="53"/>
      <c r="AX118" s="53"/>
    </row>
    <row r="119" spans="1:50" ht="46.9" customHeight="1" thickBot="1" x14ac:dyDescent="0.3">
      <c r="A119" s="472"/>
      <c r="B119" s="475"/>
      <c r="C119" s="457"/>
      <c r="D119" s="151" t="s">
        <v>320</v>
      </c>
      <c r="E119" s="340" t="s">
        <v>2</v>
      </c>
      <c r="F119" s="340" t="s">
        <v>78</v>
      </c>
      <c r="G119" s="324" t="s">
        <v>102</v>
      </c>
      <c r="H119" s="324" t="s">
        <v>80</v>
      </c>
      <c r="I119" s="324" t="s">
        <v>321</v>
      </c>
      <c r="J119" s="325"/>
      <c r="K119" s="325">
        <f>80*2000</f>
        <v>160000</v>
      </c>
      <c r="L119" s="325"/>
      <c r="M119" s="325"/>
      <c r="N119" s="325">
        <v>20000</v>
      </c>
      <c r="O119" s="325"/>
      <c r="P119" s="284">
        <f t="shared" si="31"/>
        <v>180000</v>
      </c>
      <c r="Q119" s="53"/>
      <c r="R119" s="283">
        <v>180000</v>
      </c>
      <c r="S119" s="283">
        <f>+P119</f>
        <v>180000</v>
      </c>
      <c r="T119" s="283"/>
      <c r="U119" s="283"/>
      <c r="V119" s="53"/>
      <c r="W119" s="53"/>
      <c r="X119" s="53"/>
      <c r="Y119" s="53"/>
      <c r="Z119" s="53"/>
      <c r="AA119" s="53"/>
      <c r="AB119" s="53"/>
      <c r="AC119" s="53"/>
      <c r="AD119" s="53"/>
      <c r="AE119" s="53"/>
      <c r="AF119" s="53"/>
      <c r="AG119" s="53"/>
      <c r="AH119" s="53"/>
      <c r="AI119" s="53"/>
      <c r="AJ119" s="53"/>
      <c r="AK119" s="53"/>
      <c r="AL119" s="53"/>
      <c r="AM119" s="53"/>
      <c r="AN119" s="53"/>
      <c r="AO119" s="53"/>
      <c r="AP119" s="53"/>
      <c r="AQ119" s="53"/>
      <c r="AR119" s="53"/>
      <c r="AS119" s="53"/>
      <c r="AT119" s="53"/>
      <c r="AU119" s="53"/>
      <c r="AV119" s="53"/>
      <c r="AW119" s="53"/>
      <c r="AX119" s="53"/>
    </row>
    <row r="120" spans="1:50" ht="40.9" customHeight="1" thickBot="1" x14ac:dyDescent="0.3">
      <c r="A120" s="472"/>
      <c r="B120" s="475"/>
      <c r="C120" s="449" t="s">
        <v>322</v>
      </c>
      <c r="D120" s="250" t="s">
        <v>323</v>
      </c>
      <c r="E120" s="270" t="s">
        <v>4</v>
      </c>
      <c r="F120" s="270" t="s">
        <v>4</v>
      </c>
      <c r="G120" s="270" t="s">
        <v>95</v>
      </c>
      <c r="H120" s="270" t="s">
        <v>29</v>
      </c>
      <c r="I120" s="270" t="s">
        <v>324</v>
      </c>
      <c r="J120" s="272"/>
      <c r="K120" s="272">
        <v>10000</v>
      </c>
      <c r="L120" s="272">
        <v>10000</v>
      </c>
      <c r="M120" s="272">
        <v>10000</v>
      </c>
      <c r="N120" s="272">
        <v>10000</v>
      </c>
      <c r="O120" s="272">
        <v>10000</v>
      </c>
      <c r="P120" s="273">
        <f t="shared" si="31"/>
        <v>50000</v>
      </c>
      <c r="Q120" s="53"/>
      <c r="R120" s="284">
        <v>50000</v>
      </c>
      <c r="S120" s="284"/>
      <c r="T120" s="284"/>
      <c r="U120" s="284">
        <f>+P120</f>
        <v>50000</v>
      </c>
      <c r="V120" s="53"/>
      <c r="W120" s="53"/>
      <c r="X120" s="53"/>
      <c r="Y120" s="53"/>
      <c r="Z120" s="53"/>
      <c r="AA120" s="53"/>
      <c r="AB120" s="53"/>
      <c r="AC120" s="53"/>
      <c r="AD120" s="53"/>
      <c r="AE120" s="53"/>
      <c r="AF120" s="53"/>
      <c r="AG120" s="53"/>
      <c r="AH120" s="53"/>
      <c r="AI120" s="53"/>
      <c r="AJ120" s="53"/>
      <c r="AK120" s="53"/>
      <c r="AL120" s="53"/>
      <c r="AM120" s="53"/>
      <c r="AN120" s="53"/>
      <c r="AO120" s="53"/>
      <c r="AP120" s="53"/>
      <c r="AQ120" s="53"/>
      <c r="AR120" s="53"/>
      <c r="AS120" s="53"/>
      <c r="AT120" s="53"/>
      <c r="AU120" s="53"/>
      <c r="AV120" s="53"/>
      <c r="AW120" s="53"/>
      <c r="AX120" s="53"/>
    </row>
    <row r="121" spans="1:50" ht="44.45" customHeight="1" thickBot="1" x14ac:dyDescent="0.3">
      <c r="A121" s="472"/>
      <c r="B121" s="475"/>
      <c r="C121" s="450"/>
      <c r="D121" s="265" t="s">
        <v>325</v>
      </c>
      <c r="E121" s="267" t="s">
        <v>4</v>
      </c>
      <c r="F121" s="267" t="s">
        <v>4</v>
      </c>
      <c r="G121" s="267" t="s">
        <v>95</v>
      </c>
      <c r="H121" s="267" t="s">
        <v>29</v>
      </c>
      <c r="I121" s="267" t="s">
        <v>326</v>
      </c>
      <c r="J121" s="274"/>
      <c r="K121" s="274">
        <v>500</v>
      </c>
      <c r="L121" s="274">
        <v>500</v>
      </c>
      <c r="M121" s="274">
        <v>500</v>
      </c>
      <c r="N121" s="274">
        <v>500</v>
      </c>
      <c r="O121" s="274"/>
      <c r="P121" s="275">
        <f t="shared" si="31"/>
        <v>2000</v>
      </c>
      <c r="Q121" s="53"/>
      <c r="R121" s="283">
        <v>2000</v>
      </c>
      <c r="S121" s="283"/>
      <c r="T121" s="283"/>
      <c r="U121" s="283">
        <f>+P121</f>
        <v>2000</v>
      </c>
      <c r="V121" s="53"/>
      <c r="W121" s="53"/>
      <c r="X121" s="53"/>
      <c r="Y121" s="53"/>
      <c r="Z121" s="53"/>
      <c r="AA121" s="53"/>
      <c r="AB121" s="53"/>
      <c r="AC121" s="53"/>
      <c r="AD121" s="53"/>
      <c r="AE121" s="53"/>
      <c r="AF121" s="53"/>
      <c r="AG121" s="53"/>
      <c r="AH121" s="53"/>
      <c r="AI121" s="53"/>
      <c r="AJ121" s="53"/>
      <c r="AK121" s="53"/>
      <c r="AL121" s="53"/>
      <c r="AM121" s="53"/>
      <c r="AN121" s="53"/>
      <c r="AO121" s="53"/>
      <c r="AP121" s="53"/>
      <c r="AQ121" s="53"/>
      <c r="AR121" s="53"/>
      <c r="AS121" s="53"/>
      <c r="AT121" s="53"/>
      <c r="AU121" s="53"/>
      <c r="AV121" s="53"/>
      <c r="AW121" s="53"/>
      <c r="AX121" s="53"/>
    </row>
    <row r="122" spans="1:50" ht="43.15" customHeight="1" thickBot="1" x14ac:dyDescent="0.3">
      <c r="A122" s="472"/>
      <c r="B122" s="475"/>
      <c r="C122" s="450"/>
      <c r="D122" s="265" t="s">
        <v>327</v>
      </c>
      <c r="E122" s="267" t="s">
        <v>4</v>
      </c>
      <c r="F122" s="267" t="s">
        <v>4</v>
      </c>
      <c r="G122" s="267" t="s">
        <v>274</v>
      </c>
      <c r="H122" s="267" t="s">
        <v>29</v>
      </c>
      <c r="I122" s="267" t="s">
        <v>328</v>
      </c>
      <c r="J122" s="274"/>
      <c r="K122" s="274"/>
      <c r="L122" s="274">
        <v>5000</v>
      </c>
      <c r="M122" s="274">
        <v>5000</v>
      </c>
      <c r="N122" s="274">
        <v>5000</v>
      </c>
      <c r="O122" s="274">
        <v>5000</v>
      </c>
      <c r="P122" s="275">
        <f t="shared" si="31"/>
        <v>20000</v>
      </c>
      <c r="Q122" s="53"/>
      <c r="R122" s="283">
        <v>20000</v>
      </c>
      <c r="S122" s="283"/>
      <c r="T122" s="283"/>
      <c r="U122" s="283">
        <f>+P122</f>
        <v>20000</v>
      </c>
      <c r="V122" s="53"/>
      <c r="W122" s="53"/>
      <c r="X122" s="53"/>
      <c r="Y122" s="53"/>
      <c r="Z122" s="53"/>
      <c r="AA122" s="53"/>
      <c r="AB122" s="53"/>
      <c r="AC122" s="53"/>
      <c r="AD122" s="53"/>
      <c r="AE122" s="53"/>
      <c r="AF122" s="53"/>
      <c r="AG122" s="53"/>
      <c r="AH122" s="53"/>
      <c r="AI122" s="53"/>
      <c r="AJ122" s="53"/>
      <c r="AK122" s="53"/>
      <c r="AL122" s="53"/>
      <c r="AM122" s="53"/>
      <c r="AN122" s="53"/>
      <c r="AO122" s="53"/>
      <c r="AP122" s="53"/>
      <c r="AQ122" s="53"/>
      <c r="AR122" s="53"/>
      <c r="AS122" s="53"/>
      <c r="AT122" s="53"/>
      <c r="AU122" s="53"/>
      <c r="AV122" s="53"/>
      <c r="AW122" s="53"/>
      <c r="AX122" s="53"/>
    </row>
    <row r="123" spans="1:50" x14ac:dyDescent="0.25">
      <c r="A123" s="472"/>
      <c r="B123" s="475"/>
      <c r="C123" s="450"/>
      <c r="D123" s="459" t="s">
        <v>329</v>
      </c>
      <c r="E123" s="267" t="s">
        <v>2</v>
      </c>
      <c r="F123" s="267" t="s">
        <v>78</v>
      </c>
      <c r="G123" s="267" t="s">
        <v>79</v>
      </c>
      <c r="H123" s="267" t="s">
        <v>80</v>
      </c>
      <c r="I123" s="267" t="s">
        <v>330</v>
      </c>
      <c r="J123" s="274"/>
      <c r="K123" s="274">
        <f>25*500</f>
        <v>12500</v>
      </c>
      <c r="L123" s="274"/>
      <c r="M123" s="274"/>
      <c r="N123" s="274"/>
      <c r="O123" s="274"/>
      <c r="P123" s="275">
        <f t="shared" ref="P123:P129" si="34">SUM(J123:O123)</f>
        <v>12500</v>
      </c>
      <c r="Q123" s="53"/>
      <c r="R123" s="273">
        <v>22500</v>
      </c>
      <c r="S123" s="273">
        <f t="shared" ref="S123:S135" si="35">+P123</f>
        <v>12500</v>
      </c>
      <c r="T123" s="273"/>
      <c r="U123" s="273"/>
      <c r="V123" s="53"/>
      <c r="W123" s="53"/>
      <c r="X123" s="53"/>
      <c r="Y123" s="53"/>
      <c r="Z123" s="53"/>
      <c r="AA123" s="53"/>
      <c r="AB123" s="53"/>
      <c r="AC123" s="53"/>
      <c r="AD123" s="53"/>
      <c r="AE123" s="53"/>
      <c r="AF123" s="53"/>
      <c r="AG123" s="53"/>
      <c r="AH123" s="53"/>
      <c r="AI123" s="53"/>
      <c r="AJ123" s="53"/>
      <c r="AK123" s="53"/>
      <c r="AL123" s="53"/>
      <c r="AM123" s="53"/>
      <c r="AN123" s="53"/>
      <c r="AO123" s="53"/>
      <c r="AP123" s="53"/>
      <c r="AQ123" s="53"/>
      <c r="AR123" s="53"/>
      <c r="AS123" s="53"/>
      <c r="AT123" s="53"/>
      <c r="AU123" s="53"/>
      <c r="AV123" s="53"/>
      <c r="AW123" s="53"/>
      <c r="AX123" s="53"/>
    </row>
    <row r="124" spans="1:50" x14ac:dyDescent="0.25">
      <c r="A124" s="472"/>
      <c r="B124" s="475"/>
      <c r="C124" s="450"/>
      <c r="D124" s="459"/>
      <c r="E124" s="267" t="s">
        <v>2</v>
      </c>
      <c r="F124" s="267" t="s">
        <v>78</v>
      </c>
      <c r="G124" s="267" t="s">
        <v>83</v>
      </c>
      <c r="H124" s="267" t="s">
        <v>80</v>
      </c>
      <c r="I124" s="267" t="s">
        <v>331</v>
      </c>
      <c r="J124" s="274"/>
      <c r="K124" s="274">
        <f>30*250</f>
        <v>7500</v>
      </c>
      <c r="L124" s="274">
        <f>30*250</f>
        <v>7500</v>
      </c>
      <c r="M124" s="274">
        <f>30*250</f>
        <v>7500</v>
      </c>
      <c r="N124" s="274">
        <f>30*250</f>
        <v>7500</v>
      </c>
      <c r="O124" s="274"/>
      <c r="P124" s="275">
        <f t="shared" si="34"/>
        <v>30000</v>
      </c>
      <c r="Q124" s="53"/>
      <c r="R124" s="275">
        <v>30000</v>
      </c>
      <c r="S124" s="275">
        <f t="shared" si="35"/>
        <v>30000</v>
      </c>
      <c r="T124" s="275"/>
      <c r="U124" s="275"/>
      <c r="V124" s="53"/>
      <c r="W124" s="53"/>
      <c r="X124" s="53"/>
      <c r="Y124" s="53"/>
      <c r="Z124" s="53"/>
      <c r="AA124" s="53"/>
      <c r="AB124" s="53"/>
      <c r="AC124" s="53"/>
      <c r="AD124" s="53"/>
      <c r="AE124" s="53"/>
      <c r="AF124" s="53"/>
      <c r="AG124" s="53"/>
      <c r="AH124" s="53"/>
      <c r="AI124" s="53"/>
      <c r="AJ124" s="53"/>
      <c r="AK124" s="53"/>
      <c r="AL124" s="53"/>
      <c r="AM124" s="53"/>
      <c r="AN124" s="53"/>
      <c r="AO124" s="53"/>
      <c r="AP124" s="53"/>
      <c r="AQ124" s="53"/>
      <c r="AR124" s="53"/>
      <c r="AS124" s="53"/>
      <c r="AT124" s="53"/>
      <c r="AU124" s="53"/>
      <c r="AV124" s="53"/>
      <c r="AW124" s="53"/>
      <c r="AX124" s="53"/>
    </row>
    <row r="125" spans="1:50" ht="15.75" thickBot="1" x14ac:dyDescent="0.3">
      <c r="A125" s="472"/>
      <c r="B125" s="475"/>
      <c r="C125" s="450"/>
      <c r="D125" s="459"/>
      <c r="E125" s="267" t="s">
        <v>2</v>
      </c>
      <c r="F125" s="267" t="s">
        <v>78</v>
      </c>
      <c r="G125" s="267" t="s">
        <v>95</v>
      </c>
      <c r="H125" s="267" t="s">
        <v>80</v>
      </c>
      <c r="I125" s="267" t="s">
        <v>332</v>
      </c>
      <c r="J125" s="274"/>
      <c r="K125" s="274">
        <v>5000</v>
      </c>
      <c r="L125" s="274">
        <v>5000</v>
      </c>
      <c r="M125" s="274">
        <v>5000</v>
      </c>
      <c r="N125" s="274">
        <v>5000</v>
      </c>
      <c r="O125" s="274"/>
      <c r="P125" s="275">
        <f t="shared" si="34"/>
        <v>20000</v>
      </c>
      <c r="Q125" s="53"/>
      <c r="R125" s="283">
        <v>20000</v>
      </c>
      <c r="S125" s="283">
        <f t="shared" si="35"/>
        <v>20000</v>
      </c>
      <c r="T125" s="283"/>
      <c r="U125" s="283"/>
      <c r="V125" s="53"/>
      <c r="W125" s="53"/>
      <c r="X125" s="53"/>
      <c r="Y125" s="53"/>
      <c r="Z125" s="53"/>
      <c r="AA125" s="53"/>
      <c r="AB125" s="53"/>
      <c r="AC125" s="53"/>
      <c r="AD125" s="53"/>
      <c r="AE125" s="53"/>
      <c r="AF125" s="53"/>
      <c r="AG125" s="53"/>
      <c r="AH125" s="53"/>
      <c r="AI125" s="53"/>
      <c r="AJ125" s="53"/>
      <c r="AK125" s="53"/>
      <c r="AL125" s="53"/>
      <c r="AM125" s="53"/>
      <c r="AN125" s="53"/>
      <c r="AO125" s="53"/>
      <c r="AP125" s="53"/>
      <c r="AQ125" s="53"/>
      <c r="AR125" s="53"/>
      <c r="AS125" s="53"/>
      <c r="AT125" s="53"/>
      <c r="AU125" s="53"/>
      <c r="AV125" s="53"/>
      <c r="AW125" s="53"/>
      <c r="AX125" s="53"/>
    </row>
    <row r="126" spans="1:50" ht="27" customHeight="1" x14ac:dyDescent="0.25">
      <c r="A126" s="472"/>
      <c r="B126" s="475"/>
      <c r="C126" s="450"/>
      <c r="D126" s="459" t="s">
        <v>333</v>
      </c>
      <c r="E126" s="267" t="s">
        <v>2</v>
      </c>
      <c r="F126" s="267" t="s">
        <v>78</v>
      </c>
      <c r="G126" s="267" t="s">
        <v>79</v>
      </c>
      <c r="H126" s="267" t="s">
        <v>80</v>
      </c>
      <c r="I126" s="267" t="s">
        <v>334</v>
      </c>
      <c r="J126" s="274">
        <f>20*500</f>
        <v>10000</v>
      </c>
      <c r="K126" s="274">
        <f>+J126</f>
        <v>10000</v>
      </c>
      <c r="L126" s="274">
        <f>+K126</f>
        <v>10000</v>
      </c>
      <c r="M126" s="274">
        <f>+L126</f>
        <v>10000</v>
      </c>
      <c r="N126" s="274">
        <f>+M126</f>
        <v>10000</v>
      </c>
      <c r="O126" s="274"/>
      <c r="P126" s="275">
        <f t="shared" si="34"/>
        <v>50000</v>
      </c>
      <c r="Q126" s="53"/>
      <c r="R126" s="294"/>
      <c r="S126" s="341">
        <f t="shared" si="35"/>
        <v>50000</v>
      </c>
      <c r="T126" s="341"/>
      <c r="U126" s="341"/>
      <c r="V126" s="53"/>
      <c r="W126" s="53"/>
      <c r="X126" s="53"/>
      <c r="Y126" s="53"/>
      <c r="Z126" s="53"/>
      <c r="AA126" s="53"/>
      <c r="AB126" s="53"/>
      <c r="AC126" s="53"/>
      <c r="AD126" s="53"/>
      <c r="AE126" s="53"/>
      <c r="AF126" s="53"/>
      <c r="AG126" s="53"/>
      <c r="AH126" s="53"/>
      <c r="AI126" s="53"/>
      <c r="AJ126" s="53"/>
      <c r="AK126" s="53"/>
      <c r="AL126" s="53"/>
      <c r="AM126" s="53"/>
      <c r="AN126" s="53"/>
      <c r="AO126" s="53"/>
      <c r="AP126" s="53"/>
      <c r="AQ126" s="53"/>
      <c r="AR126" s="53"/>
      <c r="AS126" s="53"/>
      <c r="AT126" s="53"/>
      <c r="AU126" s="53"/>
      <c r="AV126" s="53"/>
      <c r="AW126" s="53"/>
      <c r="AX126" s="53"/>
    </row>
    <row r="127" spans="1:50" ht="27" customHeight="1" x14ac:dyDescent="0.25">
      <c r="A127" s="472"/>
      <c r="B127" s="475"/>
      <c r="C127" s="450"/>
      <c r="D127" s="459"/>
      <c r="E127" s="267" t="s">
        <v>2</v>
      </c>
      <c r="F127" s="267" t="s">
        <v>78</v>
      </c>
      <c r="G127" s="267" t="s">
        <v>83</v>
      </c>
      <c r="H127" s="267" t="s">
        <v>80</v>
      </c>
      <c r="I127" s="267" t="s">
        <v>335</v>
      </c>
      <c r="J127" s="274">
        <v>7500</v>
      </c>
      <c r="K127" s="274">
        <v>12500</v>
      </c>
      <c r="L127" s="274">
        <v>12500</v>
      </c>
      <c r="M127" s="274">
        <v>12500</v>
      </c>
      <c r="N127" s="274">
        <v>10000</v>
      </c>
      <c r="O127" s="274"/>
      <c r="P127" s="275">
        <f t="shared" si="34"/>
        <v>55000</v>
      </c>
      <c r="Q127" s="53"/>
      <c r="R127" s="294"/>
      <c r="S127" s="329">
        <f t="shared" si="35"/>
        <v>55000</v>
      </c>
      <c r="T127" s="329"/>
      <c r="U127" s="329"/>
      <c r="V127" s="53"/>
      <c r="W127" s="53"/>
      <c r="X127" s="53"/>
      <c r="Y127" s="53"/>
      <c r="Z127" s="53"/>
      <c r="AA127" s="53"/>
      <c r="AB127" s="53"/>
      <c r="AC127" s="53"/>
      <c r="AD127" s="53"/>
      <c r="AE127" s="53"/>
      <c r="AF127" s="53"/>
      <c r="AG127" s="53"/>
      <c r="AH127" s="53"/>
      <c r="AI127" s="53"/>
      <c r="AJ127" s="53"/>
      <c r="AK127" s="53"/>
      <c r="AL127" s="53"/>
      <c r="AM127" s="53"/>
      <c r="AN127" s="53"/>
      <c r="AO127" s="53"/>
      <c r="AP127" s="53"/>
      <c r="AQ127" s="53"/>
      <c r="AR127" s="53"/>
      <c r="AS127" s="53"/>
      <c r="AT127" s="53"/>
      <c r="AU127" s="53"/>
      <c r="AV127" s="53"/>
      <c r="AW127" s="53"/>
      <c r="AX127" s="53"/>
    </row>
    <row r="128" spans="1:50" ht="27" customHeight="1" x14ac:dyDescent="0.25">
      <c r="A128" s="472"/>
      <c r="B128" s="475"/>
      <c r="C128" s="450"/>
      <c r="D128" s="459"/>
      <c r="E128" s="267" t="s">
        <v>2</v>
      </c>
      <c r="F128" s="267" t="s">
        <v>78</v>
      </c>
      <c r="G128" s="267" t="s">
        <v>102</v>
      </c>
      <c r="H128" s="267" t="s">
        <v>80</v>
      </c>
      <c r="I128" s="267" t="s">
        <v>336</v>
      </c>
      <c r="J128" s="274">
        <f>1500*5</f>
        <v>7500</v>
      </c>
      <c r="K128" s="274">
        <f>+J128</f>
        <v>7500</v>
      </c>
      <c r="L128" s="274"/>
      <c r="M128" s="274"/>
      <c r="N128" s="274"/>
      <c r="O128" s="274"/>
      <c r="P128" s="275">
        <f t="shared" si="34"/>
        <v>15000</v>
      </c>
      <c r="Q128" s="53"/>
      <c r="R128" s="294"/>
      <c r="S128" s="329">
        <f t="shared" si="35"/>
        <v>15000</v>
      </c>
      <c r="T128" s="329"/>
      <c r="U128" s="329"/>
      <c r="V128" s="53"/>
      <c r="W128" s="53"/>
      <c r="X128" s="53"/>
      <c r="Y128" s="53"/>
      <c r="Z128" s="53"/>
      <c r="AA128" s="53"/>
      <c r="AB128" s="53"/>
      <c r="AC128" s="53"/>
      <c r="AD128" s="53"/>
      <c r="AE128" s="53"/>
      <c r="AF128" s="53"/>
      <c r="AG128" s="53"/>
      <c r="AH128" s="53"/>
      <c r="AI128" s="53"/>
      <c r="AJ128" s="53"/>
      <c r="AK128" s="53"/>
      <c r="AL128" s="53"/>
      <c r="AM128" s="53"/>
      <c r="AN128" s="53"/>
      <c r="AO128" s="53"/>
      <c r="AP128" s="53"/>
      <c r="AQ128" s="53"/>
      <c r="AR128" s="53"/>
      <c r="AS128" s="53"/>
      <c r="AT128" s="53"/>
      <c r="AU128" s="53"/>
      <c r="AV128" s="53"/>
      <c r="AW128" s="53"/>
      <c r="AX128" s="53"/>
    </row>
    <row r="129" spans="1:50" ht="27" customHeight="1" thickBot="1" x14ac:dyDescent="0.3">
      <c r="A129" s="472"/>
      <c r="B129" s="475"/>
      <c r="C129" s="450"/>
      <c r="D129" s="459"/>
      <c r="E129" s="267" t="s">
        <v>2</v>
      </c>
      <c r="F129" s="267" t="s">
        <v>78</v>
      </c>
      <c r="G129" s="267" t="s">
        <v>95</v>
      </c>
      <c r="H129" s="267" t="s">
        <v>80</v>
      </c>
      <c r="I129" s="267" t="s">
        <v>337</v>
      </c>
      <c r="J129" s="274"/>
      <c r="K129" s="274">
        <v>5000</v>
      </c>
      <c r="L129" s="274">
        <v>5000</v>
      </c>
      <c r="M129" s="274">
        <v>5000</v>
      </c>
      <c r="N129" s="274">
        <v>5000</v>
      </c>
      <c r="O129" s="274"/>
      <c r="P129" s="275">
        <f t="shared" si="34"/>
        <v>20000</v>
      </c>
      <c r="Q129" s="53"/>
      <c r="R129" s="294"/>
      <c r="S129" s="333">
        <f t="shared" si="35"/>
        <v>20000</v>
      </c>
      <c r="T129" s="333"/>
      <c r="U129" s="333"/>
      <c r="V129" s="53"/>
      <c r="W129" s="53"/>
      <c r="X129" s="53"/>
      <c r="Y129" s="53"/>
      <c r="Z129" s="53"/>
      <c r="AA129" s="53"/>
      <c r="AB129" s="53"/>
      <c r="AC129" s="53"/>
      <c r="AD129" s="53"/>
      <c r="AE129" s="53"/>
      <c r="AF129" s="53"/>
      <c r="AG129" s="53"/>
      <c r="AH129" s="53"/>
      <c r="AI129" s="53"/>
      <c r="AJ129" s="53"/>
      <c r="AK129" s="53"/>
      <c r="AL129" s="53"/>
      <c r="AM129" s="53"/>
      <c r="AN129" s="53"/>
      <c r="AO129" s="53"/>
      <c r="AP129" s="53"/>
      <c r="AQ129" s="53"/>
      <c r="AR129" s="53"/>
      <c r="AS129" s="53"/>
      <c r="AT129" s="53"/>
      <c r="AU129" s="53"/>
      <c r="AV129" s="53"/>
      <c r="AW129" s="53"/>
      <c r="AX129" s="53"/>
    </row>
    <row r="130" spans="1:50" x14ac:dyDescent="0.25">
      <c r="A130" s="472"/>
      <c r="B130" s="475"/>
      <c r="C130" s="450"/>
      <c r="D130" s="459" t="s">
        <v>338</v>
      </c>
      <c r="E130" s="267" t="s">
        <v>2</v>
      </c>
      <c r="F130" s="267" t="s">
        <v>78</v>
      </c>
      <c r="G130" s="267" t="s">
        <v>339</v>
      </c>
      <c r="H130" s="267" t="s">
        <v>80</v>
      </c>
      <c r="I130" s="267" t="s">
        <v>340</v>
      </c>
      <c r="J130" s="274">
        <v>10000</v>
      </c>
      <c r="K130" s="274">
        <f>+J130</f>
        <v>10000</v>
      </c>
      <c r="L130" s="274"/>
      <c r="M130" s="274">
        <f>+K130</f>
        <v>10000</v>
      </c>
      <c r="N130" s="274"/>
      <c r="O130" s="274"/>
      <c r="P130" s="275">
        <f t="shared" ref="P130:P135" si="36">SUM(J130:O130)</f>
        <v>30000</v>
      </c>
      <c r="Q130" s="53"/>
      <c r="R130" s="273"/>
      <c r="S130" s="341">
        <f t="shared" si="35"/>
        <v>30000</v>
      </c>
      <c r="T130" s="341"/>
      <c r="U130" s="341"/>
      <c r="V130" s="53"/>
      <c r="W130" s="53"/>
      <c r="X130" s="53"/>
      <c r="Y130" s="53"/>
      <c r="Z130" s="53"/>
      <c r="AA130" s="53"/>
      <c r="AB130" s="53"/>
      <c r="AC130" s="53"/>
      <c r="AD130" s="53"/>
      <c r="AE130" s="53"/>
      <c r="AF130" s="53"/>
      <c r="AG130" s="53"/>
      <c r="AH130" s="53"/>
      <c r="AI130" s="53"/>
      <c r="AJ130" s="53"/>
      <c r="AK130" s="53"/>
      <c r="AL130" s="53"/>
      <c r="AM130" s="53"/>
      <c r="AN130" s="53"/>
      <c r="AO130" s="53"/>
      <c r="AP130" s="53"/>
      <c r="AQ130" s="53"/>
      <c r="AR130" s="53"/>
      <c r="AS130" s="53"/>
      <c r="AT130" s="53"/>
      <c r="AU130" s="53"/>
      <c r="AV130" s="53"/>
      <c r="AW130" s="53"/>
      <c r="AX130" s="53"/>
    </row>
    <row r="131" spans="1:50" x14ac:dyDescent="0.25">
      <c r="A131" s="472"/>
      <c r="B131" s="475"/>
      <c r="C131" s="450"/>
      <c r="D131" s="459"/>
      <c r="E131" s="267" t="s">
        <v>2</v>
      </c>
      <c r="F131" s="267" t="s">
        <v>78</v>
      </c>
      <c r="G131" s="267" t="s">
        <v>83</v>
      </c>
      <c r="H131" s="267" t="s">
        <v>80</v>
      </c>
      <c r="I131" s="267" t="s">
        <v>341</v>
      </c>
      <c r="J131" s="274"/>
      <c r="K131" s="274">
        <f>30*250</f>
        <v>7500</v>
      </c>
      <c r="L131" s="274">
        <v>10000</v>
      </c>
      <c r="M131" s="274">
        <v>10000</v>
      </c>
      <c r="N131" s="274">
        <f>30*250</f>
        <v>7500</v>
      </c>
      <c r="O131" s="274"/>
      <c r="P131" s="275">
        <f t="shared" si="36"/>
        <v>35000</v>
      </c>
      <c r="Q131" s="53"/>
      <c r="R131" s="275"/>
      <c r="S131" s="329">
        <f t="shared" si="35"/>
        <v>35000</v>
      </c>
      <c r="T131" s="329"/>
      <c r="U131" s="329"/>
      <c r="V131" s="53"/>
      <c r="W131" s="53"/>
      <c r="X131" s="53"/>
      <c r="Y131" s="53"/>
      <c r="Z131" s="53"/>
      <c r="AA131" s="53"/>
      <c r="AB131" s="53"/>
      <c r="AC131" s="53"/>
      <c r="AD131" s="53"/>
      <c r="AE131" s="53"/>
      <c r="AF131" s="53"/>
      <c r="AG131" s="53"/>
      <c r="AH131" s="53"/>
      <c r="AI131" s="53"/>
      <c r="AJ131" s="53"/>
      <c r="AK131" s="53"/>
      <c r="AL131" s="53"/>
      <c r="AM131" s="53"/>
      <c r="AN131" s="53"/>
      <c r="AO131" s="53"/>
      <c r="AP131" s="53"/>
      <c r="AQ131" s="53"/>
      <c r="AR131" s="53"/>
      <c r="AS131" s="53"/>
      <c r="AT131" s="53"/>
      <c r="AU131" s="53"/>
      <c r="AV131" s="53"/>
      <c r="AW131" s="53"/>
      <c r="AX131" s="53"/>
    </row>
    <row r="132" spans="1:50" ht="15.75" thickBot="1" x14ac:dyDescent="0.3">
      <c r="A132" s="472"/>
      <c r="B132" s="475"/>
      <c r="C132" s="450"/>
      <c r="D132" s="459"/>
      <c r="E132" s="267" t="s">
        <v>2</v>
      </c>
      <c r="F132" s="267" t="s">
        <v>78</v>
      </c>
      <c r="G132" s="267" t="s">
        <v>95</v>
      </c>
      <c r="H132" s="267" t="s">
        <v>80</v>
      </c>
      <c r="I132" s="267" t="s">
        <v>342</v>
      </c>
      <c r="J132" s="274"/>
      <c r="K132" s="274">
        <v>5000</v>
      </c>
      <c r="L132" s="274">
        <v>5000</v>
      </c>
      <c r="M132" s="274">
        <v>5000</v>
      </c>
      <c r="N132" s="274">
        <v>5000</v>
      </c>
      <c r="O132" s="274"/>
      <c r="P132" s="275">
        <f t="shared" si="36"/>
        <v>20000</v>
      </c>
      <c r="Q132" s="53"/>
      <c r="R132" s="283"/>
      <c r="S132" s="333">
        <f t="shared" si="35"/>
        <v>20000</v>
      </c>
      <c r="T132" s="333"/>
      <c r="U132" s="333"/>
      <c r="V132" s="53"/>
      <c r="W132" s="53"/>
      <c r="X132" s="53"/>
      <c r="Y132" s="53"/>
      <c r="Z132" s="53"/>
      <c r="AA132" s="53"/>
      <c r="AB132" s="53"/>
      <c r="AC132" s="53"/>
      <c r="AD132" s="53"/>
      <c r="AE132" s="53"/>
      <c r="AF132" s="53"/>
      <c r="AG132" s="53"/>
      <c r="AH132" s="53"/>
      <c r="AI132" s="53"/>
      <c r="AJ132" s="53"/>
      <c r="AK132" s="53"/>
      <c r="AL132" s="53"/>
      <c r="AM132" s="53"/>
      <c r="AN132" s="53"/>
      <c r="AO132" s="53"/>
      <c r="AP132" s="53"/>
      <c r="AQ132" s="53"/>
      <c r="AR132" s="53"/>
      <c r="AS132" s="53"/>
      <c r="AT132" s="53"/>
      <c r="AU132" s="53"/>
      <c r="AV132" s="53"/>
      <c r="AW132" s="53"/>
      <c r="AX132" s="53"/>
    </row>
    <row r="133" spans="1:50" x14ac:dyDescent="0.25">
      <c r="A133" s="472"/>
      <c r="B133" s="475"/>
      <c r="C133" s="450"/>
      <c r="D133" s="459" t="s">
        <v>343</v>
      </c>
      <c r="E133" s="267" t="s">
        <v>2</v>
      </c>
      <c r="F133" s="267" t="s">
        <v>78</v>
      </c>
      <c r="G133" s="267" t="s">
        <v>166</v>
      </c>
      <c r="H133" s="267" t="s">
        <v>80</v>
      </c>
      <c r="I133" s="267" t="s">
        <v>344</v>
      </c>
      <c r="J133" s="274">
        <v>10000</v>
      </c>
      <c r="K133" s="274">
        <f>+J133</f>
        <v>10000</v>
      </c>
      <c r="L133" s="274">
        <f>+K133</f>
        <v>10000</v>
      </c>
      <c r="M133" s="274"/>
      <c r="N133" s="274">
        <v>10000</v>
      </c>
      <c r="O133" s="274"/>
      <c r="P133" s="275">
        <f t="shared" si="36"/>
        <v>40000</v>
      </c>
      <c r="Q133" s="53"/>
      <c r="R133" s="273"/>
      <c r="S133" s="341">
        <f t="shared" si="35"/>
        <v>40000</v>
      </c>
      <c r="T133" s="341"/>
      <c r="U133" s="341"/>
      <c r="V133" s="53"/>
      <c r="W133" s="53"/>
      <c r="X133" s="53"/>
      <c r="Y133" s="53"/>
      <c r="Z133" s="53"/>
      <c r="AA133" s="53"/>
      <c r="AB133" s="53"/>
      <c r="AC133" s="53"/>
      <c r="AD133" s="53"/>
      <c r="AE133" s="53"/>
      <c r="AF133" s="53"/>
      <c r="AG133" s="53"/>
      <c r="AH133" s="53"/>
      <c r="AI133" s="53"/>
      <c r="AJ133" s="53"/>
      <c r="AK133" s="53"/>
      <c r="AL133" s="53"/>
      <c r="AM133" s="53"/>
      <c r="AN133" s="53"/>
      <c r="AO133" s="53"/>
      <c r="AP133" s="53"/>
      <c r="AQ133" s="53"/>
      <c r="AR133" s="53"/>
      <c r="AS133" s="53"/>
      <c r="AT133" s="53"/>
      <c r="AU133" s="53"/>
      <c r="AV133" s="53"/>
      <c r="AW133" s="53"/>
      <c r="AX133" s="53"/>
    </row>
    <row r="134" spans="1:50" x14ac:dyDescent="0.25">
      <c r="A134" s="472"/>
      <c r="B134" s="475"/>
      <c r="C134" s="450"/>
      <c r="D134" s="459"/>
      <c r="E134" s="267" t="s">
        <v>2</v>
      </c>
      <c r="F134" s="267" t="s">
        <v>78</v>
      </c>
      <c r="G134" s="267" t="s">
        <v>83</v>
      </c>
      <c r="H134" s="267" t="s">
        <v>80</v>
      </c>
      <c r="I134" s="267" t="s">
        <v>345</v>
      </c>
      <c r="J134" s="274">
        <f>30*250</f>
        <v>7500</v>
      </c>
      <c r="K134" s="274">
        <f>30*250</f>
        <v>7500</v>
      </c>
      <c r="L134" s="274">
        <f>30*250</f>
        <v>7500</v>
      </c>
      <c r="M134" s="274">
        <v>7500</v>
      </c>
      <c r="N134" s="274"/>
      <c r="O134" s="274"/>
      <c r="P134" s="275">
        <f t="shared" si="36"/>
        <v>30000</v>
      </c>
      <c r="Q134" s="53"/>
      <c r="R134" s="275"/>
      <c r="S134" s="329">
        <f t="shared" si="35"/>
        <v>30000</v>
      </c>
      <c r="T134" s="329"/>
      <c r="U134" s="329"/>
      <c r="V134" s="53"/>
      <c r="W134" s="53"/>
      <c r="X134" s="53"/>
      <c r="Y134" s="53"/>
      <c r="Z134" s="53"/>
      <c r="AA134" s="53"/>
      <c r="AB134" s="53"/>
      <c r="AC134" s="53"/>
      <c r="AD134" s="53"/>
      <c r="AE134" s="53"/>
      <c r="AF134" s="53"/>
      <c r="AG134" s="53"/>
      <c r="AH134" s="53"/>
      <c r="AI134" s="53"/>
      <c r="AJ134" s="53"/>
      <c r="AK134" s="53"/>
      <c r="AL134" s="53"/>
      <c r="AM134" s="53"/>
      <c r="AN134" s="53"/>
      <c r="AO134" s="53"/>
      <c r="AP134" s="53"/>
      <c r="AQ134" s="53"/>
      <c r="AR134" s="53"/>
      <c r="AS134" s="53"/>
      <c r="AT134" s="53"/>
      <c r="AU134" s="53"/>
      <c r="AV134" s="53"/>
      <c r="AW134" s="53"/>
      <c r="AX134" s="53"/>
    </row>
    <row r="135" spans="1:50" ht="31.9" customHeight="1" thickBot="1" x14ac:dyDescent="0.3">
      <c r="A135" s="472"/>
      <c r="B135" s="475"/>
      <c r="C135" s="450"/>
      <c r="D135" s="459"/>
      <c r="E135" s="267" t="s">
        <v>2</v>
      </c>
      <c r="F135" s="267" t="s">
        <v>78</v>
      </c>
      <c r="G135" s="267" t="s">
        <v>95</v>
      </c>
      <c r="H135" s="267" t="s">
        <v>80</v>
      </c>
      <c r="I135" s="267" t="s">
        <v>346</v>
      </c>
      <c r="J135" s="274"/>
      <c r="K135" s="274">
        <v>5000</v>
      </c>
      <c r="L135" s="274">
        <v>5000</v>
      </c>
      <c r="M135" s="274"/>
      <c r="N135" s="274">
        <v>5000</v>
      </c>
      <c r="O135" s="274"/>
      <c r="P135" s="275">
        <f t="shared" si="36"/>
        <v>15000</v>
      </c>
      <c r="Q135" s="53"/>
      <c r="R135" s="283"/>
      <c r="S135" s="333">
        <f t="shared" si="35"/>
        <v>15000</v>
      </c>
      <c r="T135" s="333"/>
      <c r="U135" s="333"/>
      <c r="V135" s="53"/>
      <c r="W135" s="53"/>
      <c r="X135" s="53"/>
      <c r="Y135" s="53"/>
      <c r="Z135" s="53"/>
      <c r="AA135" s="53"/>
      <c r="AB135" s="53"/>
      <c r="AC135" s="53"/>
      <c r="AD135" s="53"/>
      <c r="AE135" s="53"/>
      <c r="AF135" s="53"/>
      <c r="AG135" s="53"/>
      <c r="AH135" s="53"/>
      <c r="AI135" s="53"/>
      <c r="AJ135" s="53"/>
      <c r="AK135" s="53"/>
      <c r="AL135" s="53"/>
      <c r="AM135" s="53"/>
      <c r="AN135" s="53"/>
      <c r="AO135" s="53"/>
      <c r="AP135" s="53"/>
      <c r="AQ135" s="53"/>
      <c r="AR135" s="53"/>
      <c r="AS135" s="53"/>
      <c r="AT135" s="53"/>
      <c r="AU135" s="53"/>
      <c r="AV135" s="53"/>
      <c r="AW135" s="53"/>
      <c r="AX135" s="53"/>
    </row>
    <row r="136" spans="1:50" ht="26.25" customHeight="1" thickBot="1" x14ac:dyDescent="0.3">
      <c r="A136" s="472"/>
      <c r="B136" s="475"/>
      <c r="C136" s="450"/>
      <c r="D136" s="467" t="s">
        <v>347</v>
      </c>
      <c r="E136" s="267" t="s">
        <v>2</v>
      </c>
      <c r="F136" s="267" t="s">
        <v>78</v>
      </c>
      <c r="G136" s="267" t="s">
        <v>274</v>
      </c>
      <c r="H136" s="267" t="s">
        <v>80</v>
      </c>
      <c r="I136" s="267" t="s">
        <v>348</v>
      </c>
      <c r="J136" s="274">
        <f t="shared" ref="J136:O136" si="37">1700*12</f>
        <v>20400</v>
      </c>
      <c r="K136" s="274">
        <f t="shared" si="37"/>
        <v>20400</v>
      </c>
      <c r="L136" s="274">
        <f t="shared" si="37"/>
        <v>20400</v>
      </c>
      <c r="M136" s="274">
        <f t="shared" si="37"/>
        <v>20400</v>
      </c>
      <c r="N136" s="274">
        <f t="shared" si="37"/>
        <v>20400</v>
      </c>
      <c r="O136" s="274">
        <f t="shared" si="37"/>
        <v>20400</v>
      </c>
      <c r="P136" s="275">
        <f t="shared" ref="P136:P150" si="38">SUM(J136:O136)</f>
        <v>122400</v>
      </c>
      <c r="Q136" s="342"/>
      <c r="R136" s="284"/>
      <c r="S136" s="343"/>
      <c r="T136" s="343"/>
      <c r="U136" s="343"/>
      <c r="V136" s="53"/>
      <c r="W136" s="53"/>
      <c r="X136" s="53"/>
      <c r="Y136" s="53"/>
      <c r="Z136" s="53"/>
      <c r="AA136" s="53"/>
      <c r="AB136" s="53"/>
      <c r="AC136" s="53"/>
      <c r="AD136" s="53"/>
      <c r="AE136" s="53"/>
      <c r="AF136" s="53"/>
      <c r="AG136" s="53"/>
      <c r="AH136" s="53"/>
      <c r="AI136" s="53"/>
      <c r="AJ136" s="53"/>
      <c r="AK136" s="53"/>
      <c r="AL136" s="53"/>
      <c r="AM136" s="53"/>
      <c r="AN136" s="53"/>
      <c r="AO136" s="53"/>
      <c r="AP136" s="53"/>
      <c r="AQ136" s="53"/>
      <c r="AR136" s="53"/>
      <c r="AS136" s="53"/>
      <c r="AT136" s="53"/>
      <c r="AU136" s="53"/>
      <c r="AV136" s="53"/>
      <c r="AW136" s="53"/>
      <c r="AX136" s="53"/>
    </row>
    <row r="137" spans="1:50" ht="25.9" customHeight="1" thickBot="1" x14ac:dyDescent="0.4">
      <c r="A137" s="472"/>
      <c r="B137" s="475"/>
      <c r="C137" s="450"/>
      <c r="D137" s="468"/>
      <c r="E137" s="267" t="s">
        <v>2</v>
      </c>
      <c r="F137" s="267" t="s">
        <v>78</v>
      </c>
      <c r="G137" s="267" t="s">
        <v>83</v>
      </c>
      <c r="H137" s="267" t="s">
        <v>80</v>
      </c>
      <c r="I137" s="267" t="s">
        <v>349</v>
      </c>
      <c r="J137" s="274"/>
      <c r="K137" s="274">
        <f>2*2500</f>
        <v>5000</v>
      </c>
      <c r="L137" s="274">
        <f t="shared" ref="L137:O137" si="39">2*2500</f>
        <v>5000</v>
      </c>
      <c r="M137" s="274">
        <f t="shared" si="39"/>
        <v>5000</v>
      </c>
      <c r="N137" s="274">
        <f t="shared" si="39"/>
        <v>5000</v>
      </c>
      <c r="O137" s="274">
        <f t="shared" si="39"/>
        <v>5000</v>
      </c>
      <c r="P137" s="275">
        <f t="shared" si="38"/>
        <v>25000</v>
      </c>
      <c r="Q137" s="253" t="s">
        <v>99</v>
      </c>
      <c r="R137" s="273">
        <v>100000</v>
      </c>
      <c r="S137" s="273">
        <f>+P137</f>
        <v>25000</v>
      </c>
      <c r="T137" s="273"/>
      <c r="U137" s="273"/>
      <c r="V137" s="53"/>
      <c r="W137" s="53"/>
      <c r="X137" s="53"/>
      <c r="Y137" s="53"/>
      <c r="Z137" s="53"/>
      <c r="AA137" s="53"/>
      <c r="AB137" s="53"/>
      <c r="AC137" s="53"/>
      <c r="AD137" s="53"/>
      <c r="AE137" s="53"/>
      <c r="AF137" s="53"/>
      <c r="AG137" s="53"/>
      <c r="AH137" s="53"/>
      <c r="AI137" s="53"/>
      <c r="AJ137" s="53"/>
      <c r="AK137" s="53"/>
      <c r="AL137" s="53"/>
      <c r="AM137" s="53"/>
      <c r="AN137" s="53"/>
      <c r="AO137" s="53"/>
      <c r="AP137" s="53"/>
      <c r="AQ137" s="53"/>
      <c r="AR137" s="53"/>
      <c r="AS137" s="53"/>
      <c r="AT137" s="53"/>
      <c r="AU137" s="53"/>
      <c r="AV137" s="53"/>
      <c r="AW137" s="53"/>
      <c r="AX137" s="53"/>
    </row>
    <row r="138" spans="1:50" ht="25.9" customHeight="1" thickBot="1" x14ac:dyDescent="0.3">
      <c r="A138" s="472"/>
      <c r="B138" s="475"/>
      <c r="C138" s="450"/>
      <c r="D138" s="468"/>
      <c r="E138" s="267" t="s">
        <v>2</v>
      </c>
      <c r="F138" s="267" t="s">
        <v>78</v>
      </c>
      <c r="G138" s="267" t="s">
        <v>95</v>
      </c>
      <c r="H138" s="267" t="s">
        <v>80</v>
      </c>
      <c r="I138" s="267" t="s">
        <v>350</v>
      </c>
      <c r="J138" s="274"/>
      <c r="K138" s="274">
        <v>5000</v>
      </c>
      <c r="L138" s="274">
        <f>+K138</f>
        <v>5000</v>
      </c>
      <c r="M138" s="274">
        <f>+L138</f>
        <v>5000</v>
      </c>
      <c r="N138" s="274">
        <f>+M138</f>
        <v>5000</v>
      </c>
      <c r="O138" s="274">
        <f>+N138</f>
        <v>5000</v>
      </c>
      <c r="P138" s="275">
        <f t="shared" ref="P138" si="40">SUM(J138:O138)</f>
        <v>25000</v>
      </c>
      <c r="Q138" s="53"/>
      <c r="R138" s="273"/>
      <c r="S138" s="273"/>
      <c r="T138" s="273"/>
      <c r="U138" s="273"/>
      <c r="V138" s="53"/>
      <c r="W138" s="53"/>
      <c r="X138" s="53"/>
      <c r="Y138" s="53"/>
      <c r="Z138" s="53"/>
      <c r="AA138" s="53"/>
      <c r="AB138" s="53"/>
      <c r="AC138" s="53"/>
      <c r="AD138" s="53"/>
      <c r="AE138" s="53"/>
      <c r="AF138" s="53"/>
      <c r="AG138" s="53"/>
      <c r="AH138" s="53"/>
      <c r="AI138" s="53"/>
      <c r="AJ138" s="53"/>
      <c r="AK138" s="53"/>
      <c r="AL138" s="53"/>
      <c r="AM138" s="53"/>
      <c r="AN138" s="53"/>
      <c r="AO138" s="53"/>
      <c r="AP138" s="53"/>
      <c r="AQ138" s="53"/>
      <c r="AR138" s="53"/>
      <c r="AS138" s="53">
        <f>+P138/2500*30</f>
        <v>300</v>
      </c>
      <c r="AT138" s="53"/>
      <c r="AU138" s="53"/>
      <c r="AV138" s="53"/>
      <c r="AW138" s="53"/>
      <c r="AX138" s="53"/>
    </row>
    <row r="139" spans="1:50" ht="26.25" customHeight="1" thickBot="1" x14ac:dyDescent="0.3">
      <c r="A139" s="472"/>
      <c r="B139" s="475"/>
      <c r="C139" s="450"/>
      <c r="D139" s="468"/>
      <c r="E139" s="267" t="s">
        <v>2</v>
      </c>
      <c r="F139" s="267" t="s">
        <v>78</v>
      </c>
      <c r="G139" s="267" t="s">
        <v>95</v>
      </c>
      <c r="H139" s="267" t="s">
        <v>80</v>
      </c>
      <c r="I139" s="267" t="s">
        <v>351</v>
      </c>
      <c r="J139" s="274"/>
      <c r="K139" s="274"/>
      <c r="L139" s="274">
        <f>2500*3</f>
        <v>7500</v>
      </c>
      <c r="M139" s="274">
        <f t="shared" ref="M139:O140" si="41">2500*3</f>
        <v>7500</v>
      </c>
      <c r="N139" s="274">
        <f t="shared" si="41"/>
        <v>7500</v>
      </c>
      <c r="O139" s="274">
        <f t="shared" si="41"/>
        <v>7500</v>
      </c>
      <c r="P139" s="275">
        <f t="shared" si="38"/>
        <v>30000</v>
      </c>
      <c r="Q139" s="53"/>
      <c r="R139" s="273">
        <v>60000</v>
      </c>
      <c r="S139" s="273">
        <f>+P139</f>
        <v>30000</v>
      </c>
      <c r="T139" s="273"/>
      <c r="U139" s="27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row>
    <row r="140" spans="1:50" ht="26.25" customHeight="1" thickBot="1" x14ac:dyDescent="0.4">
      <c r="A140" s="472"/>
      <c r="B140" s="475"/>
      <c r="C140" s="450"/>
      <c r="D140" s="468"/>
      <c r="E140" s="267" t="s">
        <v>2</v>
      </c>
      <c r="F140" s="267" t="s">
        <v>78</v>
      </c>
      <c r="G140" s="267" t="s">
        <v>83</v>
      </c>
      <c r="H140" s="267" t="s">
        <v>80</v>
      </c>
      <c r="I140" s="267" t="s">
        <v>352</v>
      </c>
      <c r="J140" s="274"/>
      <c r="K140" s="274"/>
      <c r="L140" s="274">
        <f>2500*3</f>
        <v>7500</v>
      </c>
      <c r="M140" s="274">
        <f t="shared" si="41"/>
        <v>7500</v>
      </c>
      <c r="N140" s="274">
        <f t="shared" si="41"/>
        <v>7500</v>
      </c>
      <c r="O140" s="274">
        <f t="shared" si="41"/>
        <v>7500</v>
      </c>
      <c r="P140" s="275">
        <f t="shared" si="38"/>
        <v>30000</v>
      </c>
      <c r="Q140" s="253" t="s">
        <v>99</v>
      </c>
      <c r="R140" s="273"/>
      <c r="S140" s="273"/>
      <c r="T140" s="273"/>
      <c r="U140" s="273"/>
      <c r="V140" s="53"/>
      <c r="W140" s="53"/>
      <c r="X140" s="53"/>
      <c r="Y140" s="53"/>
      <c r="Z140" s="53"/>
      <c r="AA140" s="53"/>
      <c r="AB140" s="53"/>
      <c r="AC140" s="53"/>
      <c r="AD140" s="53"/>
      <c r="AE140" s="53"/>
      <c r="AF140" s="53"/>
      <c r="AG140" s="53"/>
      <c r="AH140" s="53"/>
      <c r="AI140" s="53"/>
      <c r="AJ140" s="53"/>
      <c r="AK140" s="53"/>
      <c r="AL140" s="53"/>
      <c r="AM140" s="53"/>
      <c r="AN140" s="53"/>
      <c r="AO140" s="53"/>
      <c r="AP140" s="53"/>
      <c r="AQ140" s="53"/>
      <c r="AR140" s="53"/>
      <c r="AS140" s="53"/>
      <c r="AT140" s="53"/>
      <c r="AU140" s="53"/>
      <c r="AV140" s="53"/>
      <c r="AW140" s="53"/>
      <c r="AX140" s="53"/>
    </row>
    <row r="141" spans="1:50" ht="26.25" customHeight="1" x14ac:dyDescent="0.25">
      <c r="A141" s="472"/>
      <c r="B141" s="475"/>
      <c r="C141" s="450"/>
      <c r="D141" s="468"/>
      <c r="E141" s="267" t="s">
        <v>2</v>
      </c>
      <c r="F141" s="267" t="s">
        <v>78</v>
      </c>
      <c r="G141" s="267" t="s">
        <v>95</v>
      </c>
      <c r="H141" s="267" t="s">
        <v>80</v>
      </c>
      <c r="I141" s="267" t="s">
        <v>353</v>
      </c>
      <c r="J141" s="274"/>
      <c r="K141" s="274">
        <v>2500</v>
      </c>
      <c r="L141" s="274">
        <v>2500</v>
      </c>
      <c r="M141" s="274">
        <v>2500</v>
      </c>
      <c r="N141" s="274">
        <v>2500</v>
      </c>
      <c r="O141" s="274"/>
      <c r="P141" s="275">
        <f t="shared" si="38"/>
        <v>10000</v>
      </c>
      <c r="Q141" s="53"/>
      <c r="R141" s="273">
        <v>20000</v>
      </c>
      <c r="S141" s="273">
        <f>+P141</f>
        <v>10000</v>
      </c>
      <c r="T141" s="273"/>
      <c r="U141" s="273"/>
      <c r="V141" s="53"/>
      <c r="W141" s="53"/>
      <c r="X141" s="53"/>
      <c r="Y141" s="53"/>
      <c r="Z141" s="53"/>
      <c r="AA141" s="53"/>
      <c r="AB141" s="53"/>
      <c r="AC141" s="53"/>
      <c r="AD141" s="53"/>
      <c r="AE141" s="53"/>
      <c r="AF141" s="53"/>
      <c r="AG141" s="53"/>
      <c r="AH141" s="53"/>
      <c r="AI141" s="53"/>
      <c r="AJ141" s="53"/>
      <c r="AK141" s="53"/>
      <c r="AL141" s="53"/>
      <c r="AM141" s="53"/>
      <c r="AN141" s="53"/>
      <c r="AO141" s="53"/>
      <c r="AP141" s="53"/>
      <c r="AQ141" s="53"/>
      <c r="AR141" s="53"/>
      <c r="AS141" s="53"/>
      <c r="AT141" s="53"/>
      <c r="AU141" s="53"/>
      <c r="AV141" s="53"/>
      <c r="AW141" s="53"/>
      <c r="AX141" s="53"/>
    </row>
    <row r="142" spans="1:50" ht="26.25" customHeight="1" x14ac:dyDescent="0.35">
      <c r="A142" s="472"/>
      <c r="B142" s="475"/>
      <c r="C142" s="482"/>
      <c r="D142" s="483"/>
      <c r="E142" s="267" t="s">
        <v>2</v>
      </c>
      <c r="F142" s="267" t="s">
        <v>78</v>
      </c>
      <c r="G142" s="267" t="s">
        <v>83</v>
      </c>
      <c r="H142" s="267" t="s">
        <v>80</v>
      </c>
      <c r="I142" s="330" t="s">
        <v>354</v>
      </c>
      <c r="J142" s="331"/>
      <c r="K142" s="274">
        <v>2500</v>
      </c>
      <c r="L142" s="274">
        <v>2500</v>
      </c>
      <c r="M142" s="274">
        <v>2500</v>
      </c>
      <c r="N142" s="274">
        <v>2500</v>
      </c>
      <c r="O142" s="331"/>
      <c r="P142" s="275">
        <f t="shared" si="38"/>
        <v>10000</v>
      </c>
      <c r="Q142" s="253" t="s">
        <v>99</v>
      </c>
      <c r="R142" s="294"/>
      <c r="S142" s="294"/>
      <c r="T142" s="294"/>
      <c r="U142" s="294"/>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3"/>
    </row>
    <row r="143" spans="1:50" ht="50.25" customHeight="1" thickBot="1" x14ac:dyDescent="0.3">
      <c r="A143" s="472"/>
      <c r="B143" s="475"/>
      <c r="C143" s="452"/>
      <c r="D143" s="143" t="s">
        <v>355</v>
      </c>
      <c r="E143" s="281" t="s">
        <v>2</v>
      </c>
      <c r="F143" s="281" t="s">
        <v>78</v>
      </c>
      <c r="G143" s="281" t="s">
        <v>83</v>
      </c>
      <c r="H143" s="281" t="s">
        <v>80</v>
      </c>
      <c r="I143" s="281" t="s">
        <v>356</v>
      </c>
      <c r="J143" s="282">
        <v>20000</v>
      </c>
      <c r="K143" s="282">
        <v>20000</v>
      </c>
      <c r="L143" s="282">
        <v>20000</v>
      </c>
      <c r="M143" s="282">
        <v>20000</v>
      </c>
      <c r="N143" s="282"/>
      <c r="O143" s="282"/>
      <c r="P143" s="283">
        <f t="shared" si="38"/>
        <v>80000</v>
      </c>
      <c r="Q143" s="53"/>
      <c r="R143" s="284"/>
      <c r="S143" s="343"/>
      <c r="T143" s="343"/>
      <c r="U143" s="34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row>
    <row r="144" spans="1:50" x14ac:dyDescent="0.25">
      <c r="A144" s="472"/>
      <c r="B144" s="475"/>
      <c r="C144" s="449" t="s">
        <v>357</v>
      </c>
      <c r="D144" s="484" t="s">
        <v>358</v>
      </c>
      <c r="E144" s="270" t="s">
        <v>2</v>
      </c>
      <c r="F144" s="270" t="s">
        <v>78</v>
      </c>
      <c r="G144" s="270" t="s">
        <v>95</v>
      </c>
      <c r="H144" s="270" t="s">
        <v>80</v>
      </c>
      <c r="I144" s="270" t="s">
        <v>359</v>
      </c>
      <c r="J144" s="272">
        <v>2500</v>
      </c>
      <c r="K144" s="272"/>
      <c r="L144" s="272"/>
      <c r="M144" s="272">
        <v>2500</v>
      </c>
      <c r="N144" s="272"/>
      <c r="O144" s="272"/>
      <c r="P144" s="273">
        <f t="shared" si="38"/>
        <v>5000</v>
      </c>
      <c r="Q144" s="53"/>
      <c r="R144" s="273">
        <v>10000</v>
      </c>
      <c r="S144" s="341">
        <f t="shared" ref="S144:S159" si="42">+P144</f>
        <v>5000</v>
      </c>
      <c r="T144" s="341"/>
      <c r="U144" s="341"/>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row>
    <row r="145" spans="1:50" ht="21" x14ac:dyDescent="0.35">
      <c r="A145" s="472"/>
      <c r="B145" s="475"/>
      <c r="C145" s="488"/>
      <c r="D145" s="483"/>
      <c r="E145" s="319" t="s">
        <v>2</v>
      </c>
      <c r="F145" s="319" t="s">
        <v>78</v>
      </c>
      <c r="G145" s="319" t="s">
        <v>79</v>
      </c>
      <c r="H145" s="319" t="s">
        <v>80</v>
      </c>
      <c r="I145" s="319" t="s">
        <v>360</v>
      </c>
      <c r="J145" s="320">
        <f>20*500</f>
        <v>10000</v>
      </c>
      <c r="K145" s="320"/>
      <c r="L145" s="320"/>
      <c r="M145" s="320">
        <f>10*500</f>
        <v>5000</v>
      </c>
      <c r="N145" s="320"/>
      <c r="O145" s="320"/>
      <c r="P145" s="277">
        <f t="shared" si="38"/>
        <v>15000</v>
      </c>
      <c r="Q145" s="253" t="s">
        <v>99</v>
      </c>
      <c r="R145" s="294"/>
      <c r="S145" s="344"/>
      <c r="T145" s="344"/>
      <c r="U145" s="344"/>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row>
    <row r="146" spans="1:50" ht="28.9" customHeight="1" x14ac:dyDescent="0.3">
      <c r="A146" s="472"/>
      <c r="B146" s="475"/>
      <c r="C146" s="450"/>
      <c r="D146" s="459" t="s">
        <v>361</v>
      </c>
      <c r="E146" s="267" t="s">
        <v>5</v>
      </c>
      <c r="F146" s="267" t="s">
        <v>78</v>
      </c>
      <c r="G146" s="267" t="s">
        <v>91</v>
      </c>
      <c r="H146" s="267" t="s">
        <v>80</v>
      </c>
      <c r="I146" s="267" t="s">
        <v>362</v>
      </c>
      <c r="J146" s="274"/>
      <c r="K146" s="274"/>
      <c r="L146" s="274">
        <v>76000</v>
      </c>
      <c r="M146" s="274"/>
      <c r="N146" s="274"/>
      <c r="O146" s="274"/>
      <c r="P146" s="275">
        <f t="shared" si="38"/>
        <v>76000</v>
      </c>
      <c r="Q146" s="313" t="s">
        <v>85</v>
      </c>
      <c r="R146" s="314"/>
      <c r="S146" s="314"/>
      <c r="T146" s="314"/>
      <c r="U146" s="314"/>
      <c r="V146" s="315" t="s">
        <v>191</v>
      </c>
      <c r="W146" s="279">
        <f>+SUM(J146:O146)</f>
        <v>76000</v>
      </c>
      <c r="X146" s="53" t="s">
        <v>363</v>
      </c>
      <c r="Y146" s="53"/>
      <c r="Z146" s="53"/>
      <c r="AA146" s="53"/>
      <c r="AB146" s="53"/>
      <c r="AC146" s="279"/>
      <c r="AD146" s="53"/>
      <c r="AE146" s="53"/>
      <c r="AF146" s="53"/>
      <c r="AG146" s="53"/>
      <c r="AH146" s="53"/>
      <c r="AI146" s="53"/>
      <c r="AJ146" s="53"/>
      <c r="AK146" s="53"/>
      <c r="AL146" s="53"/>
      <c r="AM146" s="53"/>
      <c r="AN146" s="53"/>
      <c r="AO146" s="53"/>
      <c r="AP146" s="53"/>
      <c r="AQ146" s="53"/>
      <c r="AR146" s="53"/>
      <c r="AS146" s="53"/>
      <c r="AT146" s="53"/>
      <c r="AU146" s="53"/>
      <c r="AV146" s="53"/>
      <c r="AW146" s="53"/>
      <c r="AX146" s="53"/>
    </row>
    <row r="147" spans="1:50" ht="18.75" x14ac:dyDescent="0.3">
      <c r="A147" s="472"/>
      <c r="B147" s="475"/>
      <c r="C147" s="450"/>
      <c r="D147" s="459"/>
      <c r="E147" s="267" t="s">
        <v>5</v>
      </c>
      <c r="F147" s="267" t="s">
        <v>78</v>
      </c>
      <c r="G147" s="267" t="s">
        <v>83</v>
      </c>
      <c r="H147" s="267" t="s">
        <v>80</v>
      </c>
      <c r="I147" s="267" t="s">
        <v>364</v>
      </c>
      <c r="J147" s="274"/>
      <c r="K147" s="274"/>
      <c r="L147" s="274">
        <f>4*2000</f>
        <v>8000</v>
      </c>
      <c r="M147" s="274"/>
      <c r="N147" s="274"/>
      <c r="O147" s="274"/>
      <c r="P147" s="275">
        <f t="shared" si="38"/>
        <v>8000</v>
      </c>
      <c r="Q147" s="313" t="s">
        <v>85</v>
      </c>
      <c r="R147" s="314"/>
      <c r="S147" s="314"/>
      <c r="T147" s="314"/>
      <c r="U147" s="314"/>
      <c r="V147" s="315" t="s">
        <v>191</v>
      </c>
      <c r="W147" s="279">
        <f>+SUM(J147:O147)</f>
        <v>8000</v>
      </c>
      <c r="X147" s="53" t="s">
        <v>365</v>
      </c>
      <c r="Y147" s="53"/>
      <c r="Z147" s="53"/>
      <c r="AA147" s="53"/>
      <c r="AB147" s="53"/>
      <c r="AC147" s="279"/>
      <c r="AD147" s="53"/>
      <c r="AE147" s="53"/>
      <c r="AF147" s="53"/>
      <c r="AG147" s="53"/>
      <c r="AH147" s="53"/>
      <c r="AI147" s="53"/>
      <c r="AJ147" s="53"/>
      <c r="AK147" s="53"/>
      <c r="AL147" s="53"/>
      <c r="AM147" s="53"/>
      <c r="AN147" s="53"/>
      <c r="AO147" s="53"/>
      <c r="AP147" s="53"/>
      <c r="AQ147" s="53"/>
      <c r="AR147" s="53"/>
      <c r="AS147" s="53"/>
      <c r="AT147" s="53"/>
      <c r="AU147" s="53"/>
      <c r="AV147" s="53"/>
      <c r="AW147" s="53"/>
      <c r="AX147" s="53"/>
    </row>
    <row r="148" spans="1:50" ht="46.5" customHeight="1" x14ac:dyDescent="0.25">
      <c r="A148" s="472"/>
      <c r="B148" s="475"/>
      <c r="C148" s="450"/>
      <c r="D148" s="459" t="s">
        <v>366</v>
      </c>
      <c r="E148" s="396" t="s">
        <v>2</v>
      </c>
      <c r="F148" s="396" t="s">
        <v>78</v>
      </c>
      <c r="G148" s="396" t="s">
        <v>79</v>
      </c>
      <c r="H148" s="396" t="s">
        <v>80</v>
      </c>
      <c r="I148" s="267" t="s">
        <v>367</v>
      </c>
      <c r="J148" s="274">
        <v>10000</v>
      </c>
      <c r="K148" s="274">
        <v>15000</v>
      </c>
      <c r="L148" s="274">
        <f>+K148</f>
        <v>15000</v>
      </c>
      <c r="M148" s="274">
        <v>10000</v>
      </c>
      <c r="N148" s="274">
        <v>15000</v>
      </c>
      <c r="O148" s="274">
        <v>15000</v>
      </c>
      <c r="P148" s="275">
        <f t="shared" si="38"/>
        <v>80000</v>
      </c>
      <c r="Q148" s="53"/>
      <c r="R148" s="275">
        <v>50000</v>
      </c>
      <c r="S148" s="329">
        <f t="shared" si="42"/>
        <v>80000</v>
      </c>
      <c r="T148" s="329"/>
      <c r="U148" s="329"/>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row>
    <row r="149" spans="1:50" ht="46.5" customHeight="1" thickBot="1" x14ac:dyDescent="0.4">
      <c r="A149" s="472"/>
      <c r="B149" s="475"/>
      <c r="C149" s="452"/>
      <c r="D149" s="461"/>
      <c r="E149" s="281" t="s">
        <v>2</v>
      </c>
      <c r="F149" s="281" t="s">
        <v>78</v>
      </c>
      <c r="G149" s="281" t="s">
        <v>91</v>
      </c>
      <c r="H149" s="281" t="s">
        <v>80</v>
      </c>
      <c r="I149" s="281" t="s">
        <v>368</v>
      </c>
      <c r="J149" s="282"/>
      <c r="K149" s="282">
        <v>100000</v>
      </c>
      <c r="L149" s="282">
        <v>250000</v>
      </c>
      <c r="M149" s="282">
        <f>L149</f>
        <v>250000</v>
      </c>
      <c r="N149" s="282">
        <v>100000</v>
      </c>
      <c r="O149" s="282">
        <v>45600</v>
      </c>
      <c r="P149" s="283">
        <f>SUM(J149:O149)</f>
        <v>745600</v>
      </c>
      <c r="Q149" s="253" t="s">
        <v>369</v>
      </c>
      <c r="R149" s="283">
        <v>425000</v>
      </c>
      <c r="S149" s="333">
        <f t="shared" si="42"/>
        <v>745600</v>
      </c>
      <c r="T149" s="333"/>
      <c r="U149" s="33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3"/>
    </row>
    <row r="150" spans="1:50" ht="45" x14ac:dyDescent="0.25">
      <c r="A150" s="472"/>
      <c r="B150" s="475"/>
      <c r="C150" s="462" t="s">
        <v>370</v>
      </c>
      <c r="D150" s="250" t="s">
        <v>740</v>
      </c>
      <c r="E150" s="270" t="s">
        <v>2</v>
      </c>
      <c r="F150" s="270" t="s">
        <v>78</v>
      </c>
      <c r="G150" s="270" t="s">
        <v>79</v>
      </c>
      <c r="H150" s="270" t="s">
        <v>80</v>
      </c>
      <c r="I150" s="345" t="s">
        <v>371</v>
      </c>
      <c r="J150" s="272">
        <f>30*500</f>
        <v>15000</v>
      </c>
      <c r="K150" s="272"/>
      <c r="L150" s="272">
        <v>15000</v>
      </c>
      <c r="M150" s="272"/>
      <c r="N150" s="272"/>
      <c r="O150" s="272"/>
      <c r="P150" s="273">
        <f t="shared" si="38"/>
        <v>30000</v>
      </c>
      <c r="Q150" s="53"/>
      <c r="R150" s="273">
        <v>15000</v>
      </c>
      <c r="S150" s="341">
        <f t="shared" si="42"/>
        <v>30000</v>
      </c>
      <c r="T150" s="341"/>
      <c r="U150" s="341"/>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row>
    <row r="151" spans="1:50" ht="28.9" customHeight="1" x14ac:dyDescent="0.25">
      <c r="A151" s="472"/>
      <c r="B151" s="475"/>
      <c r="C151" s="463"/>
      <c r="D151" s="467" t="s">
        <v>372</v>
      </c>
      <c r="E151" s="267" t="s">
        <v>2</v>
      </c>
      <c r="F151" s="267" t="s">
        <v>78</v>
      </c>
      <c r="G151" s="267" t="s">
        <v>95</v>
      </c>
      <c r="H151" s="267" t="s">
        <v>80</v>
      </c>
      <c r="I151" s="317" t="s">
        <v>373</v>
      </c>
      <c r="J151" s="274">
        <v>2500</v>
      </c>
      <c r="K151" s="274"/>
      <c r="L151" s="274">
        <v>2500</v>
      </c>
      <c r="M151" s="274"/>
      <c r="N151" s="274"/>
      <c r="O151" s="274"/>
      <c r="P151" s="275">
        <f t="shared" ref="P151:P159" si="43">SUM(J151:O151)</f>
        <v>5000</v>
      </c>
      <c r="Q151" s="53"/>
      <c r="R151" s="275">
        <v>5000</v>
      </c>
      <c r="S151" s="329">
        <f t="shared" si="42"/>
        <v>5000</v>
      </c>
      <c r="T151" s="329"/>
      <c r="U151" s="329"/>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row>
    <row r="152" spans="1:50" ht="30.6" customHeight="1" x14ac:dyDescent="0.35">
      <c r="A152" s="472"/>
      <c r="B152" s="475"/>
      <c r="C152" s="463"/>
      <c r="D152" s="483"/>
      <c r="E152" s="267" t="s">
        <v>2</v>
      </c>
      <c r="F152" s="267" t="s">
        <v>78</v>
      </c>
      <c r="G152" s="330" t="s">
        <v>83</v>
      </c>
      <c r="H152" s="330" t="s">
        <v>80</v>
      </c>
      <c r="I152" s="346" t="s">
        <v>374</v>
      </c>
      <c r="J152" s="331">
        <v>2500</v>
      </c>
      <c r="K152" s="331"/>
      <c r="L152" s="331">
        <v>2500</v>
      </c>
      <c r="M152" s="331"/>
      <c r="N152" s="331"/>
      <c r="O152" s="331"/>
      <c r="P152" s="275">
        <f t="shared" si="43"/>
        <v>5000</v>
      </c>
      <c r="Q152" s="253" t="s">
        <v>99</v>
      </c>
      <c r="R152" s="314"/>
      <c r="S152" s="332"/>
      <c r="T152" s="332"/>
      <c r="U152" s="332"/>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3"/>
    </row>
    <row r="153" spans="1:50" ht="15.75" thickBot="1" x14ac:dyDescent="0.3">
      <c r="A153" s="472"/>
      <c r="B153" s="475"/>
      <c r="C153" s="464"/>
      <c r="D153" s="266" t="s">
        <v>375</v>
      </c>
      <c r="E153" s="281" t="s">
        <v>2</v>
      </c>
      <c r="F153" s="281" t="s">
        <v>78</v>
      </c>
      <c r="G153" s="281" t="s">
        <v>376</v>
      </c>
      <c r="H153" s="281" t="s">
        <v>80</v>
      </c>
      <c r="I153" s="347" t="s">
        <v>377</v>
      </c>
      <c r="J153" s="282">
        <v>40000</v>
      </c>
      <c r="K153" s="282">
        <v>40000</v>
      </c>
      <c r="L153" s="282">
        <v>40000</v>
      </c>
      <c r="M153" s="282">
        <v>40000</v>
      </c>
      <c r="N153" s="282">
        <v>40000</v>
      </c>
      <c r="O153" s="282">
        <v>20000</v>
      </c>
      <c r="P153" s="283">
        <f t="shared" si="43"/>
        <v>220000</v>
      </c>
      <c r="Q153" s="53"/>
      <c r="R153" s="283">
        <v>140000</v>
      </c>
      <c r="S153" s="333">
        <f t="shared" si="42"/>
        <v>220000</v>
      </c>
      <c r="T153" s="333"/>
      <c r="U153" s="33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row>
    <row r="154" spans="1:50" ht="29.45" customHeight="1" thickBot="1" x14ac:dyDescent="0.3">
      <c r="A154" s="472"/>
      <c r="B154" s="475"/>
      <c r="C154" s="462" t="s">
        <v>741</v>
      </c>
      <c r="D154" s="484" t="s">
        <v>378</v>
      </c>
      <c r="E154" s="251" t="s">
        <v>2</v>
      </c>
      <c r="F154" s="251" t="s">
        <v>78</v>
      </c>
      <c r="G154" s="251" t="s">
        <v>95</v>
      </c>
      <c r="H154" s="251" t="s">
        <v>80</v>
      </c>
      <c r="I154" s="251" t="s">
        <v>379</v>
      </c>
      <c r="J154" s="348">
        <v>2500</v>
      </c>
      <c r="K154" s="348"/>
      <c r="L154" s="348">
        <v>2500</v>
      </c>
      <c r="M154" s="348"/>
      <c r="N154" s="348"/>
      <c r="O154" s="348"/>
      <c r="P154" s="349">
        <f t="shared" si="43"/>
        <v>5000</v>
      </c>
      <c r="Q154" s="53"/>
      <c r="R154" s="284"/>
      <c r="S154" s="350">
        <f t="shared" si="42"/>
        <v>5000</v>
      </c>
      <c r="T154" s="350"/>
      <c r="U154" s="350"/>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row>
    <row r="155" spans="1:50" ht="21.75" thickBot="1" x14ac:dyDescent="0.4">
      <c r="A155" s="472"/>
      <c r="B155" s="475"/>
      <c r="C155" s="463"/>
      <c r="D155" s="483"/>
      <c r="E155" s="384" t="s">
        <v>2</v>
      </c>
      <c r="F155" s="384" t="s">
        <v>78</v>
      </c>
      <c r="G155" s="387" t="s">
        <v>79</v>
      </c>
      <c r="H155" s="387" t="s">
        <v>80</v>
      </c>
      <c r="I155" s="387" t="s">
        <v>380</v>
      </c>
      <c r="J155" s="351">
        <f>25*500</f>
        <v>12500</v>
      </c>
      <c r="K155" s="351"/>
      <c r="L155" s="351">
        <f>25*500</f>
        <v>12500</v>
      </c>
      <c r="M155" s="351"/>
      <c r="N155" s="351"/>
      <c r="O155" s="351"/>
      <c r="P155" s="352">
        <f t="shared" si="43"/>
        <v>25000</v>
      </c>
      <c r="Q155" s="253" t="s">
        <v>99</v>
      </c>
      <c r="R155" s="284"/>
      <c r="S155" s="353"/>
      <c r="T155" s="353"/>
      <c r="U155" s="3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row>
    <row r="156" spans="1:50" ht="29.45" customHeight="1" thickBot="1" x14ac:dyDescent="0.3">
      <c r="A156" s="472"/>
      <c r="B156" s="475"/>
      <c r="C156" s="463"/>
      <c r="D156" s="467" t="s">
        <v>381</v>
      </c>
      <c r="E156" s="384" t="s">
        <v>2</v>
      </c>
      <c r="F156" s="384" t="s">
        <v>78</v>
      </c>
      <c r="G156" s="384" t="s">
        <v>95</v>
      </c>
      <c r="H156" s="384" t="s">
        <v>80</v>
      </c>
      <c r="I156" s="384" t="s">
        <v>382</v>
      </c>
      <c r="J156" s="354">
        <v>2500</v>
      </c>
      <c r="K156" s="354"/>
      <c r="L156" s="354">
        <v>2500</v>
      </c>
      <c r="M156" s="354"/>
      <c r="N156" s="354"/>
      <c r="O156" s="354"/>
      <c r="P156" s="352">
        <f t="shared" si="43"/>
        <v>5000</v>
      </c>
      <c r="Q156" s="53"/>
      <c r="R156" s="284"/>
      <c r="S156" s="355">
        <f t="shared" si="42"/>
        <v>5000</v>
      </c>
      <c r="T156" s="355"/>
      <c r="U156" s="355"/>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row>
    <row r="157" spans="1:50" ht="21.75" thickBot="1" x14ac:dyDescent="0.4">
      <c r="A157" s="472"/>
      <c r="B157" s="475"/>
      <c r="C157" s="463"/>
      <c r="D157" s="483"/>
      <c r="E157" s="384" t="s">
        <v>2</v>
      </c>
      <c r="F157" s="384" t="s">
        <v>78</v>
      </c>
      <c r="G157" s="387" t="s">
        <v>79</v>
      </c>
      <c r="H157" s="387" t="s">
        <v>80</v>
      </c>
      <c r="I157" s="387" t="s">
        <v>383</v>
      </c>
      <c r="J157" s="351">
        <f>25*500</f>
        <v>12500</v>
      </c>
      <c r="K157" s="351"/>
      <c r="L157" s="351">
        <f>25*500</f>
        <v>12500</v>
      </c>
      <c r="M157" s="351"/>
      <c r="N157" s="351"/>
      <c r="O157" s="351"/>
      <c r="P157" s="352">
        <f t="shared" ref="P157" si="44">SUM(J157:O157)</f>
        <v>25000</v>
      </c>
      <c r="Q157" s="253" t="s">
        <v>99</v>
      </c>
      <c r="R157" s="284"/>
      <c r="S157" s="355"/>
      <c r="T157" s="355"/>
      <c r="U157" s="355"/>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row>
    <row r="158" spans="1:50" ht="30.75" thickBot="1" x14ac:dyDescent="0.3">
      <c r="A158" s="472"/>
      <c r="B158" s="475"/>
      <c r="C158" s="463"/>
      <c r="D158" s="265" t="s">
        <v>384</v>
      </c>
      <c r="E158" s="384" t="s">
        <v>2</v>
      </c>
      <c r="F158" s="384" t="s">
        <v>78</v>
      </c>
      <c r="G158" s="384" t="s">
        <v>79</v>
      </c>
      <c r="H158" s="384" t="s">
        <v>80</v>
      </c>
      <c r="I158" s="384" t="s">
        <v>385</v>
      </c>
      <c r="J158" s="354">
        <f>500*40</f>
        <v>20000</v>
      </c>
      <c r="K158" s="354"/>
      <c r="L158" s="354">
        <v>20000</v>
      </c>
      <c r="M158" s="354"/>
      <c r="N158" s="354"/>
      <c r="O158" s="354"/>
      <c r="P158" s="352">
        <f t="shared" si="43"/>
        <v>40000</v>
      </c>
      <c r="Q158" s="53"/>
      <c r="R158" s="284"/>
      <c r="S158" s="355">
        <f t="shared" si="42"/>
        <v>40000</v>
      </c>
      <c r="T158" s="355"/>
      <c r="U158" s="355"/>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3"/>
    </row>
    <row r="159" spans="1:50" ht="30.75" thickBot="1" x14ac:dyDescent="0.3">
      <c r="A159" s="472"/>
      <c r="B159" s="475"/>
      <c r="C159" s="464"/>
      <c r="D159" s="356" t="s">
        <v>386</v>
      </c>
      <c r="E159" s="390" t="s">
        <v>2</v>
      </c>
      <c r="F159" s="390" t="s">
        <v>78</v>
      </c>
      <c r="G159" s="390" t="s">
        <v>166</v>
      </c>
      <c r="H159" s="386" t="s">
        <v>80</v>
      </c>
      <c r="I159" s="384" t="s">
        <v>387</v>
      </c>
      <c r="J159" s="357">
        <v>10000</v>
      </c>
      <c r="K159" s="357"/>
      <c r="L159" s="357">
        <v>10000</v>
      </c>
      <c r="M159" s="357"/>
      <c r="N159" s="357"/>
      <c r="O159" s="357"/>
      <c r="P159" s="358">
        <f t="shared" si="43"/>
        <v>20000</v>
      </c>
      <c r="Q159" s="53"/>
      <c r="R159" s="284"/>
      <c r="S159" s="343">
        <f t="shared" si="42"/>
        <v>20000</v>
      </c>
      <c r="T159" s="343"/>
      <c r="U159" s="34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row>
    <row r="160" spans="1:50" ht="15.75" thickBot="1" x14ac:dyDescent="0.3">
      <c r="A160" s="472"/>
      <c r="B160" s="476"/>
      <c r="C160" s="285" t="s">
        <v>388</v>
      </c>
      <c r="D160" s="286"/>
      <c r="E160" s="287"/>
      <c r="F160" s="288"/>
      <c r="G160" s="289"/>
      <c r="H160" s="289"/>
      <c r="I160" s="287"/>
      <c r="J160" s="290">
        <f>SUM(J114:J159)</f>
        <v>275400</v>
      </c>
      <c r="K160" s="290">
        <f t="shared" ref="K160:O160" si="45">SUM(K114:K159)</f>
        <v>530900</v>
      </c>
      <c r="L160" s="290">
        <f t="shared" si="45"/>
        <v>632400</v>
      </c>
      <c r="M160" s="290">
        <f t="shared" si="45"/>
        <v>465900</v>
      </c>
      <c r="N160" s="290">
        <f t="shared" si="45"/>
        <v>315900</v>
      </c>
      <c r="O160" s="290">
        <f t="shared" si="45"/>
        <v>141000</v>
      </c>
      <c r="P160" s="291">
        <f>SUM(J160:O160)</f>
        <v>2361500</v>
      </c>
      <c r="Q160" s="359">
        <f>+P160/1000000</f>
        <v>2.3614999999999999</v>
      </c>
      <c r="R160" s="318">
        <v>1204500</v>
      </c>
      <c r="S160" s="318">
        <f>+SUM(S114:S159)</f>
        <v>1840600</v>
      </c>
      <c r="T160" s="318">
        <f>+SUM(T114:T159)</f>
        <v>0</v>
      </c>
      <c r="U160" s="318">
        <f>+SUM(U114:U159)</f>
        <v>87000</v>
      </c>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row>
    <row r="161" spans="1:50" ht="32.450000000000003" customHeight="1" thickBot="1" x14ac:dyDescent="0.3">
      <c r="A161" s="473"/>
      <c r="B161" s="298" t="s">
        <v>389</v>
      </c>
      <c r="C161" s="360"/>
      <c r="D161" s="361"/>
      <c r="E161" s="362"/>
      <c r="F161" s="362"/>
      <c r="G161" s="362"/>
      <c r="H161" s="362"/>
      <c r="I161" s="362"/>
      <c r="J161" s="363">
        <f>SUM(J113,J160)</f>
        <v>585850</v>
      </c>
      <c r="K161" s="363">
        <f t="shared" ref="K161:O161" si="46">SUM(K113,K160)</f>
        <v>841400</v>
      </c>
      <c r="L161" s="363">
        <f t="shared" si="46"/>
        <v>896900</v>
      </c>
      <c r="M161" s="363">
        <f t="shared" si="46"/>
        <v>598400</v>
      </c>
      <c r="N161" s="363">
        <f t="shared" si="46"/>
        <v>507900</v>
      </c>
      <c r="O161" s="363">
        <f t="shared" si="46"/>
        <v>226000</v>
      </c>
      <c r="P161" s="328">
        <f>SUM(J161:O161)</f>
        <v>3656450</v>
      </c>
      <c r="Q161" s="53"/>
      <c r="R161" s="364">
        <v>2449350</v>
      </c>
      <c r="S161" s="364" t="e">
        <f>+S113+S160+#REF!+#REF!</f>
        <v>#REF!</v>
      </c>
      <c r="T161" s="364" t="e">
        <f>+T113+T160+#REF!+#REF!</f>
        <v>#REF!</v>
      </c>
      <c r="U161" s="364" t="e">
        <f>+U113+U160+#REF!+#REF!</f>
        <v>#REF!</v>
      </c>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row>
    <row r="162" spans="1:50" x14ac:dyDescent="0.25">
      <c r="A162" s="471" t="s">
        <v>390</v>
      </c>
      <c r="B162" s="475"/>
      <c r="C162" s="486" t="s">
        <v>391</v>
      </c>
      <c r="D162" s="365" t="s">
        <v>392</v>
      </c>
      <c r="E162" s="319" t="s">
        <v>2</v>
      </c>
      <c r="F162" s="319" t="s">
        <v>78</v>
      </c>
      <c r="G162" s="319" t="s">
        <v>274</v>
      </c>
      <c r="H162" s="319" t="s">
        <v>80</v>
      </c>
      <c r="I162" s="319" t="s">
        <v>393</v>
      </c>
      <c r="J162" s="320">
        <f>1900*12</f>
        <v>22800</v>
      </c>
      <c r="K162" s="320">
        <f t="shared" ref="K162:K167" si="47">J162</f>
        <v>22800</v>
      </c>
      <c r="L162" s="320">
        <f>K162</f>
        <v>22800</v>
      </c>
      <c r="M162" s="320">
        <f>L162</f>
        <v>22800</v>
      </c>
      <c r="N162" s="320">
        <f>M162</f>
        <v>22800</v>
      </c>
      <c r="O162" s="320">
        <f>N162</f>
        <v>22800</v>
      </c>
      <c r="P162" s="320">
        <f>SUM(J162:O162)</f>
        <v>136800</v>
      </c>
      <c r="Q162" s="366"/>
      <c r="R162" s="273">
        <v>136800</v>
      </c>
      <c r="S162" s="273">
        <f t="shared" ref="S162:S167" si="48">+P162</f>
        <v>136800</v>
      </c>
      <c r="T162" s="273"/>
      <c r="U162" s="27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row>
    <row r="163" spans="1:50" x14ac:dyDescent="0.25">
      <c r="A163" s="472"/>
      <c r="B163" s="475"/>
      <c r="C163" s="487"/>
      <c r="D163" s="265" t="s">
        <v>394</v>
      </c>
      <c r="E163" s="267" t="s">
        <v>2</v>
      </c>
      <c r="F163" s="267" t="s">
        <v>78</v>
      </c>
      <c r="G163" s="267" t="s">
        <v>274</v>
      </c>
      <c r="H163" s="267" t="s">
        <v>80</v>
      </c>
      <c r="I163" s="267" t="s">
        <v>395</v>
      </c>
      <c r="J163" s="274">
        <f>1700*12</f>
        <v>20400</v>
      </c>
      <c r="K163" s="274">
        <f t="shared" si="47"/>
        <v>20400</v>
      </c>
      <c r="L163" s="274">
        <f t="shared" ref="L163:O165" si="49">K163</f>
        <v>20400</v>
      </c>
      <c r="M163" s="274">
        <f t="shared" si="49"/>
        <v>20400</v>
      </c>
      <c r="N163" s="274">
        <f t="shared" si="49"/>
        <v>20400</v>
      </c>
      <c r="O163" s="274">
        <f t="shared" si="49"/>
        <v>20400</v>
      </c>
      <c r="P163" s="274">
        <f t="shared" ref="P163:P178" si="50">SUM(J163:O163)</f>
        <v>122400</v>
      </c>
      <c r="Q163" s="53"/>
      <c r="R163" s="275">
        <v>122400</v>
      </c>
      <c r="S163" s="275">
        <f t="shared" si="48"/>
        <v>122400</v>
      </c>
      <c r="T163" s="275"/>
      <c r="U163" s="275"/>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row>
    <row r="164" spans="1:50" x14ac:dyDescent="0.25">
      <c r="A164" s="472"/>
      <c r="B164" s="475"/>
      <c r="C164" s="487"/>
      <c r="D164" s="265" t="s">
        <v>396</v>
      </c>
      <c r="E164" s="267" t="s">
        <v>2</v>
      </c>
      <c r="F164" s="267" t="s">
        <v>78</v>
      </c>
      <c r="G164" s="267" t="s">
        <v>274</v>
      </c>
      <c r="H164" s="267" t="s">
        <v>80</v>
      </c>
      <c r="I164" s="267" t="s">
        <v>397</v>
      </c>
      <c r="J164" s="274">
        <f>1500*12</f>
        <v>18000</v>
      </c>
      <c r="K164" s="274">
        <f t="shared" si="47"/>
        <v>18000</v>
      </c>
      <c r="L164" s="274">
        <f t="shared" si="49"/>
        <v>18000</v>
      </c>
      <c r="M164" s="274">
        <f t="shared" si="49"/>
        <v>18000</v>
      </c>
      <c r="N164" s="274">
        <f t="shared" si="49"/>
        <v>18000</v>
      </c>
      <c r="O164" s="274">
        <f t="shared" si="49"/>
        <v>18000</v>
      </c>
      <c r="P164" s="274">
        <f t="shared" si="50"/>
        <v>108000</v>
      </c>
      <c r="Q164" s="53"/>
      <c r="R164" s="275">
        <v>108000</v>
      </c>
      <c r="S164" s="275">
        <f t="shared" si="48"/>
        <v>108000</v>
      </c>
      <c r="T164" s="275"/>
      <c r="U164" s="275"/>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row>
    <row r="165" spans="1:50" x14ac:dyDescent="0.25">
      <c r="A165" s="472"/>
      <c r="B165" s="475"/>
      <c r="C165" s="487"/>
      <c r="D165" s="265" t="s">
        <v>398</v>
      </c>
      <c r="E165" s="267" t="s">
        <v>2</v>
      </c>
      <c r="F165" s="267" t="s">
        <v>78</v>
      </c>
      <c r="G165" s="267" t="s">
        <v>274</v>
      </c>
      <c r="H165" s="267" t="s">
        <v>80</v>
      </c>
      <c r="I165" s="267" t="s">
        <v>399</v>
      </c>
      <c r="J165" s="274">
        <f>1500*12</f>
        <v>18000</v>
      </c>
      <c r="K165" s="274">
        <f t="shared" si="47"/>
        <v>18000</v>
      </c>
      <c r="L165" s="274">
        <f t="shared" si="49"/>
        <v>18000</v>
      </c>
      <c r="M165" s="274">
        <f t="shared" si="49"/>
        <v>18000</v>
      </c>
      <c r="N165" s="274">
        <f t="shared" si="49"/>
        <v>18000</v>
      </c>
      <c r="O165" s="274">
        <f t="shared" si="49"/>
        <v>18000</v>
      </c>
      <c r="P165" s="274">
        <f t="shared" si="50"/>
        <v>108000</v>
      </c>
      <c r="Q165" s="53"/>
      <c r="R165" s="275">
        <v>108000</v>
      </c>
      <c r="S165" s="275">
        <f t="shared" si="48"/>
        <v>108000</v>
      </c>
      <c r="T165" s="275"/>
      <c r="U165" s="275"/>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row>
    <row r="166" spans="1:50" x14ac:dyDescent="0.25">
      <c r="A166" s="472"/>
      <c r="B166" s="475"/>
      <c r="C166" s="487"/>
      <c r="D166" s="265" t="s">
        <v>400</v>
      </c>
      <c r="E166" s="267" t="s">
        <v>2</v>
      </c>
      <c r="F166" s="267" t="s">
        <v>78</v>
      </c>
      <c r="G166" s="267" t="s">
        <v>274</v>
      </c>
      <c r="H166" s="267" t="s">
        <v>80</v>
      </c>
      <c r="I166" s="267" t="s">
        <v>401</v>
      </c>
      <c r="J166" s="274">
        <f>500*12</f>
        <v>6000</v>
      </c>
      <c r="K166" s="274">
        <f t="shared" si="47"/>
        <v>6000</v>
      </c>
      <c r="L166" s="274">
        <f t="shared" ref="L166:O167" si="51">K166</f>
        <v>6000</v>
      </c>
      <c r="M166" s="274">
        <f t="shared" si="51"/>
        <v>6000</v>
      </c>
      <c r="N166" s="274">
        <f t="shared" si="51"/>
        <v>6000</v>
      </c>
      <c r="O166" s="274">
        <f t="shared" si="51"/>
        <v>6000</v>
      </c>
      <c r="P166" s="274">
        <f t="shared" si="50"/>
        <v>36000</v>
      </c>
      <c r="Q166" s="53"/>
      <c r="R166" s="275">
        <v>36000</v>
      </c>
      <c r="S166" s="275">
        <f t="shared" si="48"/>
        <v>36000</v>
      </c>
      <c r="T166" s="275"/>
      <c r="U166" s="275"/>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row>
    <row r="167" spans="1:50" ht="15.75" thickBot="1" x14ac:dyDescent="0.3">
      <c r="A167" s="472"/>
      <c r="B167" s="475"/>
      <c r="C167" s="487"/>
      <c r="D167" s="265" t="s">
        <v>402</v>
      </c>
      <c r="E167" s="267" t="s">
        <v>2</v>
      </c>
      <c r="F167" s="267" t="s">
        <v>78</v>
      </c>
      <c r="G167" s="267" t="s">
        <v>274</v>
      </c>
      <c r="H167" s="267" t="s">
        <v>80</v>
      </c>
      <c r="I167" s="267" t="s">
        <v>403</v>
      </c>
      <c r="J167" s="274">
        <f>12*500</f>
        <v>6000</v>
      </c>
      <c r="K167" s="274">
        <f t="shared" si="47"/>
        <v>6000</v>
      </c>
      <c r="L167" s="274">
        <f t="shared" si="51"/>
        <v>6000</v>
      </c>
      <c r="M167" s="274">
        <f t="shared" si="51"/>
        <v>6000</v>
      </c>
      <c r="N167" s="274">
        <f t="shared" si="51"/>
        <v>6000</v>
      </c>
      <c r="O167" s="274">
        <f t="shared" si="51"/>
        <v>6000</v>
      </c>
      <c r="P167" s="274">
        <f t="shared" si="50"/>
        <v>36000</v>
      </c>
      <c r="Q167" s="53"/>
      <c r="R167" s="283">
        <v>36000</v>
      </c>
      <c r="S167" s="283">
        <f t="shared" si="48"/>
        <v>36000</v>
      </c>
      <c r="T167" s="283"/>
      <c r="U167" s="28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row>
    <row r="168" spans="1:50" ht="30" x14ac:dyDescent="0.25">
      <c r="A168" s="472"/>
      <c r="B168" s="475"/>
      <c r="C168" s="367" t="s">
        <v>404</v>
      </c>
      <c r="D168" s="365"/>
      <c r="E168" s="319" t="s">
        <v>4</v>
      </c>
      <c r="F168" s="319" t="s">
        <v>4</v>
      </c>
      <c r="G168" s="319" t="s">
        <v>274</v>
      </c>
      <c r="H168" s="319" t="s">
        <v>29</v>
      </c>
      <c r="I168" s="319" t="s">
        <v>405</v>
      </c>
      <c r="J168" s="320">
        <v>25000</v>
      </c>
      <c r="K168" s="320">
        <f t="shared" ref="K168:O169" si="52">+J168</f>
        <v>25000</v>
      </c>
      <c r="L168" s="320">
        <f t="shared" si="52"/>
        <v>25000</v>
      </c>
      <c r="M168" s="320">
        <f t="shared" si="52"/>
        <v>25000</v>
      </c>
      <c r="N168" s="320">
        <f t="shared" si="52"/>
        <v>25000</v>
      </c>
      <c r="O168" s="320">
        <f t="shared" si="52"/>
        <v>25000</v>
      </c>
      <c r="P168" s="320">
        <f>SUM(J168:O168)</f>
        <v>150000</v>
      </c>
      <c r="Q168" s="53"/>
      <c r="R168" s="320">
        <v>240000</v>
      </c>
      <c r="S168" s="320"/>
      <c r="T168" s="320"/>
      <c r="U168" s="320">
        <f>+P168</f>
        <v>150000</v>
      </c>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row>
    <row r="169" spans="1:50" ht="30" x14ac:dyDescent="0.25">
      <c r="A169" s="472"/>
      <c r="B169" s="475"/>
      <c r="C169" s="367" t="s">
        <v>404</v>
      </c>
      <c r="D169" s="365"/>
      <c r="E169" s="319" t="s">
        <v>4</v>
      </c>
      <c r="F169" s="319" t="s">
        <v>4</v>
      </c>
      <c r="G169" s="319" t="s">
        <v>95</v>
      </c>
      <c r="H169" s="319" t="s">
        <v>29</v>
      </c>
      <c r="I169" s="319" t="s">
        <v>406</v>
      </c>
      <c r="J169" s="320">
        <v>15000</v>
      </c>
      <c r="K169" s="320">
        <f t="shared" si="52"/>
        <v>15000</v>
      </c>
      <c r="L169" s="320">
        <f t="shared" si="52"/>
        <v>15000</v>
      </c>
      <c r="M169" s="320">
        <f t="shared" si="52"/>
        <v>15000</v>
      </c>
      <c r="N169" s="320">
        <f t="shared" si="52"/>
        <v>15000</v>
      </c>
      <c r="O169" s="320">
        <f t="shared" si="52"/>
        <v>15000</v>
      </c>
      <c r="P169" s="320">
        <f>+SUM(J169:O169)</f>
        <v>90000</v>
      </c>
      <c r="Q169" s="53"/>
      <c r="R169" s="320">
        <v>240000</v>
      </c>
      <c r="S169" s="320"/>
      <c r="T169" s="320"/>
      <c r="U169" s="320">
        <v>240000</v>
      </c>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row>
    <row r="170" spans="1:50" x14ac:dyDescent="0.25">
      <c r="A170" s="472"/>
      <c r="B170" s="475"/>
      <c r="C170" s="368" t="s">
        <v>407</v>
      </c>
      <c r="D170" s="265"/>
      <c r="E170" s="267" t="s">
        <v>4</v>
      </c>
      <c r="F170" s="319" t="s">
        <v>4</v>
      </c>
      <c r="G170" s="319" t="s">
        <v>95</v>
      </c>
      <c r="H170" s="319" t="s">
        <v>29</v>
      </c>
      <c r="I170" s="319" t="s">
        <v>408</v>
      </c>
      <c r="J170" s="274">
        <v>25000</v>
      </c>
      <c r="K170" s="274"/>
      <c r="L170" s="274"/>
      <c r="M170" s="274"/>
      <c r="N170" s="274"/>
      <c r="O170" s="274"/>
      <c r="P170" s="274">
        <f t="shared" si="50"/>
        <v>25000</v>
      </c>
      <c r="Q170" s="53"/>
      <c r="R170" s="274">
        <v>25000</v>
      </c>
      <c r="S170" s="274"/>
      <c r="T170" s="274"/>
      <c r="U170" s="274">
        <f>+P170</f>
        <v>25000</v>
      </c>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row>
    <row r="171" spans="1:50" x14ac:dyDescent="0.25">
      <c r="A171" s="472"/>
      <c r="B171" s="475"/>
      <c r="C171" s="485" t="s">
        <v>409</v>
      </c>
      <c r="D171" s="265" t="s">
        <v>410</v>
      </c>
      <c r="E171" s="267" t="s">
        <v>2</v>
      </c>
      <c r="F171" s="267" t="s">
        <v>78</v>
      </c>
      <c r="G171" s="267" t="s">
        <v>102</v>
      </c>
      <c r="H171" s="319" t="s">
        <v>80</v>
      </c>
      <c r="I171" s="319" t="s">
        <v>411</v>
      </c>
      <c r="J171" s="274">
        <v>30000</v>
      </c>
      <c r="K171" s="274"/>
      <c r="L171" s="274"/>
      <c r="M171" s="274"/>
      <c r="N171" s="274"/>
      <c r="O171" s="274"/>
      <c r="P171" s="274">
        <f t="shared" si="50"/>
        <v>30000</v>
      </c>
      <c r="Q171" s="53"/>
      <c r="R171" s="274">
        <v>30000</v>
      </c>
      <c r="S171" s="274">
        <f t="shared" ref="S171:S178" si="53">+P171</f>
        <v>30000</v>
      </c>
      <c r="T171" s="274"/>
      <c r="U171" s="274"/>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row>
    <row r="172" spans="1:50" x14ac:dyDescent="0.25">
      <c r="A172" s="472"/>
      <c r="B172" s="475"/>
      <c r="C172" s="486"/>
      <c r="D172" s="265" t="s">
        <v>412</v>
      </c>
      <c r="E172" s="267" t="s">
        <v>2</v>
      </c>
      <c r="F172" s="267" t="s">
        <v>78</v>
      </c>
      <c r="G172" s="267" t="s">
        <v>102</v>
      </c>
      <c r="H172" s="319" t="s">
        <v>80</v>
      </c>
      <c r="I172" s="319" t="s">
        <v>413</v>
      </c>
      <c r="J172" s="274">
        <v>15000</v>
      </c>
      <c r="K172" s="274"/>
      <c r="L172" s="274"/>
      <c r="M172" s="274"/>
      <c r="N172" s="274"/>
      <c r="O172" s="274"/>
      <c r="P172" s="274">
        <f t="shared" si="50"/>
        <v>15000</v>
      </c>
      <c r="Q172" s="53"/>
      <c r="R172" s="274">
        <v>15000</v>
      </c>
      <c r="S172" s="274">
        <f t="shared" si="53"/>
        <v>15000</v>
      </c>
      <c r="T172" s="274"/>
      <c r="U172" s="274"/>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row>
    <row r="173" spans="1:50" x14ac:dyDescent="0.25">
      <c r="A173" s="472"/>
      <c r="B173" s="475"/>
      <c r="C173" s="367" t="s">
        <v>414</v>
      </c>
      <c r="D173" s="265"/>
      <c r="E173" s="267" t="s">
        <v>2</v>
      </c>
      <c r="F173" s="267" t="s">
        <v>78</v>
      </c>
      <c r="G173" s="267" t="s">
        <v>102</v>
      </c>
      <c r="H173" s="319" t="s">
        <v>80</v>
      </c>
      <c r="I173" s="319" t="s">
        <v>415</v>
      </c>
      <c r="J173" s="274">
        <v>10000</v>
      </c>
      <c r="K173" s="274">
        <v>3600</v>
      </c>
      <c r="L173" s="274">
        <f t="shared" ref="L173:O175" si="54">K173</f>
        <v>3600</v>
      </c>
      <c r="M173" s="274">
        <f t="shared" si="54"/>
        <v>3600</v>
      </c>
      <c r="N173" s="274">
        <f t="shared" si="54"/>
        <v>3600</v>
      </c>
      <c r="O173" s="274">
        <f t="shared" si="54"/>
        <v>3600</v>
      </c>
      <c r="P173" s="274">
        <f t="shared" si="50"/>
        <v>28000</v>
      </c>
      <c r="Q173" s="53"/>
      <c r="R173" s="274">
        <v>28000</v>
      </c>
      <c r="S173" s="274">
        <f t="shared" si="53"/>
        <v>28000</v>
      </c>
      <c r="T173" s="274"/>
      <c r="U173" s="274"/>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row>
    <row r="174" spans="1:50" ht="18.75" x14ac:dyDescent="0.3">
      <c r="A174" s="472"/>
      <c r="B174" s="475"/>
      <c r="C174" s="367" t="s">
        <v>416</v>
      </c>
      <c r="D174" s="265"/>
      <c r="E174" s="387" t="s">
        <v>5</v>
      </c>
      <c r="F174" s="387" t="s">
        <v>78</v>
      </c>
      <c r="G174" s="387" t="s">
        <v>102</v>
      </c>
      <c r="H174" s="387" t="s">
        <v>80</v>
      </c>
      <c r="I174" s="319" t="s">
        <v>417</v>
      </c>
      <c r="J174" s="274">
        <v>16000</v>
      </c>
      <c r="K174" s="274">
        <v>10000</v>
      </c>
      <c r="L174" s="274"/>
      <c r="M174" s="274"/>
      <c r="N174" s="274"/>
      <c r="O174" s="274"/>
      <c r="P174" s="274">
        <f>SUM(J174:O174)</f>
        <v>26000</v>
      </c>
      <c r="Q174" s="313" t="s">
        <v>85</v>
      </c>
      <c r="R174" s="274"/>
      <c r="S174" s="274"/>
      <c r="T174" s="274"/>
      <c r="U174" s="274"/>
      <c r="V174" s="278" t="s">
        <v>86</v>
      </c>
      <c r="W174" s="278"/>
      <c r="X174" s="279">
        <f>+SUM(J174:O174)</f>
        <v>26000</v>
      </c>
      <c r="Y174" s="269" t="s">
        <v>418</v>
      </c>
      <c r="Z174" s="53"/>
      <c r="AA174" s="53"/>
      <c r="AB174" s="53"/>
      <c r="AC174" s="279"/>
      <c r="AD174" s="53"/>
      <c r="AE174" s="53"/>
      <c r="AF174" s="53"/>
      <c r="AG174" s="53"/>
      <c r="AH174" s="53"/>
      <c r="AI174" s="53"/>
      <c r="AJ174" s="53"/>
      <c r="AK174" s="53"/>
      <c r="AL174" s="53"/>
      <c r="AM174" s="53"/>
      <c r="AN174" s="53"/>
      <c r="AO174" s="53"/>
      <c r="AP174" s="53"/>
      <c r="AQ174" s="53"/>
      <c r="AR174" s="53"/>
      <c r="AS174" s="53"/>
      <c r="AT174" s="53"/>
      <c r="AU174" s="53"/>
      <c r="AV174" s="53"/>
      <c r="AW174" s="53"/>
      <c r="AX174" s="53"/>
    </row>
    <row r="175" spans="1:50" ht="30" x14ac:dyDescent="0.25">
      <c r="A175" s="472"/>
      <c r="B175" s="475"/>
      <c r="C175" s="367" t="s">
        <v>419</v>
      </c>
      <c r="D175" s="265"/>
      <c r="E175" s="267" t="s">
        <v>2</v>
      </c>
      <c r="F175" s="267" t="s">
        <v>78</v>
      </c>
      <c r="G175" s="267" t="s">
        <v>166</v>
      </c>
      <c r="H175" s="319" t="s">
        <v>80</v>
      </c>
      <c r="I175" s="319" t="s">
        <v>417</v>
      </c>
      <c r="J175" s="274">
        <v>5000</v>
      </c>
      <c r="K175" s="274">
        <f>J175</f>
        <v>5000</v>
      </c>
      <c r="L175" s="274">
        <f t="shared" si="54"/>
        <v>5000</v>
      </c>
      <c r="M175" s="274">
        <f t="shared" si="54"/>
        <v>5000</v>
      </c>
      <c r="N175" s="274">
        <f t="shared" si="54"/>
        <v>5000</v>
      </c>
      <c r="O175" s="274">
        <f t="shared" si="54"/>
        <v>5000</v>
      </c>
      <c r="P175" s="274">
        <f>SUM(J175:O175)</f>
        <v>30000</v>
      </c>
      <c r="Q175" s="53"/>
      <c r="R175" s="274">
        <v>30000</v>
      </c>
      <c r="S175" s="274">
        <f t="shared" si="53"/>
        <v>30000</v>
      </c>
      <c r="T175" s="274"/>
      <c r="U175" s="274"/>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row>
    <row r="176" spans="1:50" x14ac:dyDescent="0.25">
      <c r="A176" s="472"/>
      <c r="B176" s="475"/>
      <c r="C176" s="368" t="s">
        <v>420</v>
      </c>
      <c r="D176" s="265"/>
      <c r="E176" s="267" t="s">
        <v>2</v>
      </c>
      <c r="F176" s="267" t="s">
        <v>78</v>
      </c>
      <c r="G176" s="267" t="s">
        <v>166</v>
      </c>
      <c r="H176" s="319" t="s">
        <v>80</v>
      </c>
      <c r="I176" s="319" t="s">
        <v>421</v>
      </c>
      <c r="J176" s="274">
        <v>10000</v>
      </c>
      <c r="K176" s="274">
        <f>J176</f>
        <v>10000</v>
      </c>
      <c r="L176" s="274">
        <f t="shared" ref="L176:O178" si="55">K176</f>
        <v>10000</v>
      </c>
      <c r="M176" s="274">
        <f t="shared" si="55"/>
        <v>10000</v>
      </c>
      <c r="N176" s="274">
        <f t="shared" si="55"/>
        <v>10000</v>
      </c>
      <c r="O176" s="274">
        <f t="shared" si="55"/>
        <v>10000</v>
      </c>
      <c r="P176" s="274">
        <f t="shared" si="50"/>
        <v>60000</v>
      </c>
      <c r="Q176" s="53"/>
      <c r="R176" s="274">
        <v>60000</v>
      </c>
      <c r="S176" s="274">
        <f t="shared" si="53"/>
        <v>60000</v>
      </c>
      <c r="T176" s="274"/>
      <c r="U176" s="274"/>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row>
    <row r="177" spans="1:50" x14ac:dyDescent="0.25">
      <c r="A177" s="472"/>
      <c r="B177" s="475"/>
      <c r="C177" s="368" t="s">
        <v>422</v>
      </c>
      <c r="D177" s="265"/>
      <c r="E177" s="267" t="s">
        <v>2</v>
      </c>
      <c r="F177" s="267" t="s">
        <v>78</v>
      </c>
      <c r="G177" s="267" t="s">
        <v>166</v>
      </c>
      <c r="H177" s="319" t="s">
        <v>80</v>
      </c>
      <c r="I177" s="319" t="s">
        <v>421</v>
      </c>
      <c r="J177" s="274">
        <v>2000</v>
      </c>
      <c r="K177" s="274">
        <f>J177</f>
        <v>2000</v>
      </c>
      <c r="L177" s="274">
        <f t="shared" si="55"/>
        <v>2000</v>
      </c>
      <c r="M177" s="274">
        <f t="shared" si="55"/>
        <v>2000</v>
      </c>
      <c r="N177" s="274">
        <f t="shared" si="55"/>
        <v>2000</v>
      </c>
      <c r="O177" s="274">
        <f t="shared" si="55"/>
        <v>2000</v>
      </c>
      <c r="P177" s="274">
        <f t="shared" si="50"/>
        <v>12000</v>
      </c>
      <c r="Q177" s="53"/>
      <c r="R177" s="274">
        <v>12000</v>
      </c>
      <c r="S177" s="274">
        <f t="shared" si="53"/>
        <v>12000</v>
      </c>
      <c r="T177" s="274"/>
      <c r="U177" s="274"/>
      <c r="V177" s="53"/>
      <c r="W177" s="53"/>
      <c r="X177" s="53"/>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row>
    <row r="178" spans="1:50" ht="30" x14ac:dyDescent="0.25">
      <c r="A178" s="472"/>
      <c r="B178" s="475"/>
      <c r="C178" s="368" t="s">
        <v>423</v>
      </c>
      <c r="D178" s="265"/>
      <c r="E178" s="267" t="s">
        <v>2</v>
      </c>
      <c r="F178" s="267" t="s">
        <v>78</v>
      </c>
      <c r="G178" s="267" t="s">
        <v>166</v>
      </c>
      <c r="H178" s="319" t="s">
        <v>80</v>
      </c>
      <c r="I178" s="319" t="s">
        <v>424</v>
      </c>
      <c r="J178" s="274">
        <f>1000*12</f>
        <v>12000</v>
      </c>
      <c r="K178" s="274">
        <f>J178</f>
        <v>12000</v>
      </c>
      <c r="L178" s="274">
        <f>K178</f>
        <v>12000</v>
      </c>
      <c r="M178" s="274">
        <f t="shared" si="55"/>
        <v>12000</v>
      </c>
      <c r="N178" s="274">
        <f t="shared" si="55"/>
        <v>12000</v>
      </c>
      <c r="O178" s="274">
        <f t="shared" si="55"/>
        <v>12000</v>
      </c>
      <c r="P178" s="274">
        <f t="shared" si="50"/>
        <v>72000</v>
      </c>
      <c r="Q178" s="53"/>
      <c r="R178" s="274">
        <v>72000</v>
      </c>
      <c r="S178" s="274">
        <f t="shared" si="53"/>
        <v>72000</v>
      </c>
      <c r="T178" s="274"/>
      <c r="U178" s="274"/>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row>
    <row r="179" spans="1:50" ht="30.75" thickBot="1" x14ac:dyDescent="0.3">
      <c r="A179" s="472"/>
      <c r="B179" s="475"/>
      <c r="C179" s="369" t="s">
        <v>425</v>
      </c>
      <c r="D179" s="336"/>
      <c r="E179" s="330" t="s">
        <v>4</v>
      </c>
      <c r="F179" s="330" t="s">
        <v>4</v>
      </c>
      <c r="G179" s="330" t="s">
        <v>153</v>
      </c>
      <c r="H179" s="370" t="s">
        <v>29</v>
      </c>
      <c r="I179" s="370" t="s">
        <v>426</v>
      </c>
      <c r="J179" s="331">
        <v>15000</v>
      </c>
      <c r="K179" s="331">
        <v>10000</v>
      </c>
      <c r="L179" s="331">
        <v>15000</v>
      </c>
      <c r="M179" s="331">
        <v>10000</v>
      </c>
      <c r="N179" s="331">
        <v>10000</v>
      </c>
      <c r="O179" s="331">
        <v>13000</v>
      </c>
      <c r="P179" s="331">
        <f>SUM(J179:O179)</f>
        <v>73000</v>
      </c>
      <c r="Q179" s="53"/>
      <c r="R179" s="274">
        <v>73000</v>
      </c>
      <c r="S179" s="274"/>
      <c r="T179" s="274"/>
      <c r="U179" s="274">
        <f>+P179</f>
        <v>73000</v>
      </c>
      <c r="V179" s="53"/>
      <c r="W179" s="53"/>
      <c r="X179" s="53"/>
      <c r="Y179" s="53"/>
      <c r="Z179" s="53"/>
      <c r="AA179" s="53"/>
      <c r="AB179" s="53"/>
      <c r="AC179" s="53"/>
      <c r="AD179" s="53"/>
      <c r="AE179" s="53"/>
      <c r="AF179" s="53"/>
      <c r="AG179" s="53"/>
      <c r="AH179" s="53"/>
      <c r="AI179" s="53"/>
      <c r="AJ179" s="53"/>
      <c r="AK179" s="53"/>
      <c r="AL179" s="53"/>
      <c r="AM179" s="53"/>
      <c r="AN179" s="53"/>
      <c r="AO179" s="53"/>
      <c r="AP179" s="53"/>
      <c r="AQ179" s="53"/>
      <c r="AR179" s="53"/>
      <c r="AS179" s="53"/>
      <c r="AT179" s="53"/>
      <c r="AU179" s="53"/>
      <c r="AV179" s="53"/>
      <c r="AW179" s="53"/>
      <c r="AX179" s="53"/>
    </row>
    <row r="180" spans="1:50" ht="28.15" customHeight="1" thickBot="1" x14ac:dyDescent="0.3">
      <c r="A180" s="473"/>
      <c r="B180" s="298" t="s">
        <v>427</v>
      </c>
      <c r="C180" s="360"/>
      <c r="D180" s="361"/>
      <c r="E180" s="362"/>
      <c r="F180" s="362"/>
      <c r="G180" s="362"/>
      <c r="H180" s="362"/>
      <c r="I180" s="362"/>
      <c r="J180" s="363">
        <f>SUM(J162:J179)</f>
        <v>271200</v>
      </c>
      <c r="K180" s="363">
        <f t="shared" ref="K180:O180" si="56">SUM(K162:K179)</f>
        <v>183800</v>
      </c>
      <c r="L180" s="363">
        <f t="shared" si="56"/>
        <v>178800</v>
      </c>
      <c r="M180" s="363">
        <f t="shared" si="56"/>
        <v>173800</v>
      </c>
      <c r="N180" s="363">
        <f>SUM(N162:N179)</f>
        <v>173800</v>
      </c>
      <c r="O180" s="363">
        <f t="shared" si="56"/>
        <v>176800</v>
      </c>
      <c r="P180" s="328">
        <f>SUM(J180:O180)</f>
        <v>1158200</v>
      </c>
      <c r="Q180" s="53"/>
      <c r="R180" s="371">
        <v>1132200</v>
      </c>
      <c r="S180" s="371">
        <f>+SUM(S162:S179)</f>
        <v>794200</v>
      </c>
      <c r="T180" s="371">
        <f>+SUM(T162:T179)</f>
        <v>0</v>
      </c>
      <c r="U180" s="371">
        <f>+SUM(U162:U179)</f>
        <v>488000</v>
      </c>
      <c r="V180" s="53"/>
      <c r="W180" s="53"/>
      <c r="X180" s="53"/>
      <c r="Y180" s="53"/>
      <c r="Z180" s="53"/>
      <c r="AA180" s="53"/>
      <c r="AB180" s="53"/>
      <c r="AC180" s="53"/>
      <c r="AD180" s="53"/>
      <c r="AE180" s="53"/>
      <c r="AF180" s="53"/>
      <c r="AG180" s="53"/>
      <c r="AH180" s="53"/>
      <c r="AI180" s="53"/>
      <c r="AJ180" s="53"/>
      <c r="AK180" s="53"/>
      <c r="AL180" s="53"/>
      <c r="AM180" s="53"/>
      <c r="AN180" s="53"/>
      <c r="AO180" s="53"/>
      <c r="AP180" s="53"/>
      <c r="AQ180" s="53"/>
      <c r="AR180" s="53"/>
      <c r="AS180" s="53"/>
      <c r="AT180" s="53"/>
      <c r="AU180" s="53"/>
      <c r="AV180" s="53"/>
      <c r="AW180" s="53"/>
      <c r="AX180" s="53"/>
    </row>
    <row r="181" spans="1:50" x14ac:dyDescent="0.25">
      <c r="A181" s="305"/>
      <c r="B181" s="372"/>
      <c r="C181" s="372"/>
      <c r="D181" s="373"/>
      <c r="E181" s="374"/>
      <c r="F181" s="374"/>
      <c r="G181" s="374"/>
      <c r="H181" s="374"/>
      <c r="I181" s="374"/>
      <c r="J181" s="375"/>
      <c r="K181" s="375"/>
      <c r="L181" s="375"/>
      <c r="M181" s="375"/>
      <c r="N181" s="375"/>
      <c r="O181" s="375"/>
      <c r="P181" s="375"/>
      <c r="Q181" s="53"/>
      <c r="R181" s="376"/>
      <c r="S181" s="376"/>
      <c r="T181" s="376"/>
      <c r="U181" s="376"/>
      <c r="V181" s="53"/>
      <c r="W181" s="53"/>
      <c r="X181" s="53"/>
      <c r="Y181" s="53"/>
      <c r="Z181" s="53"/>
      <c r="AA181" s="53"/>
      <c r="AB181" s="53"/>
      <c r="AC181" s="53"/>
      <c r="AD181" s="53"/>
      <c r="AE181" s="53"/>
      <c r="AF181" s="53"/>
      <c r="AG181" s="53"/>
      <c r="AH181" s="53"/>
      <c r="AI181" s="53"/>
      <c r="AJ181" s="53"/>
      <c r="AK181" s="53"/>
      <c r="AL181" s="53"/>
      <c r="AM181" s="53"/>
      <c r="AN181" s="53"/>
      <c r="AO181" s="53"/>
      <c r="AP181" s="53"/>
      <c r="AQ181" s="53"/>
      <c r="AR181" s="53"/>
      <c r="AS181" s="53"/>
      <c r="AT181" s="53"/>
      <c r="AU181" s="53"/>
      <c r="AV181" s="53"/>
      <c r="AW181" s="53"/>
      <c r="AX181" s="53"/>
    </row>
    <row r="182" spans="1:50" x14ac:dyDescent="0.25">
      <c r="A182" s="167" t="s">
        <v>428</v>
      </c>
      <c r="B182" s="167"/>
      <c r="C182" s="167"/>
      <c r="D182" s="377"/>
      <c r="E182" s="166"/>
      <c r="F182" s="166"/>
      <c r="G182" s="166"/>
      <c r="H182" s="166"/>
      <c r="I182" s="166" t="s">
        <v>429</v>
      </c>
      <c r="J182" s="378">
        <f t="shared" ref="J182:P182" si="57">SUM(J180,J161,J82,J35)</f>
        <v>2100210</v>
      </c>
      <c r="K182" s="378">
        <f t="shared" si="57"/>
        <v>5567610</v>
      </c>
      <c r="L182" s="378">
        <f t="shared" si="57"/>
        <v>10190780</v>
      </c>
      <c r="M182" s="378">
        <f t="shared" si="57"/>
        <v>3788800</v>
      </c>
      <c r="N182" s="378">
        <f t="shared" si="57"/>
        <v>2667600</v>
      </c>
      <c r="O182" s="378">
        <f t="shared" si="57"/>
        <v>685000</v>
      </c>
      <c r="P182" s="378">
        <f t="shared" si="57"/>
        <v>25000000</v>
      </c>
      <c r="Q182" s="53"/>
      <c r="R182" s="378">
        <v>23000000</v>
      </c>
      <c r="S182" s="378" t="e">
        <f>SUM(S180,S161,S82,S35)</f>
        <v>#REF!</v>
      </c>
      <c r="T182" s="378" t="e">
        <f>SUM(T180,T161,T82,T35)</f>
        <v>#REF!</v>
      </c>
      <c r="U182" s="378" t="e">
        <f>SUM(U180,U161,U82,U35)</f>
        <v>#REF!</v>
      </c>
      <c r="V182" s="53"/>
      <c r="W182" s="53"/>
      <c r="X182" s="53"/>
      <c r="Y182" s="53"/>
      <c r="Z182" s="53"/>
      <c r="AA182" s="53"/>
      <c r="AB182" s="53"/>
      <c r="AC182" s="53"/>
      <c r="AD182" s="53"/>
      <c r="AE182" s="53"/>
      <c r="AF182" s="53"/>
      <c r="AG182" s="53"/>
      <c r="AH182" s="53"/>
      <c r="AI182" s="53"/>
      <c r="AJ182" s="53"/>
      <c r="AK182" s="53"/>
      <c r="AL182" s="53"/>
      <c r="AM182" s="53"/>
      <c r="AN182" s="53"/>
      <c r="AO182" s="53"/>
      <c r="AP182" s="53"/>
      <c r="AQ182" s="53"/>
      <c r="AR182" s="53"/>
      <c r="AS182" s="53"/>
      <c r="AT182" s="53"/>
      <c r="AU182" s="53"/>
      <c r="AV182" s="53"/>
      <c r="AW182" s="53"/>
      <c r="AX182" s="53"/>
    </row>
    <row r="183" spans="1:50" x14ac:dyDescent="0.25">
      <c r="A183" s="167" t="s">
        <v>430</v>
      </c>
      <c r="B183" s="167"/>
      <c r="C183" s="167"/>
      <c r="D183" s="377"/>
      <c r="E183" s="166"/>
      <c r="F183" s="166"/>
      <c r="G183" s="166"/>
      <c r="H183" s="166"/>
      <c r="I183" s="166" t="s">
        <v>2</v>
      </c>
      <c r="J183" s="378">
        <f t="shared" ref="J183:P186" si="58">SUMIF($E:$E,$I183,J:J)</f>
        <v>1439710</v>
      </c>
      <c r="K183" s="378">
        <f t="shared" si="58"/>
        <v>3841210</v>
      </c>
      <c r="L183" s="378">
        <f t="shared" si="58"/>
        <v>7852680</v>
      </c>
      <c r="M183" s="378">
        <f t="shared" si="58"/>
        <v>2127300</v>
      </c>
      <c r="N183" s="378">
        <f t="shared" si="58"/>
        <v>1557100</v>
      </c>
      <c r="O183" s="378">
        <f t="shared" si="58"/>
        <v>382000</v>
      </c>
      <c r="P183" s="378">
        <f t="shared" si="58"/>
        <v>17200000</v>
      </c>
      <c r="Q183" s="279">
        <f>17200000-P183</f>
        <v>0</v>
      </c>
      <c r="R183" s="378">
        <v>16000000</v>
      </c>
      <c r="S183" s="378"/>
      <c r="T183" s="378"/>
      <c r="U183" s="378"/>
      <c r="V183" s="53"/>
      <c r="W183" s="53"/>
      <c r="X183" s="53"/>
      <c r="Y183" s="53"/>
      <c r="Z183" s="53"/>
      <c r="AA183" s="53"/>
      <c r="AB183" s="53"/>
      <c r="AC183" s="53"/>
      <c r="AD183" s="53"/>
      <c r="AE183" s="53"/>
      <c r="AF183" s="53"/>
      <c r="AG183" s="53"/>
      <c r="AH183" s="53"/>
      <c r="AI183" s="53"/>
      <c r="AJ183" s="53"/>
      <c r="AK183" s="53"/>
      <c r="AL183" s="53"/>
      <c r="AM183" s="53"/>
      <c r="AN183" s="53"/>
      <c r="AO183" s="53"/>
      <c r="AP183" s="53"/>
      <c r="AQ183" s="53"/>
      <c r="AR183" s="53"/>
      <c r="AS183" s="53"/>
      <c r="AT183" s="53"/>
      <c r="AU183" s="53"/>
      <c r="AV183" s="53"/>
      <c r="AW183" s="53"/>
      <c r="AX183" s="53"/>
    </row>
    <row r="184" spans="1:50" x14ac:dyDescent="0.25">
      <c r="A184" s="167" t="s">
        <v>742</v>
      </c>
      <c r="B184" s="167"/>
      <c r="C184" s="167"/>
      <c r="D184" s="377"/>
      <c r="E184" s="166"/>
      <c r="F184" s="166"/>
      <c r="G184" s="166"/>
      <c r="H184" s="166"/>
      <c r="I184" s="166" t="s">
        <v>3</v>
      </c>
      <c r="J184" s="378">
        <f t="shared" si="58"/>
        <v>358500</v>
      </c>
      <c r="K184" s="378">
        <f t="shared" si="58"/>
        <v>1241900</v>
      </c>
      <c r="L184" s="378">
        <f t="shared" si="58"/>
        <v>1654600</v>
      </c>
      <c r="M184" s="378">
        <f t="shared" si="58"/>
        <v>1010000</v>
      </c>
      <c r="N184" s="378">
        <f t="shared" si="58"/>
        <v>735000</v>
      </c>
      <c r="O184" s="378">
        <f t="shared" si="58"/>
        <v>0</v>
      </c>
      <c r="P184" s="378">
        <f t="shared" si="58"/>
        <v>5000000</v>
      </c>
      <c r="Q184" s="53"/>
      <c r="R184" s="378">
        <v>5000000</v>
      </c>
      <c r="S184" s="378"/>
      <c r="T184" s="378"/>
      <c r="U184" s="378"/>
      <c r="V184" s="53"/>
      <c r="W184" s="53"/>
      <c r="X184" s="53"/>
      <c r="Y184" s="53"/>
      <c r="Z184" s="53"/>
      <c r="AA184" s="53"/>
      <c r="AB184" s="53"/>
      <c r="AC184" s="53"/>
      <c r="AD184" s="53"/>
      <c r="AE184" s="53"/>
      <c r="AF184" s="53"/>
      <c r="AG184" s="53"/>
      <c r="AH184" s="53"/>
      <c r="AI184" s="53"/>
      <c r="AJ184" s="53"/>
      <c r="AK184" s="53"/>
      <c r="AL184" s="53"/>
      <c r="AM184" s="53"/>
      <c r="AN184" s="53"/>
      <c r="AO184" s="53"/>
      <c r="AP184" s="53"/>
      <c r="AQ184" s="53"/>
      <c r="AR184" s="53"/>
      <c r="AS184" s="53"/>
      <c r="AT184" s="53"/>
      <c r="AU184" s="53"/>
      <c r="AV184" s="53"/>
      <c r="AW184" s="53"/>
      <c r="AX184" s="53"/>
    </row>
    <row r="185" spans="1:50" x14ac:dyDescent="0.25">
      <c r="A185" s="167" t="s">
        <v>431</v>
      </c>
      <c r="B185" s="167"/>
      <c r="C185" s="167"/>
      <c r="D185" s="377"/>
      <c r="E185" s="166"/>
      <c r="F185" s="166"/>
      <c r="G185" s="166"/>
      <c r="H185" s="166"/>
      <c r="I185" s="166" t="s">
        <v>4</v>
      </c>
      <c r="J185" s="378">
        <f t="shared" si="58"/>
        <v>220000</v>
      </c>
      <c r="K185" s="378">
        <f t="shared" si="58"/>
        <v>345500</v>
      </c>
      <c r="L185" s="378">
        <f t="shared" si="58"/>
        <v>380500</v>
      </c>
      <c r="M185" s="378">
        <f t="shared" si="58"/>
        <v>375500</v>
      </c>
      <c r="N185" s="378">
        <f t="shared" si="58"/>
        <v>375500</v>
      </c>
      <c r="O185" s="378">
        <f t="shared" si="58"/>
        <v>303000</v>
      </c>
      <c r="P185" s="378">
        <f t="shared" si="58"/>
        <v>2000000</v>
      </c>
      <c r="Q185" s="53"/>
      <c r="R185" s="378">
        <v>2000000</v>
      </c>
      <c r="S185" s="378"/>
      <c r="T185" s="378"/>
      <c r="U185" s="378"/>
      <c r="V185" s="53"/>
      <c r="W185" s="53"/>
      <c r="X185" s="53"/>
      <c r="Y185" s="53"/>
      <c r="Z185" s="53"/>
      <c r="AA185" s="53"/>
      <c r="AB185" s="53"/>
      <c r="AC185" s="53"/>
      <c r="AD185" s="53"/>
      <c r="AE185" s="53"/>
      <c r="AF185" s="53"/>
      <c r="AG185" s="53"/>
      <c r="AH185" s="53"/>
      <c r="AI185" s="53"/>
      <c r="AJ185" s="53"/>
      <c r="AK185" s="53"/>
      <c r="AL185" s="53"/>
      <c r="AM185" s="53"/>
      <c r="AN185" s="53"/>
      <c r="AO185" s="53"/>
      <c r="AP185" s="53"/>
      <c r="AQ185" s="53"/>
      <c r="AR185" s="53"/>
      <c r="AS185" s="53"/>
      <c r="AT185" s="53"/>
      <c r="AU185" s="53"/>
      <c r="AV185" s="53"/>
      <c r="AW185" s="53"/>
      <c r="AX185" s="53"/>
    </row>
    <row r="186" spans="1:50" x14ac:dyDescent="0.25">
      <c r="A186" s="167" t="s">
        <v>743</v>
      </c>
      <c r="B186" s="167"/>
      <c r="C186" s="167"/>
      <c r="D186" s="377"/>
      <c r="E186" s="166"/>
      <c r="F186" s="166"/>
      <c r="G186" s="166"/>
      <c r="H186" s="166"/>
      <c r="I186" s="166" t="s">
        <v>5</v>
      </c>
      <c r="J186" s="378">
        <f t="shared" si="58"/>
        <v>82000</v>
      </c>
      <c r="K186" s="378">
        <f t="shared" si="58"/>
        <v>139000</v>
      </c>
      <c r="L186" s="378">
        <f t="shared" si="58"/>
        <v>303000</v>
      </c>
      <c r="M186" s="378">
        <f t="shared" si="58"/>
        <v>276000</v>
      </c>
      <c r="N186" s="378">
        <f t="shared" si="58"/>
        <v>0</v>
      </c>
      <c r="O186" s="378">
        <f t="shared" si="58"/>
        <v>0</v>
      </c>
      <c r="P186" s="378">
        <f t="shared" si="58"/>
        <v>800000</v>
      </c>
      <c r="Q186" s="53"/>
      <c r="R186" s="379"/>
      <c r="S186" s="379"/>
      <c r="T186" s="379"/>
      <c r="U186" s="379"/>
      <c r="V186" s="53"/>
      <c r="W186" s="380"/>
      <c r="X186" s="380"/>
      <c r="Y186" s="380"/>
      <c r="Z186" s="380"/>
      <c r="AA186" s="380"/>
      <c r="AB186" s="380"/>
      <c r="AC186" s="279"/>
      <c r="AD186" s="53"/>
      <c r="AE186" s="53"/>
      <c r="AF186" s="53"/>
      <c r="AG186" s="53"/>
      <c r="AH186" s="53"/>
      <c r="AI186" s="53"/>
      <c r="AJ186" s="53"/>
      <c r="AK186" s="53"/>
      <c r="AL186" s="53"/>
      <c r="AM186" s="53"/>
      <c r="AN186" s="53"/>
      <c r="AO186" s="53"/>
      <c r="AP186" s="53"/>
      <c r="AQ186" s="53"/>
      <c r="AR186" s="53"/>
      <c r="AS186" s="53"/>
      <c r="AT186" s="53"/>
      <c r="AU186" s="53"/>
      <c r="AV186" s="53"/>
      <c r="AW186" s="53"/>
      <c r="AX186" s="53"/>
    </row>
    <row r="187" spans="1:50" x14ac:dyDescent="0.25">
      <c r="A187" s="53"/>
      <c r="B187" s="53"/>
      <c r="C187" s="53"/>
      <c r="D187" s="100"/>
      <c r="E187" s="54"/>
      <c r="F187" s="54"/>
      <c r="G187" s="54"/>
      <c r="H187" s="54"/>
      <c r="I187" s="54"/>
      <c r="J187" s="381"/>
      <c r="K187" s="381"/>
      <c r="L187" s="381"/>
      <c r="M187" s="381"/>
      <c r="N187" s="381"/>
      <c r="O187" s="381"/>
      <c r="P187" s="381"/>
      <c r="Q187" s="53"/>
      <c r="R187" s="381">
        <v>1</v>
      </c>
      <c r="S187" s="381"/>
      <c r="T187" s="381"/>
      <c r="U187" s="381"/>
      <c r="V187" s="53"/>
      <c r="W187" s="53"/>
      <c r="X187" s="53"/>
      <c r="Y187" s="53"/>
      <c r="Z187" s="53"/>
      <c r="AA187" s="53"/>
      <c r="AB187" s="53"/>
      <c r="AC187" s="53"/>
      <c r="AD187" s="53"/>
      <c r="AE187" s="53"/>
      <c r="AF187" s="53"/>
      <c r="AG187" s="53"/>
      <c r="AH187" s="53"/>
      <c r="AI187" s="53"/>
      <c r="AJ187" s="53"/>
      <c r="AK187" s="53"/>
      <c r="AL187" s="53"/>
      <c r="AM187" s="53"/>
      <c r="AN187" s="53"/>
      <c r="AO187" s="53"/>
      <c r="AP187" s="53"/>
      <c r="AQ187" s="53"/>
      <c r="AR187" s="53"/>
      <c r="AS187" s="53"/>
      <c r="AT187" s="53"/>
      <c r="AU187" s="53"/>
      <c r="AV187" s="53"/>
      <c r="AW187" s="53"/>
      <c r="AX187" s="53"/>
    </row>
    <row r="188" spans="1:50" x14ac:dyDescent="0.25">
      <c r="D188"/>
      <c r="E188"/>
      <c r="F188"/>
      <c r="G188"/>
      <c r="H188"/>
      <c r="I188"/>
    </row>
    <row r="189" spans="1:50" x14ac:dyDescent="0.25">
      <c r="D189"/>
      <c r="E189"/>
      <c r="F189"/>
      <c r="G189"/>
      <c r="H189"/>
      <c r="I189"/>
    </row>
  </sheetData>
  <autoFilter ref="A3:U180"/>
  <mergeCells count="74">
    <mergeCell ref="C171:C172"/>
    <mergeCell ref="C162:C167"/>
    <mergeCell ref="C154:C159"/>
    <mergeCell ref="D146:D147"/>
    <mergeCell ref="D144:D145"/>
    <mergeCell ref="D151:D152"/>
    <mergeCell ref="D154:D155"/>
    <mergeCell ref="D156:D157"/>
    <mergeCell ref="C150:C153"/>
    <mergeCell ref="C144:C149"/>
    <mergeCell ref="D148:D149"/>
    <mergeCell ref="D117:D118"/>
    <mergeCell ref="C92:C106"/>
    <mergeCell ref="C107:C112"/>
    <mergeCell ref="D130:D132"/>
    <mergeCell ref="D123:D125"/>
    <mergeCell ref="C114:C119"/>
    <mergeCell ref="C120:C143"/>
    <mergeCell ref="D94:D99"/>
    <mergeCell ref="D133:D135"/>
    <mergeCell ref="D126:D129"/>
    <mergeCell ref="D110:D111"/>
    <mergeCell ref="D101:D104"/>
    <mergeCell ref="D105:D106"/>
    <mergeCell ref="D92:D93"/>
    <mergeCell ref="D115:D116"/>
    <mergeCell ref="D136:D142"/>
    <mergeCell ref="I73:I75"/>
    <mergeCell ref="I76:I77"/>
    <mergeCell ref="C78:C80"/>
    <mergeCell ref="C76:C77"/>
    <mergeCell ref="C73:C75"/>
    <mergeCell ref="A162:A180"/>
    <mergeCell ref="A4:A35"/>
    <mergeCell ref="A36:A82"/>
    <mergeCell ref="A83:A161"/>
    <mergeCell ref="B60:B81"/>
    <mergeCell ref="B36:B59"/>
    <mergeCell ref="B114:B160"/>
    <mergeCell ref="B83:B113"/>
    <mergeCell ref="B24:B34"/>
    <mergeCell ref="B4:B23"/>
    <mergeCell ref="B162:B179"/>
    <mergeCell ref="D84:D85"/>
    <mergeCell ref="C13:C22"/>
    <mergeCell ref="C31:C33"/>
    <mergeCell ref="D87:D88"/>
    <mergeCell ref="C83:C91"/>
    <mergeCell ref="D89:D91"/>
    <mergeCell ref="C69:C72"/>
    <mergeCell ref="C60:C61"/>
    <mergeCell ref="C66:C68"/>
    <mergeCell ref="D17:D18"/>
    <mergeCell ref="C62:C65"/>
    <mergeCell ref="D24:D25"/>
    <mergeCell ref="D29:D30"/>
    <mergeCell ref="D14:D16"/>
    <mergeCell ref="D46:D49"/>
    <mergeCell ref="I67:I68"/>
    <mergeCell ref="I70:I72"/>
    <mergeCell ref="I36:I38"/>
    <mergeCell ref="C4:C12"/>
    <mergeCell ref="C24:C26"/>
    <mergeCell ref="C36:C39"/>
    <mergeCell ref="H36:H38"/>
    <mergeCell ref="C44:C50"/>
    <mergeCell ref="D8:D9"/>
    <mergeCell ref="D5:D7"/>
    <mergeCell ref="D53:D56"/>
    <mergeCell ref="D44:D45"/>
    <mergeCell ref="C51:C58"/>
    <mergeCell ref="D57:D58"/>
    <mergeCell ref="C27:C30"/>
    <mergeCell ref="D62:D63"/>
  </mergeCells>
  <pageMargins left="0.7" right="0.7" top="0.75" bottom="0.75" header="0.3" footer="0.3"/>
  <pageSetup paperSize="8" scale="40" orientation="landscape" cellComments="asDisplayed" r:id="rId1"/>
  <headerFooter>
    <oddHeader xml:space="preserve">&amp;CDetailed budget breakdown
</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40"/>
  <sheetViews>
    <sheetView zoomScale="55" zoomScaleNormal="55" zoomScaleSheetLayoutView="85" workbookViewId="0">
      <pane xSplit="23" ySplit="1" topLeftCell="X243" activePane="bottomRight" state="frozen"/>
      <selection pane="topRight" activeCell="X1" sqref="X1"/>
      <selection pane="bottomLeft" activeCell="A2" sqref="A2"/>
      <selection pane="bottomRight" activeCell="C1" sqref="C1:AA296"/>
    </sheetView>
  </sheetViews>
  <sheetFormatPr defaultColWidth="8.7109375" defaultRowHeight="15" x14ac:dyDescent="0.25"/>
  <cols>
    <col min="1" max="1" width="0" hidden="1" customWidth="1"/>
    <col min="2" max="2" width="8.5703125" hidden="1" customWidth="1"/>
    <col min="3" max="3" width="8.5703125" customWidth="1"/>
    <col min="4" max="4" width="9" customWidth="1"/>
    <col min="5" max="5" width="6.7109375" customWidth="1"/>
    <col min="6" max="6" width="36.85546875" customWidth="1"/>
    <col min="7" max="7" width="11.5703125" customWidth="1"/>
    <col min="8" max="8" width="9.7109375" customWidth="1"/>
    <col min="9" max="13" width="10.28515625" customWidth="1"/>
    <col min="14" max="14" width="13.7109375" customWidth="1"/>
    <col min="15" max="16" width="6.85546875" customWidth="1"/>
    <col min="17" max="17" width="11" customWidth="1"/>
    <col min="18" max="18" width="11.5703125" customWidth="1"/>
    <col min="19" max="19" width="13.85546875" customWidth="1"/>
    <col min="20" max="20" width="11.85546875" customWidth="1"/>
    <col min="21" max="21" width="11.42578125" customWidth="1"/>
    <col min="22" max="22" width="6.85546875" customWidth="1"/>
    <col min="23" max="23" width="15.28515625" customWidth="1"/>
    <col min="24" max="24" width="18.85546875" customWidth="1"/>
    <col min="25" max="25" width="13.85546875" customWidth="1"/>
    <col min="26" max="26" width="15.42578125" bestFit="1" customWidth="1"/>
    <col min="27" max="27" width="18" style="31" bestFit="1" customWidth="1"/>
    <col min="28" max="28" width="18.5703125" bestFit="1" customWidth="1"/>
    <col min="38" max="38" width="9" bestFit="1" customWidth="1"/>
  </cols>
  <sheetData>
    <row r="1" spans="1:39" ht="56.25" x14ac:dyDescent="0.25">
      <c r="A1" t="s">
        <v>432</v>
      </c>
      <c r="C1" s="534" t="s">
        <v>433</v>
      </c>
      <c r="D1" s="535"/>
      <c r="E1" s="535"/>
      <c r="F1" s="535"/>
      <c r="G1" s="535"/>
      <c r="H1" s="535"/>
      <c r="I1" s="535"/>
      <c r="J1" s="535"/>
      <c r="K1" s="535"/>
      <c r="L1" s="535"/>
      <c r="M1" s="535"/>
      <c r="N1" s="535"/>
      <c r="O1" s="535"/>
      <c r="P1" s="535"/>
      <c r="Q1" s="535"/>
      <c r="R1" s="535"/>
      <c r="S1" s="535"/>
      <c r="T1" s="535"/>
      <c r="U1" s="535"/>
      <c r="V1" s="535"/>
      <c r="W1" s="536"/>
      <c r="X1" s="197" t="s">
        <v>434</v>
      </c>
      <c r="Y1" s="198" t="s">
        <v>435</v>
      </c>
      <c r="Z1" s="198" t="s">
        <v>436</v>
      </c>
      <c r="AA1" s="197" t="s">
        <v>437</v>
      </c>
    </row>
    <row r="2" spans="1:39" ht="45" customHeight="1" thickBot="1" x14ac:dyDescent="0.3">
      <c r="A2" t="s">
        <v>438</v>
      </c>
      <c r="B2" t="s">
        <v>439</v>
      </c>
      <c r="C2" s="520" t="s">
        <v>8</v>
      </c>
      <c r="D2" s="521"/>
      <c r="E2" s="521"/>
      <c r="F2" s="521"/>
      <c r="G2" s="521"/>
      <c r="H2" s="521"/>
      <c r="I2" s="521"/>
      <c r="J2" s="521"/>
      <c r="K2" s="521"/>
      <c r="L2" s="521"/>
      <c r="M2" s="521"/>
      <c r="N2" s="521"/>
      <c r="O2" s="521"/>
      <c r="P2" s="521"/>
      <c r="Q2" s="521"/>
      <c r="R2" s="521"/>
      <c r="S2" s="521"/>
      <c r="T2" s="521"/>
      <c r="U2" s="521"/>
      <c r="V2" s="521"/>
      <c r="W2" s="522"/>
      <c r="X2" s="83"/>
      <c r="Y2" s="84"/>
      <c r="Z2" s="84"/>
      <c r="AA2" s="152"/>
      <c r="AB2" s="152">
        <f>+SUM(AA3:AA31)</f>
        <v>3187350</v>
      </c>
      <c r="AC2" s="85"/>
      <c r="AD2" s="85"/>
      <c r="AE2" s="85"/>
      <c r="AF2" s="85"/>
      <c r="AG2" s="85"/>
      <c r="AH2" s="85"/>
      <c r="AI2" s="85"/>
      <c r="AJ2" s="85"/>
      <c r="AK2" s="85"/>
      <c r="AL2" s="85"/>
      <c r="AM2" s="85"/>
    </row>
    <row r="3" spans="1:39" ht="15.75" thickBot="1" x14ac:dyDescent="0.3">
      <c r="A3" s="73"/>
      <c r="B3" s="73" t="s">
        <v>81</v>
      </c>
      <c r="C3" s="73" t="s">
        <v>81</v>
      </c>
      <c r="D3" s="526" t="s">
        <v>440</v>
      </c>
      <c r="E3" s="527"/>
      <c r="F3" s="527"/>
      <c r="G3" s="527"/>
      <c r="H3" s="527"/>
      <c r="I3" s="527"/>
      <c r="J3" s="527"/>
      <c r="K3" s="527"/>
      <c r="L3" s="527"/>
      <c r="M3" s="527"/>
      <c r="N3" s="527"/>
      <c r="O3" s="527"/>
      <c r="P3" s="527"/>
      <c r="Q3" s="527"/>
      <c r="R3" s="527"/>
      <c r="S3" s="527"/>
      <c r="T3" s="527"/>
      <c r="U3" s="527"/>
      <c r="V3" s="527"/>
      <c r="W3" s="528"/>
      <c r="X3" s="155" t="s">
        <v>441</v>
      </c>
      <c r="Y3" s="156">
        <v>55</v>
      </c>
      <c r="Z3" s="156">
        <v>500</v>
      </c>
      <c r="AA3" s="157">
        <f>Y3*Z3</f>
        <v>27500</v>
      </c>
      <c r="AB3" s="51"/>
    </row>
    <row r="4" spans="1:39" ht="15.75" thickBot="1" x14ac:dyDescent="0.3">
      <c r="A4" s="73"/>
      <c r="B4" s="73" t="s">
        <v>442</v>
      </c>
      <c r="C4" s="73" t="s">
        <v>84</v>
      </c>
      <c r="D4" s="546" t="s">
        <v>748</v>
      </c>
      <c r="E4" s="546"/>
      <c r="F4" s="546"/>
      <c r="G4" s="546"/>
      <c r="H4" s="546"/>
      <c r="I4" s="546"/>
      <c r="J4" s="546"/>
      <c r="K4" s="546"/>
      <c r="L4" s="546"/>
      <c r="M4" s="546"/>
      <c r="N4" s="546"/>
      <c r="O4" s="546"/>
      <c r="P4" s="546"/>
      <c r="Q4" s="546"/>
      <c r="R4" s="546"/>
      <c r="S4" s="546"/>
      <c r="T4" s="546"/>
      <c r="U4" s="546"/>
      <c r="V4" s="546"/>
      <c r="W4" s="546"/>
      <c r="X4" s="82" t="s">
        <v>443</v>
      </c>
      <c r="Y4" s="158">
        <v>5</v>
      </c>
      <c r="Z4" s="158">
        <v>1500</v>
      </c>
      <c r="AA4" s="157">
        <f>Y4*Z4</f>
        <v>7500</v>
      </c>
      <c r="AB4" s="51"/>
    </row>
    <row r="5" spans="1:39" ht="15.75" thickBot="1" x14ac:dyDescent="0.3">
      <c r="A5" s="73"/>
      <c r="B5" s="73" t="s">
        <v>442</v>
      </c>
      <c r="C5" s="73" t="s">
        <v>89</v>
      </c>
      <c r="D5" s="546" t="s">
        <v>444</v>
      </c>
      <c r="E5" s="546"/>
      <c r="F5" s="546"/>
      <c r="G5" s="546"/>
      <c r="H5" s="546"/>
      <c r="I5" s="546"/>
      <c r="J5" s="546"/>
      <c r="K5" s="546"/>
      <c r="L5" s="546"/>
      <c r="M5" s="546"/>
      <c r="N5" s="546"/>
      <c r="O5" s="546"/>
      <c r="P5" s="546"/>
      <c r="Q5" s="546"/>
      <c r="R5" s="546"/>
      <c r="S5" s="546"/>
      <c r="T5" s="546"/>
      <c r="U5" s="546"/>
      <c r="V5" s="546"/>
      <c r="W5" s="546"/>
      <c r="X5" s="82" t="s">
        <v>441</v>
      </c>
      <c r="Y5" s="158">
        <v>40</v>
      </c>
      <c r="Z5" s="158">
        <v>500</v>
      </c>
      <c r="AA5" s="157">
        <f>Y5*Z5</f>
        <v>20000</v>
      </c>
      <c r="AB5" s="51"/>
    </row>
    <row r="6" spans="1:39" ht="15.75" thickBot="1" x14ac:dyDescent="0.3">
      <c r="A6" s="73"/>
      <c r="B6" s="73" t="s">
        <v>442</v>
      </c>
      <c r="C6" s="73" t="s">
        <v>92</v>
      </c>
      <c r="D6" s="546" t="s">
        <v>93</v>
      </c>
      <c r="E6" s="546"/>
      <c r="F6" s="546"/>
      <c r="G6" s="546"/>
      <c r="H6" s="546"/>
      <c r="I6" s="546"/>
      <c r="J6" s="546"/>
      <c r="K6" s="546"/>
      <c r="L6" s="546"/>
      <c r="M6" s="546"/>
      <c r="N6" s="546"/>
      <c r="O6" s="546"/>
      <c r="P6" s="546"/>
      <c r="Q6" s="546"/>
      <c r="R6" s="546"/>
      <c r="S6" s="546"/>
      <c r="T6" s="546"/>
      <c r="U6" s="546"/>
      <c r="V6" s="546"/>
      <c r="W6" s="546"/>
      <c r="X6" s="82" t="s">
        <v>445</v>
      </c>
      <c r="Y6" s="158">
        <v>1</v>
      </c>
      <c r="Z6" s="158">
        <v>70000</v>
      </c>
      <c r="AA6" s="157">
        <f>Y6*Z6</f>
        <v>70000</v>
      </c>
      <c r="AB6" s="51"/>
    </row>
    <row r="7" spans="1:39" ht="34.9" customHeight="1" thickBot="1" x14ac:dyDescent="0.3">
      <c r="A7" s="73"/>
      <c r="B7" s="73" t="s">
        <v>84</v>
      </c>
      <c r="C7" s="73" t="s">
        <v>96</v>
      </c>
      <c r="D7" s="533" t="s">
        <v>749</v>
      </c>
      <c r="E7" s="533"/>
      <c r="F7" s="533"/>
      <c r="G7" s="533"/>
      <c r="H7" s="533"/>
      <c r="I7" s="533"/>
      <c r="J7" s="533"/>
      <c r="K7" s="533"/>
      <c r="L7" s="533"/>
      <c r="M7" s="533"/>
      <c r="N7" s="533"/>
      <c r="O7" s="533"/>
      <c r="P7" s="533"/>
      <c r="Q7" s="533"/>
      <c r="R7" s="533"/>
      <c r="S7" s="533"/>
      <c r="T7" s="533"/>
      <c r="U7" s="533"/>
      <c r="V7" s="533"/>
      <c r="W7" s="533"/>
      <c r="X7" s="408" t="s">
        <v>446</v>
      </c>
      <c r="Y7" s="158">
        <v>10</v>
      </c>
      <c r="Z7" s="158">
        <v>4000</v>
      </c>
      <c r="AA7" s="157">
        <f t="shared" ref="AA7:AA31" si="0">Y7*Z7</f>
        <v>40000</v>
      </c>
      <c r="AB7" s="51"/>
    </row>
    <row r="8" spans="1:39" ht="38.450000000000003" customHeight="1" thickBot="1" x14ac:dyDescent="0.3">
      <c r="A8" s="73"/>
      <c r="B8" s="73" t="s">
        <v>99</v>
      </c>
      <c r="C8" s="73" t="s">
        <v>98</v>
      </c>
      <c r="D8" s="533" t="s">
        <v>750</v>
      </c>
      <c r="E8" s="533"/>
      <c r="F8" s="533"/>
      <c r="G8" s="533"/>
      <c r="H8" s="533"/>
      <c r="I8" s="533"/>
      <c r="J8" s="533"/>
      <c r="K8" s="533"/>
      <c r="L8" s="533"/>
      <c r="M8" s="533"/>
      <c r="N8" s="533"/>
      <c r="O8" s="533"/>
      <c r="P8" s="533"/>
      <c r="Q8" s="533"/>
      <c r="R8" s="533"/>
      <c r="S8" s="533"/>
      <c r="T8" s="533"/>
      <c r="U8" s="533"/>
      <c r="V8" s="533"/>
      <c r="W8" s="533"/>
      <c r="X8" s="408" t="s">
        <v>441</v>
      </c>
      <c r="Y8" s="158">
        <v>80</v>
      </c>
      <c r="Z8" s="158">
        <v>250</v>
      </c>
      <c r="AA8" s="157">
        <f t="shared" si="0"/>
        <v>20000</v>
      </c>
      <c r="AB8" s="51"/>
    </row>
    <row r="9" spans="1:39" ht="30" customHeight="1" thickBot="1" x14ac:dyDescent="0.3">
      <c r="A9" s="73" t="s">
        <v>447</v>
      </c>
      <c r="B9" s="73" t="s">
        <v>89</v>
      </c>
      <c r="C9" s="73" t="s">
        <v>103</v>
      </c>
      <c r="D9" s="537" t="s">
        <v>448</v>
      </c>
      <c r="E9" s="538"/>
      <c r="F9" s="538"/>
      <c r="G9" s="538"/>
      <c r="H9" s="538"/>
      <c r="I9" s="538"/>
      <c r="J9" s="538"/>
      <c r="K9" s="538"/>
      <c r="L9" s="538"/>
      <c r="M9" s="538"/>
      <c r="N9" s="538"/>
      <c r="O9" s="538"/>
      <c r="P9" s="538"/>
      <c r="Q9" s="538"/>
      <c r="R9" s="538"/>
      <c r="S9" s="538"/>
      <c r="T9" s="538"/>
      <c r="U9" s="538"/>
      <c r="V9" s="538"/>
      <c r="W9" s="539"/>
      <c r="X9" s="408" t="s">
        <v>446</v>
      </c>
      <c r="Y9" s="158">
        <v>10</v>
      </c>
      <c r="Z9" s="158">
        <v>3000</v>
      </c>
      <c r="AA9" s="157">
        <f t="shared" si="0"/>
        <v>30000</v>
      </c>
      <c r="AB9" s="51"/>
    </row>
    <row r="10" spans="1:39" ht="15.75" thickBot="1" x14ac:dyDescent="0.3">
      <c r="A10" s="73"/>
      <c r="B10" s="73" t="s">
        <v>92</v>
      </c>
      <c r="C10" s="73" t="s">
        <v>106</v>
      </c>
      <c r="D10" s="489" t="s">
        <v>751</v>
      </c>
      <c r="E10" s="490"/>
      <c r="F10" s="490"/>
      <c r="G10" s="490"/>
      <c r="H10" s="490"/>
      <c r="I10" s="490"/>
      <c r="J10" s="490"/>
      <c r="K10" s="490"/>
      <c r="L10" s="490"/>
      <c r="M10" s="490"/>
      <c r="N10" s="490"/>
      <c r="O10" s="490"/>
      <c r="P10" s="490"/>
      <c r="Q10" s="490"/>
      <c r="R10" s="490"/>
      <c r="S10" s="490"/>
      <c r="T10" s="490"/>
      <c r="U10" s="490"/>
      <c r="V10" s="490"/>
      <c r="W10" s="491"/>
      <c r="X10" s="408" t="s">
        <v>449</v>
      </c>
      <c r="Y10" s="158">
        <v>1100</v>
      </c>
      <c r="Z10" s="158">
        <v>1000</v>
      </c>
      <c r="AA10" s="157">
        <f t="shared" si="0"/>
        <v>1100000</v>
      </c>
      <c r="AB10" s="51"/>
    </row>
    <row r="11" spans="1:39" ht="14.45" customHeight="1" thickBot="1" x14ac:dyDescent="0.3">
      <c r="A11" s="73"/>
      <c r="B11" s="73" t="s">
        <v>96</v>
      </c>
      <c r="C11" s="73" t="s">
        <v>108</v>
      </c>
      <c r="D11" s="492" t="s">
        <v>752</v>
      </c>
      <c r="E11" s="493"/>
      <c r="F11" s="493"/>
      <c r="G11" s="493"/>
      <c r="H11" s="493"/>
      <c r="I11" s="493"/>
      <c r="J11" s="493"/>
      <c r="K11" s="493"/>
      <c r="L11" s="493"/>
      <c r="M11" s="493"/>
      <c r="N11" s="493"/>
      <c r="O11" s="493"/>
      <c r="P11" s="493"/>
      <c r="Q11" s="493"/>
      <c r="R11" s="493"/>
      <c r="S11" s="493"/>
      <c r="T11" s="493"/>
      <c r="U11" s="493"/>
      <c r="V11" s="493"/>
      <c r="W11" s="494"/>
      <c r="X11" s="155" t="s">
        <v>441</v>
      </c>
      <c r="Y11" s="382">
        <f>20+30+30+30</f>
        <v>110</v>
      </c>
      <c r="Z11" s="382">
        <v>250</v>
      </c>
      <c r="AA11" s="157">
        <f t="shared" si="0"/>
        <v>27500</v>
      </c>
      <c r="AB11" s="51"/>
    </row>
    <row r="12" spans="1:39" ht="14.45" customHeight="1" thickBot="1" x14ac:dyDescent="0.3">
      <c r="A12" s="73"/>
      <c r="B12" s="73" t="s">
        <v>98</v>
      </c>
      <c r="C12" s="73" t="s">
        <v>111</v>
      </c>
      <c r="D12" s="492" t="s">
        <v>450</v>
      </c>
      <c r="E12" s="493"/>
      <c r="F12" s="493"/>
      <c r="G12" s="493"/>
      <c r="H12" s="493"/>
      <c r="I12" s="493"/>
      <c r="J12" s="493"/>
      <c r="K12" s="493"/>
      <c r="L12" s="493"/>
      <c r="M12" s="493"/>
      <c r="N12" s="493"/>
      <c r="O12" s="493"/>
      <c r="P12" s="493"/>
      <c r="Q12" s="493"/>
      <c r="R12" s="493"/>
      <c r="S12" s="493"/>
      <c r="T12" s="493"/>
      <c r="U12" s="493"/>
      <c r="V12" s="493"/>
      <c r="W12" s="494"/>
      <c r="X12" s="82" t="s">
        <v>441</v>
      </c>
      <c r="Y12" s="158">
        <v>63</v>
      </c>
      <c r="Z12" s="158">
        <v>500</v>
      </c>
      <c r="AA12" s="157">
        <f t="shared" si="0"/>
        <v>31500</v>
      </c>
      <c r="AB12" s="51"/>
    </row>
    <row r="13" spans="1:39" ht="14.45" customHeight="1" thickBot="1" x14ac:dyDescent="0.3">
      <c r="A13" s="73"/>
      <c r="B13" s="73" t="s">
        <v>442</v>
      </c>
      <c r="C13" s="73" t="s">
        <v>113</v>
      </c>
      <c r="D13" s="546" t="s">
        <v>748</v>
      </c>
      <c r="E13" s="546"/>
      <c r="F13" s="546"/>
      <c r="G13" s="546"/>
      <c r="H13" s="546"/>
      <c r="I13" s="546"/>
      <c r="J13" s="546"/>
      <c r="K13" s="546"/>
      <c r="L13" s="546"/>
      <c r="M13" s="546"/>
      <c r="N13" s="546"/>
      <c r="O13" s="546"/>
      <c r="P13" s="546"/>
      <c r="Q13" s="546"/>
      <c r="R13" s="546"/>
      <c r="S13" s="546"/>
      <c r="T13" s="546"/>
      <c r="U13" s="546"/>
      <c r="V13" s="546"/>
      <c r="W13" s="546"/>
      <c r="X13" s="82" t="s">
        <v>443</v>
      </c>
      <c r="Y13" s="158">
        <v>5</v>
      </c>
      <c r="Z13" s="158">
        <v>1500</v>
      </c>
      <c r="AA13" s="157">
        <f>Y13*Z13</f>
        <v>7500</v>
      </c>
      <c r="AB13" s="51"/>
    </row>
    <row r="14" spans="1:39" ht="14.45" customHeight="1" thickBot="1" x14ac:dyDescent="0.3">
      <c r="A14" s="73"/>
      <c r="B14" s="73" t="s">
        <v>442</v>
      </c>
      <c r="C14" s="73" t="s">
        <v>114</v>
      </c>
      <c r="D14" s="546" t="s">
        <v>444</v>
      </c>
      <c r="E14" s="546"/>
      <c r="F14" s="546"/>
      <c r="G14" s="546"/>
      <c r="H14" s="546"/>
      <c r="I14" s="546"/>
      <c r="J14" s="546"/>
      <c r="K14" s="546"/>
      <c r="L14" s="546"/>
      <c r="M14" s="546"/>
      <c r="N14" s="546"/>
      <c r="O14" s="546"/>
      <c r="P14" s="546"/>
      <c r="Q14" s="546"/>
      <c r="R14" s="546"/>
      <c r="S14" s="546"/>
      <c r="T14" s="546"/>
      <c r="U14" s="546"/>
      <c r="V14" s="546"/>
      <c r="W14" s="546"/>
      <c r="X14" s="82" t="s">
        <v>441</v>
      </c>
      <c r="Y14" s="158">
        <v>40</v>
      </c>
      <c r="Z14" s="158">
        <v>500</v>
      </c>
      <c r="AA14" s="157">
        <f>Y14*Z14</f>
        <v>20000</v>
      </c>
      <c r="AB14" s="51"/>
    </row>
    <row r="15" spans="1:39" ht="14.45" customHeight="1" thickBot="1" x14ac:dyDescent="0.3">
      <c r="A15" s="73"/>
      <c r="B15" s="73" t="s">
        <v>442</v>
      </c>
      <c r="C15" s="73" t="s">
        <v>115</v>
      </c>
      <c r="D15" s="547" t="s">
        <v>753</v>
      </c>
      <c r="E15" s="547"/>
      <c r="F15" s="547"/>
      <c r="G15" s="547"/>
      <c r="H15" s="547"/>
      <c r="I15" s="547"/>
      <c r="J15" s="547"/>
      <c r="K15" s="547"/>
      <c r="L15" s="547"/>
      <c r="M15" s="547"/>
      <c r="N15" s="547"/>
      <c r="O15" s="547"/>
      <c r="P15" s="547"/>
      <c r="Q15" s="547"/>
      <c r="R15" s="547"/>
      <c r="S15" s="547"/>
      <c r="T15" s="547"/>
      <c r="U15" s="547"/>
      <c r="V15" s="547"/>
      <c r="W15" s="547"/>
      <c r="X15" s="408" t="s">
        <v>445</v>
      </c>
      <c r="Y15" s="158">
        <v>1</v>
      </c>
      <c r="Z15" s="158">
        <v>70000</v>
      </c>
      <c r="AA15" s="157">
        <f>Y15*Z15</f>
        <v>70000</v>
      </c>
      <c r="AB15" s="51"/>
    </row>
    <row r="16" spans="1:39" ht="14.45" customHeight="1" thickBot="1" x14ac:dyDescent="0.3">
      <c r="A16" s="73"/>
      <c r="B16" s="73" t="s">
        <v>103</v>
      </c>
      <c r="C16" s="73" t="s">
        <v>117</v>
      </c>
      <c r="D16" s="533" t="s">
        <v>754</v>
      </c>
      <c r="E16" s="533"/>
      <c r="F16" s="533"/>
      <c r="G16" s="533"/>
      <c r="H16" s="533"/>
      <c r="I16" s="533"/>
      <c r="J16" s="533"/>
      <c r="K16" s="533"/>
      <c r="L16" s="533"/>
      <c r="M16" s="533"/>
      <c r="N16" s="533"/>
      <c r="O16" s="533"/>
      <c r="P16" s="533"/>
      <c r="Q16" s="533"/>
      <c r="R16" s="533"/>
      <c r="S16" s="533"/>
      <c r="T16" s="533"/>
      <c r="U16" s="533"/>
      <c r="V16" s="533"/>
      <c r="W16" s="533"/>
      <c r="X16" s="410" t="s">
        <v>446</v>
      </c>
      <c r="Y16" s="158">
        <v>10</v>
      </c>
      <c r="Z16" s="158">
        <v>4000</v>
      </c>
      <c r="AA16" s="157">
        <f t="shared" si="0"/>
        <v>40000</v>
      </c>
      <c r="AB16" s="51"/>
    </row>
    <row r="17" spans="1:28" ht="21.75" customHeight="1" thickBot="1" x14ac:dyDescent="0.3">
      <c r="A17" s="73"/>
      <c r="B17" s="73" t="s">
        <v>99</v>
      </c>
      <c r="C17" s="73" t="s">
        <v>119</v>
      </c>
      <c r="D17" s="533" t="s">
        <v>755</v>
      </c>
      <c r="E17" s="533"/>
      <c r="F17" s="533"/>
      <c r="G17" s="533"/>
      <c r="H17" s="533"/>
      <c r="I17" s="533"/>
      <c r="J17" s="533"/>
      <c r="K17" s="533"/>
      <c r="L17" s="533"/>
      <c r="M17" s="533"/>
      <c r="N17" s="533"/>
      <c r="O17" s="533"/>
      <c r="P17" s="533"/>
      <c r="Q17" s="533"/>
      <c r="R17" s="533"/>
      <c r="S17" s="533"/>
      <c r="T17" s="533"/>
      <c r="U17" s="533"/>
      <c r="V17" s="533"/>
      <c r="W17" s="533"/>
      <c r="X17" s="408" t="s">
        <v>441</v>
      </c>
      <c r="Y17" s="158">
        <v>80</v>
      </c>
      <c r="Z17" s="158">
        <v>250</v>
      </c>
      <c r="AA17" s="157">
        <f t="shared" ref="AA17" si="1">Y17*Z17</f>
        <v>20000</v>
      </c>
      <c r="AB17" s="51"/>
    </row>
    <row r="18" spans="1:28" ht="30" customHeight="1" thickBot="1" x14ac:dyDescent="0.3">
      <c r="A18" s="73" t="s">
        <v>447</v>
      </c>
      <c r="B18" s="73" t="s">
        <v>106</v>
      </c>
      <c r="C18" s="73" t="s">
        <v>122</v>
      </c>
      <c r="D18" s="489" t="s">
        <v>451</v>
      </c>
      <c r="E18" s="490"/>
      <c r="F18" s="490"/>
      <c r="G18" s="490"/>
      <c r="H18" s="490"/>
      <c r="I18" s="490"/>
      <c r="J18" s="490"/>
      <c r="K18" s="490"/>
      <c r="L18" s="490"/>
      <c r="M18" s="490"/>
      <c r="N18" s="490"/>
      <c r="O18" s="490"/>
      <c r="P18" s="490"/>
      <c r="Q18" s="490"/>
      <c r="R18" s="490"/>
      <c r="S18" s="490"/>
      <c r="T18" s="490"/>
      <c r="U18" s="490"/>
      <c r="V18" s="490"/>
      <c r="W18" s="491"/>
      <c r="X18" s="408" t="s">
        <v>446</v>
      </c>
      <c r="Y18" s="158">
        <v>10</v>
      </c>
      <c r="Z18" s="158">
        <v>3000</v>
      </c>
      <c r="AA18" s="157">
        <f t="shared" si="0"/>
        <v>30000</v>
      </c>
      <c r="AB18" s="51"/>
    </row>
    <row r="19" spans="1:28" ht="15.75" thickBot="1" x14ac:dyDescent="0.3">
      <c r="A19" s="73"/>
      <c r="B19" s="73" t="s">
        <v>108</v>
      </c>
      <c r="C19" s="73" t="s">
        <v>124</v>
      </c>
      <c r="D19" s="489" t="s">
        <v>756</v>
      </c>
      <c r="E19" s="490"/>
      <c r="F19" s="490"/>
      <c r="G19" s="490"/>
      <c r="H19" s="490"/>
      <c r="I19" s="490"/>
      <c r="J19" s="490"/>
      <c r="K19" s="490"/>
      <c r="L19" s="490"/>
      <c r="M19" s="490"/>
      <c r="N19" s="490"/>
      <c r="O19" s="490"/>
      <c r="P19" s="490"/>
      <c r="Q19" s="490"/>
      <c r="R19" s="490"/>
      <c r="S19" s="490"/>
      <c r="T19" s="490"/>
      <c r="U19" s="490"/>
      <c r="V19" s="490"/>
      <c r="W19" s="491"/>
      <c r="X19" s="408" t="s">
        <v>449</v>
      </c>
      <c r="Y19" s="158">
        <v>1250</v>
      </c>
      <c r="Z19" s="158">
        <v>500</v>
      </c>
      <c r="AA19" s="157">
        <f t="shared" si="0"/>
        <v>625000</v>
      </c>
      <c r="AB19" s="51"/>
    </row>
    <row r="20" spans="1:28" ht="14.45" customHeight="1" thickBot="1" x14ac:dyDescent="0.3">
      <c r="A20" s="73"/>
      <c r="B20" s="73" t="s">
        <v>111</v>
      </c>
      <c r="C20" s="73" t="s">
        <v>126</v>
      </c>
      <c r="D20" s="489" t="s">
        <v>757</v>
      </c>
      <c r="E20" s="490"/>
      <c r="F20" s="490"/>
      <c r="G20" s="490"/>
      <c r="H20" s="490"/>
      <c r="I20" s="490"/>
      <c r="J20" s="490"/>
      <c r="K20" s="490"/>
      <c r="L20" s="490"/>
      <c r="M20" s="490"/>
      <c r="N20" s="490"/>
      <c r="O20" s="490"/>
      <c r="P20" s="490"/>
      <c r="Q20" s="490"/>
      <c r="R20" s="490"/>
      <c r="S20" s="490"/>
      <c r="T20" s="490"/>
      <c r="U20" s="490"/>
      <c r="V20" s="490"/>
      <c r="W20" s="491"/>
      <c r="X20" s="408" t="s">
        <v>441</v>
      </c>
      <c r="Y20" s="158">
        <v>124</v>
      </c>
      <c r="Z20" s="158">
        <v>250</v>
      </c>
      <c r="AA20" s="157">
        <f t="shared" si="0"/>
        <v>31000</v>
      </c>
      <c r="AB20" s="51"/>
    </row>
    <row r="21" spans="1:28" ht="14.45" customHeight="1" thickBot="1" x14ac:dyDescent="0.3">
      <c r="A21" s="73"/>
      <c r="B21" s="73" t="s">
        <v>113</v>
      </c>
      <c r="C21" s="73" t="s">
        <v>129</v>
      </c>
      <c r="D21" s="489" t="s">
        <v>452</v>
      </c>
      <c r="E21" s="490"/>
      <c r="F21" s="490"/>
      <c r="G21" s="490"/>
      <c r="H21" s="490"/>
      <c r="I21" s="490"/>
      <c r="J21" s="490"/>
      <c r="K21" s="490"/>
      <c r="L21" s="490"/>
      <c r="M21" s="490"/>
      <c r="N21" s="490"/>
      <c r="O21" s="490"/>
      <c r="P21" s="490"/>
      <c r="Q21" s="490"/>
      <c r="R21" s="490"/>
      <c r="S21" s="490"/>
      <c r="T21" s="490"/>
      <c r="U21" s="490"/>
      <c r="V21" s="490"/>
      <c r="W21" s="491"/>
      <c r="X21" s="408" t="s">
        <v>453</v>
      </c>
      <c r="Y21" s="158">
        <v>1</v>
      </c>
      <c r="Z21" s="158">
        <v>156200</v>
      </c>
      <c r="AA21" s="157">
        <f t="shared" si="0"/>
        <v>156200</v>
      </c>
      <c r="AB21" s="51"/>
    </row>
    <row r="22" spans="1:28" ht="29.45" customHeight="1" thickBot="1" x14ac:dyDescent="0.3">
      <c r="A22" s="73"/>
      <c r="B22" s="73" t="s">
        <v>114</v>
      </c>
      <c r="C22" s="73" t="s">
        <v>134</v>
      </c>
      <c r="D22" s="533" t="s">
        <v>758</v>
      </c>
      <c r="E22" s="533"/>
      <c r="F22" s="533"/>
      <c r="G22" s="533"/>
      <c r="H22" s="533"/>
      <c r="I22" s="533"/>
      <c r="J22" s="533"/>
      <c r="K22" s="533"/>
      <c r="L22" s="533"/>
      <c r="M22" s="533"/>
      <c r="N22" s="533"/>
      <c r="O22" s="533"/>
      <c r="P22" s="533"/>
      <c r="Q22" s="533"/>
      <c r="R22" s="533"/>
      <c r="S22" s="533"/>
      <c r="T22" s="533"/>
      <c r="U22" s="533"/>
      <c r="V22" s="533"/>
      <c r="W22" s="533"/>
      <c r="X22" s="408" t="s">
        <v>446</v>
      </c>
      <c r="Y22" s="158">
        <v>10</v>
      </c>
      <c r="Z22" s="158">
        <v>3500</v>
      </c>
      <c r="AA22" s="157">
        <f t="shared" si="0"/>
        <v>35000</v>
      </c>
    </row>
    <row r="23" spans="1:28" ht="14.45" customHeight="1" thickBot="1" x14ac:dyDescent="0.3">
      <c r="A23" s="73"/>
      <c r="B23" s="73" t="s">
        <v>99</v>
      </c>
      <c r="C23" s="73" t="s">
        <v>136</v>
      </c>
      <c r="D23" s="489" t="s">
        <v>137</v>
      </c>
      <c r="E23" s="490"/>
      <c r="F23" s="490"/>
      <c r="G23" s="490"/>
      <c r="H23" s="490"/>
      <c r="I23" s="490"/>
      <c r="J23" s="490"/>
      <c r="K23" s="490"/>
      <c r="L23" s="490"/>
      <c r="M23" s="490"/>
      <c r="N23" s="490"/>
      <c r="O23" s="490"/>
      <c r="P23" s="490"/>
      <c r="Q23" s="490"/>
      <c r="R23" s="490"/>
      <c r="S23" s="490"/>
      <c r="T23" s="490"/>
      <c r="U23" s="490"/>
      <c r="V23" s="490"/>
      <c r="W23" s="491"/>
      <c r="X23" s="408" t="s">
        <v>441</v>
      </c>
      <c r="Y23" s="158">
        <f>6*10</f>
        <v>60</v>
      </c>
      <c r="Z23" s="158">
        <v>250</v>
      </c>
      <c r="AA23" s="157">
        <f t="shared" si="0"/>
        <v>15000</v>
      </c>
    </row>
    <row r="24" spans="1:28" ht="37.15" customHeight="1" thickBot="1" x14ac:dyDescent="0.3">
      <c r="A24" s="73"/>
      <c r="B24" s="73" t="s">
        <v>115</v>
      </c>
      <c r="C24" s="73" t="s">
        <v>139</v>
      </c>
      <c r="D24" s="489" t="s">
        <v>759</v>
      </c>
      <c r="E24" s="490"/>
      <c r="F24" s="490"/>
      <c r="G24" s="490"/>
      <c r="H24" s="490"/>
      <c r="I24" s="490"/>
      <c r="J24" s="490"/>
      <c r="K24" s="490"/>
      <c r="L24" s="490"/>
      <c r="M24" s="490"/>
      <c r="N24" s="490"/>
      <c r="O24" s="490"/>
      <c r="P24" s="490"/>
      <c r="Q24" s="490"/>
      <c r="R24" s="490"/>
      <c r="S24" s="490"/>
      <c r="T24" s="490"/>
      <c r="U24" s="490"/>
      <c r="V24" s="490"/>
      <c r="W24" s="491"/>
      <c r="X24" s="408" t="s">
        <v>454</v>
      </c>
      <c r="Y24" s="158">
        <v>10</v>
      </c>
      <c r="Z24" s="158">
        <v>1000</v>
      </c>
      <c r="AA24" s="157">
        <f t="shared" si="0"/>
        <v>10000</v>
      </c>
    </row>
    <row r="25" spans="1:28" ht="15.75" thickBot="1" x14ac:dyDescent="0.3">
      <c r="A25" s="73"/>
      <c r="B25" s="73" t="s">
        <v>117</v>
      </c>
      <c r="C25" s="73" t="s">
        <v>143</v>
      </c>
      <c r="D25" s="489" t="s">
        <v>760</v>
      </c>
      <c r="E25" s="490"/>
      <c r="F25" s="490"/>
      <c r="G25" s="490"/>
      <c r="H25" s="490"/>
      <c r="I25" s="490"/>
      <c r="J25" s="490"/>
      <c r="K25" s="490"/>
      <c r="L25" s="490"/>
      <c r="M25" s="490"/>
      <c r="N25" s="490"/>
      <c r="O25" s="490"/>
      <c r="P25" s="490"/>
      <c r="Q25" s="490"/>
      <c r="R25" s="490"/>
      <c r="S25" s="490"/>
      <c r="T25" s="490"/>
      <c r="U25" s="490"/>
      <c r="V25" s="490"/>
      <c r="W25" s="491"/>
      <c r="X25" s="408" t="s">
        <v>441</v>
      </c>
      <c r="Y25" s="158">
        <v>105</v>
      </c>
      <c r="Z25" s="158">
        <v>250</v>
      </c>
      <c r="AA25" s="157">
        <f t="shared" si="0"/>
        <v>26250</v>
      </c>
    </row>
    <row r="26" spans="1:28" ht="29.45" customHeight="1" thickBot="1" x14ac:dyDescent="0.3">
      <c r="A26" s="73"/>
      <c r="B26" s="73" t="s">
        <v>119</v>
      </c>
      <c r="C26" s="73" t="s">
        <v>145</v>
      </c>
      <c r="D26" s="489" t="s">
        <v>455</v>
      </c>
      <c r="E26" s="490"/>
      <c r="F26" s="490"/>
      <c r="G26" s="490"/>
      <c r="H26" s="490"/>
      <c r="I26" s="490"/>
      <c r="J26" s="490"/>
      <c r="K26" s="490"/>
      <c r="L26" s="490"/>
      <c r="M26" s="490"/>
      <c r="N26" s="490"/>
      <c r="O26" s="490"/>
      <c r="P26" s="490"/>
      <c r="Q26" s="490"/>
      <c r="R26" s="490"/>
      <c r="S26" s="490"/>
      <c r="T26" s="490"/>
      <c r="U26" s="490"/>
      <c r="V26" s="490"/>
      <c r="W26" s="491"/>
      <c r="X26" s="408" t="s">
        <v>376</v>
      </c>
      <c r="Y26" s="158">
        <v>1</v>
      </c>
      <c r="Z26" s="158">
        <v>35000</v>
      </c>
      <c r="AA26" s="157">
        <f t="shared" si="0"/>
        <v>35000</v>
      </c>
    </row>
    <row r="27" spans="1:28" ht="15.75" thickBot="1" x14ac:dyDescent="0.3">
      <c r="A27" s="73"/>
      <c r="B27" s="73" t="s">
        <v>122</v>
      </c>
      <c r="C27" s="73" t="s">
        <v>147</v>
      </c>
      <c r="D27" s="489" t="s">
        <v>761</v>
      </c>
      <c r="E27" s="490"/>
      <c r="F27" s="490"/>
      <c r="G27" s="490"/>
      <c r="H27" s="490"/>
      <c r="I27" s="490"/>
      <c r="J27" s="490"/>
      <c r="K27" s="490"/>
      <c r="L27" s="490"/>
      <c r="M27" s="490"/>
      <c r="N27" s="490"/>
      <c r="O27" s="490"/>
      <c r="P27" s="490"/>
      <c r="Q27" s="490"/>
      <c r="R27" s="490"/>
      <c r="S27" s="490"/>
      <c r="T27" s="490"/>
      <c r="U27" s="490"/>
      <c r="V27" s="490"/>
      <c r="W27" s="491"/>
      <c r="X27" s="408" t="s">
        <v>446</v>
      </c>
      <c r="Y27" s="158">
        <v>10</v>
      </c>
      <c r="Z27" s="158">
        <v>1750</v>
      </c>
      <c r="AA27" s="157">
        <f t="shared" si="0"/>
        <v>17500</v>
      </c>
    </row>
    <row r="28" spans="1:28" ht="21.6" customHeight="1" thickBot="1" x14ac:dyDescent="0.3">
      <c r="A28" s="73"/>
      <c r="B28" s="73" t="s">
        <v>99</v>
      </c>
      <c r="C28" s="73" t="s">
        <v>149</v>
      </c>
      <c r="D28" s="603" t="s">
        <v>762</v>
      </c>
      <c r="E28" s="604"/>
      <c r="F28" s="604"/>
      <c r="G28" s="604"/>
      <c r="H28" s="604"/>
      <c r="I28" s="604"/>
      <c r="J28" s="604"/>
      <c r="K28" s="604"/>
      <c r="L28" s="604"/>
      <c r="M28" s="604"/>
      <c r="N28" s="604"/>
      <c r="O28" s="604"/>
      <c r="P28" s="604"/>
      <c r="Q28" s="604"/>
      <c r="R28" s="604"/>
      <c r="S28" s="604"/>
      <c r="T28" s="604"/>
      <c r="U28" s="604"/>
      <c r="V28" s="604"/>
      <c r="W28" s="605"/>
      <c r="X28" s="408" t="s">
        <v>441</v>
      </c>
      <c r="Y28" s="158">
        <v>70</v>
      </c>
      <c r="Z28" s="158">
        <v>250</v>
      </c>
      <c r="AA28" s="157">
        <f t="shared" ref="AA28" si="2">Y28*Z28</f>
        <v>17500</v>
      </c>
    </row>
    <row r="29" spans="1:28" ht="15.75" thickBot="1" x14ac:dyDescent="0.3">
      <c r="A29" s="73"/>
      <c r="B29" s="73" t="s">
        <v>124</v>
      </c>
      <c r="C29" s="73" t="s">
        <v>154</v>
      </c>
      <c r="D29" s="492" t="s">
        <v>456</v>
      </c>
      <c r="E29" s="493"/>
      <c r="F29" s="493"/>
      <c r="G29" s="493"/>
      <c r="H29" s="493"/>
      <c r="I29" s="493"/>
      <c r="J29" s="493"/>
      <c r="K29" s="493"/>
      <c r="L29" s="493"/>
      <c r="M29" s="493"/>
      <c r="N29" s="493"/>
      <c r="O29" s="493"/>
      <c r="P29" s="493"/>
      <c r="Q29" s="493"/>
      <c r="R29" s="493"/>
      <c r="S29" s="493"/>
      <c r="T29" s="493"/>
      <c r="U29" s="493"/>
      <c r="V29" s="493"/>
      <c r="W29" s="494"/>
      <c r="X29" s="82" t="s">
        <v>453</v>
      </c>
      <c r="Y29" s="158">
        <v>1</v>
      </c>
      <c r="Z29" s="158">
        <v>500000</v>
      </c>
      <c r="AA29" s="157">
        <f t="shared" si="0"/>
        <v>500000</v>
      </c>
      <c r="AB29" s="51"/>
    </row>
    <row r="30" spans="1:28" ht="15" customHeight="1" thickBot="1" x14ac:dyDescent="0.3">
      <c r="A30" s="73"/>
      <c r="B30" s="73" t="s">
        <v>126</v>
      </c>
      <c r="C30" s="73" t="s">
        <v>156</v>
      </c>
      <c r="D30" s="489" t="s">
        <v>457</v>
      </c>
      <c r="E30" s="490"/>
      <c r="F30" s="490"/>
      <c r="G30" s="490"/>
      <c r="H30" s="490"/>
      <c r="I30" s="490"/>
      <c r="J30" s="490"/>
      <c r="K30" s="490"/>
      <c r="L30" s="490"/>
      <c r="M30" s="490"/>
      <c r="N30" s="490"/>
      <c r="O30" s="490"/>
      <c r="P30" s="490"/>
      <c r="Q30" s="490"/>
      <c r="R30" s="490"/>
      <c r="S30" s="490"/>
      <c r="T30" s="490"/>
      <c r="U30" s="490"/>
      <c r="V30" s="490"/>
      <c r="W30" s="491"/>
      <c r="X30" s="72" t="s">
        <v>443</v>
      </c>
      <c r="Y30" s="158">
        <v>72</v>
      </c>
      <c r="Z30" s="158">
        <v>1700</v>
      </c>
      <c r="AA30" s="157">
        <f t="shared" si="0"/>
        <v>122400</v>
      </c>
      <c r="AB30" s="51"/>
    </row>
    <row r="31" spans="1:28" ht="15" customHeight="1" thickBot="1" x14ac:dyDescent="0.3">
      <c r="A31" s="73"/>
      <c r="B31" s="73" t="s">
        <v>129</v>
      </c>
      <c r="C31" s="73" t="s">
        <v>159</v>
      </c>
      <c r="D31" s="492" t="s">
        <v>763</v>
      </c>
      <c r="E31" s="493"/>
      <c r="F31" s="493"/>
      <c r="G31" s="493"/>
      <c r="H31" s="493"/>
      <c r="I31" s="493"/>
      <c r="J31" s="493"/>
      <c r="K31" s="493"/>
      <c r="L31" s="493"/>
      <c r="M31" s="493"/>
      <c r="N31" s="493"/>
      <c r="O31" s="493"/>
      <c r="P31" s="493"/>
      <c r="Q31" s="493"/>
      <c r="R31" s="493"/>
      <c r="S31" s="493"/>
      <c r="T31" s="493"/>
      <c r="U31" s="493"/>
      <c r="V31" s="493"/>
      <c r="W31" s="494"/>
      <c r="X31" s="82" t="s">
        <v>458</v>
      </c>
      <c r="Y31" s="158">
        <v>1</v>
      </c>
      <c r="Z31" s="158">
        <v>35000</v>
      </c>
      <c r="AA31" s="157">
        <f t="shared" si="0"/>
        <v>35000</v>
      </c>
      <c r="AB31" s="51"/>
    </row>
    <row r="32" spans="1:28" ht="15" customHeight="1" x14ac:dyDescent="0.25">
      <c r="B32" s="71"/>
      <c r="C32" s="71"/>
      <c r="D32" s="75"/>
      <c r="E32" s="76"/>
      <c r="F32" s="76"/>
      <c r="G32" s="76"/>
      <c r="H32" s="76"/>
      <c r="I32" s="76"/>
      <c r="J32" s="76"/>
      <c r="K32" s="76"/>
      <c r="L32" s="76"/>
      <c r="M32" s="76"/>
      <c r="N32" s="76"/>
      <c r="O32" s="76"/>
      <c r="P32" s="76"/>
      <c r="Q32" s="76"/>
      <c r="R32" s="76"/>
      <c r="S32" s="76"/>
      <c r="T32" s="76"/>
      <c r="U32" s="76"/>
      <c r="V32" s="76"/>
      <c r="W32" s="76"/>
      <c r="X32" s="74"/>
      <c r="Y32" s="89"/>
      <c r="Z32" s="89"/>
      <c r="AA32" s="80"/>
    </row>
    <row r="33" spans="1:39" s="203" customFormat="1" ht="45" customHeight="1" thickBot="1" x14ac:dyDescent="0.35">
      <c r="A33" s="203" t="s">
        <v>459</v>
      </c>
      <c r="B33" t="s">
        <v>439</v>
      </c>
      <c r="C33" s="520" t="s">
        <v>11</v>
      </c>
      <c r="D33" s="521"/>
      <c r="E33" s="521"/>
      <c r="F33" s="521"/>
      <c r="G33" s="521"/>
      <c r="H33" s="521"/>
      <c r="I33" s="521"/>
      <c r="J33" s="521"/>
      <c r="K33" s="521"/>
      <c r="L33" s="521"/>
      <c r="M33" s="521"/>
      <c r="N33" s="521"/>
      <c r="O33" s="521"/>
      <c r="P33" s="521"/>
      <c r="Q33" s="521"/>
      <c r="R33" s="521"/>
      <c r="S33" s="521"/>
      <c r="T33" s="521"/>
      <c r="U33" s="521"/>
      <c r="V33" s="521"/>
      <c r="W33" s="522"/>
      <c r="X33" s="199"/>
      <c r="Y33" s="200"/>
      <c r="Z33" s="200"/>
      <c r="AA33" s="201"/>
      <c r="AB33" s="152">
        <f>+SUM(AA34:AA40)+AA42+AA52+AA67+AA78+SUM(AA85:AA106)+AA108+AA137+AA138+AA150+AA179+SUM(AA195:AA197)</f>
        <v>16998000</v>
      </c>
      <c r="AC33" s="202"/>
      <c r="AD33" s="202"/>
      <c r="AE33" s="202"/>
      <c r="AF33" s="202"/>
      <c r="AG33" s="202"/>
      <c r="AH33" s="202"/>
      <c r="AI33" s="202"/>
      <c r="AJ33" s="202"/>
      <c r="AK33" s="202"/>
      <c r="AL33" s="202"/>
      <c r="AM33" s="202"/>
    </row>
    <row r="34" spans="1:39" s="53" customFormat="1" ht="14.45" customHeight="1" x14ac:dyDescent="0.25">
      <c r="B34" s="529" t="s">
        <v>167</v>
      </c>
      <c r="C34" s="529" t="s">
        <v>167</v>
      </c>
      <c r="D34" s="501" t="s">
        <v>764</v>
      </c>
      <c r="E34" s="502"/>
      <c r="F34" s="502"/>
      <c r="G34" s="502"/>
      <c r="H34" s="502"/>
      <c r="I34" s="502"/>
      <c r="J34" s="502"/>
      <c r="K34" s="502"/>
      <c r="L34" s="502"/>
      <c r="M34" s="502"/>
      <c r="N34" s="502"/>
      <c r="O34" s="502"/>
      <c r="P34" s="502"/>
      <c r="Q34" s="502"/>
      <c r="R34" s="502"/>
      <c r="S34" s="502"/>
      <c r="T34" s="502"/>
      <c r="U34" s="502"/>
      <c r="V34" s="502"/>
      <c r="W34" s="503"/>
      <c r="X34" s="82"/>
      <c r="Y34" s="153"/>
      <c r="Z34" s="153"/>
      <c r="AA34" s="81"/>
    </row>
    <row r="35" spans="1:39" s="53" customFormat="1" ht="14.45" customHeight="1" x14ac:dyDescent="0.25">
      <c r="B35" s="530"/>
      <c r="C35" s="530"/>
      <c r="D35" s="540" t="s">
        <v>460</v>
      </c>
      <c r="E35" s="541"/>
      <c r="F35" s="541"/>
      <c r="G35" s="541"/>
      <c r="H35" s="541"/>
      <c r="I35" s="541"/>
      <c r="J35" s="541"/>
      <c r="K35" s="542"/>
      <c r="L35" s="507" t="s">
        <v>765</v>
      </c>
      <c r="M35" s="507"/>
      <c r="N35" s="507" t="s">
        <v>766</v>
      </c>
      <c r="O35" s="507"/>
      <c r="P35" s="507"/>
      <c r="Q35" s="507"/>
      <c r="R35" s="507" t="s">
        <v>767</v>
      </c>
      <c r="S35" s="507"/>
      <c r="T35" s="507"/>
      <c r="U35" s="507"/>
      <c r="V35" s="507" t="s">
        <v>768</v>
      </c>
      <c r="W35" s="507"/>
      <c r="X35" s="82"/>
      <c r="Y35" s="153"/>
      <c r="Z35" s="153"/>
      <c r="AA35" s="159"/>
    </row>
    <row r="36" spans="1:39" s="53" customFormat="1" ht="14.45" customHeight="1" thickBot="1" x14ac:dyDescent="0.3">
      <c r="B36" s="530"/>
      <c r="C36" s="530"/>
      <c r="D36" s="543"/>
      <c r="E36" s="544"/>
      <c r="F36" s="544"/>
      <c r="G36" s="544"/>
      <c r="H36" s="544"/>
      <c r="I36" s="544"/>
      <c r="J36" s="544"/>
      <c r="K36" s="545"/>
      <c r="L36" s="160" t="s">
        <v>461</v>
      </c>
      <c r="M36" s="160" t="s">
        <v>462</v>
      </c>
      <c r="N36" s="160" t="s">
        <v>463</v>
      </c>
      <c r="O36" s="160" t="s">
        <v>464</v>
      </c>
      <c r="P36" s="160" t="s">
        <v>461</v>
      </c>
      <c r="Q36" s="160" t="s">
        <v>462</v>
      </c>
      <c r="R36" s="160" t="s">
        <v>463</v>
      </c>
      <c r="S36" s="160" t="s">
        <v>464</v>
      </c>
      <c r="T36" s="160" t="s">
        <v>461</v>
      </c>
      <c r="U36" s="160" t="s">
        <v>462</v>
      </c>
      <c r="V36" s="160" t="s">
        <v>463</v>
      </c>
      <c r="W36" s="160" t="s">
        <v>464</v>
      </c>
      <c r="X36" s="82"/>
      <c r="Y36" s="153"/>
      <c r="Z36" s="153"/>
      <c r="AA36" s="159"/>
    </row>
    <row r="37" spans="1:39" s="53" customFormat="1" ht="14.45" customHeight="1" thickBot="1" x14ac:dyDescent="0.3">
      <c r="B37" s="530"/>
      <c r="C37" s="530"/>
      <c r="D37" s="514" t="s">
        <v>465</v>
      </c>
      <c r="E37" s="515"/>
      <c r="F37" s="515"/>
      <c r="G37" s="515"/>
      <c r="H37" s="515"/>
      <c r="I37" s="515"/>
      <c r="J37" s="515"/>
      <c r="K37" s="516"/>
      <c r="L37" s="161">
        <v>20</v>
      </c>
      <c r="M37" s="162">
        <v>20</v>
      </c>
      <c r="N37" s="162">
        <v>20</v>
      </c>
      <c r="O37" s="162">
        <v>20</v>
      </c>
      <c r="P37" s="162">
        <v>20</v>
      </c>
      <c r="Q37" s="396"/>
      <c r="R37" s="162"/>
      <c r="S37" s="162"/>
      <c r="T37" s="162"/>
      <c r="U37" s="162"/>
      <c r="V37" s="396"/>
      <c r="W37" s="396"/>
      <c r="X37" s="82" t="s">
        <v>466</v>
      </c>
      <c r="Y37" s="153">
        <v>5</v>
      </c>
      <c r="Z37" s="153">
        <v>20000</v>
      </c>
      <c r="AA37" s="81">
        <f>Y37*Z37</f>
        <v>100000</v>
      </c>
    </row>
    <row r="38" spans="1:39" s="53" customFormat="1" ht="14.45" customHeight="1" thickBot="1" x14ac:dyDescent="0.3">
      <c r="B38" s="530"/>
      <c r="C38" s="530"/>
      <c r="D38" s="514" t="s">
        <v>467</v>
      </c>
      <c r="E38" s="515"/>
      <c r="F38" s="515"/>
      <c r="G38" s="515"/>
      <c r="H38" s="515"/>
      <c r="I38" s="515"/>
      <c r="J38" s="515"/>
      <c r="K38" s="516"/>
      <c r="L38" s="161">
        <v>40</v>
      </c>
      <c r="M38" s="162">
        <v>40</v>
      </c>
      <c r="N38" s="162">
        <v>40</v>
      </c>
      <c r="O38" s="396"/>
      <c r="P38" s="396"/>
      <c r="Q38" s="396"/>
      <c r="R38" s="162"/>
      <c r="S38" s="162"/>
      <c r="T38" s="162"/>
      <c r="U38" s="162"/>
      <c r="V38" s="396"/>
      <c r="W38" s="396"/>
      <c r="X38" s="82" t="s">
        <v>466</v>
      </c>
      <c r="Y38" s="153">
        <v>3</v>
      </c>
      <c r="Z38" s="153">
        <v>40000</v>
      </c>
      <c r="AA38" s="81">
        <f>Y38*Z38</f>
        <v>120000</v>
      </c>
    </row>
    <row r="39" spans="1:39" s="53" customFormat="1" ht="14.45" customHeight="1" thickBot="1" x14ac:dyDescent="0.3">
      <c r="B39" s="531"/>
      <c r="C39" s="531"/>
      <c r="D39" s="514" t="s">
        <v>468</v>
      </c>
      <c r="E39" s="515"/>
      <c r="F39" s="515"/>
      <c r="G39" s="515"/>
      <c r="H39" s="515"/>
      <c r="I39" s="515"/>
      <c r="J39" s="515"/>
      <c r="K39" s="516"/>
      <c r="L39" s="161"/>
      <c r="M39" s="162"/>
      <c r="N39" s="396">
        <v>36</v>
      </c>
      <c r="O39" s="396">
        <v>36</v>
      </c>
      <c r="P39" s="396">
        <v>36</v>
      </c>
      <c r="Q39" s="396">
        <v>36</v>
      </c>
      <c r="R39" s="396">
        <v>36</v>
      </c>
      <c r="S39" s="396">
        <v>36</v>
      </c>
      <c r="T39" s="396">
        <v>36</v>
      </c>
      <c r="U39" s="396">
        <v>36</v>
      </c>
      <c r="V39" s="396">
        <v>36</v>
      </c>
      <c r="W39" s="396">
        <v>36</v>
      </c>
      <c r="X39" s="82" t="s">
        <v>466</v>
      </c>
      <c r="Y39" s="153">
        <v>10</v>
      </c>
      <c r="Z39" s="153">
        <v>36000</v>
      </c>
      <c r="AA39" s="81">
        <f>Y39*Z39</f>
        <v>360000</v>
      </c>
    </row>
    <row r="40" spans="1:39" s="53" customFormat="1" ht="15" customHeight="1" x14ac:dyDescent="0.25">
      <c r="B40" s="73" t="s">
        <v>469</v>
      </c>
      <c r="C40" s="73" t="s">
        <v>469</v>
      </c>
      <c r="D40" s="489" t="s">
        <v>769</v>
      </c>
      <c r="E40" s="490"/>
      <c r="F40" s="490"/>
      <c r="G40" s="490"/>
      <c r="H40" s="490"/>
      <c r="I40" s="490"/>
      <c r="J40" s="490"/>
      <c r="K40" s="490"/>
      <c r="L40" s="490"/>
      <c r="M40" s="490"/>
      <c r="N40" s="490"/>
      <c r="O40" s="490"/>
      <c r="P40" s="490"/>
      <c r="Q40" s="490"/>
      <c r="R40" s="490"/>
      <c r="S40" s="490"/>
      <c r="T40" s="490"/>
      <c r="U40" s="490"/>
      <c r="V40" s="490"/>
      <c r="W40" s="491"/>
      <c r="X40" s="82" t="s">
        <v>443</v>
      </c>
      <c r="Y40" s="153">
        <v>72</v>
      </c>
      <c r="Z40" s="153">
        <v>1700</v>
      </c>
      <c r="AA40" s="81">
        <f>Y40*Z40</f>
        <v>122400</v>
      </c>
    </row>
    <row r="41" spans="1:39" s="53" customFormat="1" ht="15" customHeight="1" x14ac:dyDescent="0.25">
      <c r="B41" s="532" t="s">
        <v>175</v>
      </c>
      <c r="C41" s="532" t="s">
        <v>175</v>
      </c>
      <c r="D41" s="504" t="s">
        <v>470</v>
      </c>
      <c r="E41" s="505"/>
      <c r="F41" s="505"/>
      <c r="G41" s="505"/>
      <c r="H41" s="505"/>
      <c r="I41" s="505"/>
      <c r="J41" s="505"/>
      <c r="K41" s="505"/>
      <c r="L41" s="505"/>
      <c r="M41" s="505"/>
      <c r="N41" s="505"/>
      <c r="O41" s="505"/>
      <c r="P41" s="505"/>
      <c r="Q41" s="505"/>
      <c r="R41" s="505"/>
      <c r="S41" s="505"/>
      <c r="T41" s="505"/>
      <c r="U41" s="505"/>
      <c r="V41" s="505"/>
      <c r="W41" s="506"/>
      <c r="X41" s="82"/>
      <c r="Y41" s="153"/>
      <c r="Z41" s="153"/>
      <c r="AA41" s="163"/>
    </row>
    <row r="42" spans="1:39" s="53" customFormat="1" ht="14.45" customHeight="1" x14ac:dyDescent="0.25">
      <c r="B42" s="530"/>
      <c r="C42" s="530"/>
      <c r="D42" s="508" t="s">
        <v>471</v>
      </c>
      <c r="E42" s="509"/>
      <c r="F42" s="509"/>
      <c r="G42" s="509"/>
      <c r="H42" s="509"/>
      <c r="I42" s="509"/>
      <c r="J42" s="509"/>
      <c r="K42" s="510"/>
      <c r="L42" s="507" t="s">
        <v>765</v>
      </c>
      <c r="M42" s="507"/>
      <c r="N42" s="507" t="s">
        <v>766</v>
      </c>
      <c r="O42" s="507"/>
      <c r="P42" s="507"/>
      <c r="Q42" s="507"/>
      <c r="R42" s="507" t="s">
        <v>767</v>
      </c>
      <c r="S42" s="507"/>
      <c r="T42" s="507"/>
      <c r="U42" s="507"/>
      <c r="V42" s="507" t="s">
        <v>768</v>
      </c>
      <c r="W42" s="507"/>
      <c r="X42" s="82"/>
      <c r="Y42" s="153"/>
      <c r="Z42" s="153"/>
      <c r="AA42" s="159">
        <f>+SUM(Y44:Y50)</f>
        <v>2695000</v>
      </c>
    </row>
    <row r="43" spans="1:39" s="53" customFormat="1" ht="15.6" customHeight="1" x14ac:dyDescent="0.25">
      <c r="B43" s="530"/>
      <c r="C43" s="530"/>
      <c r="D43" s="511"/>
      <c r="E43" s="512"/>
      <c r="F43" s="512"/>
      <c r="G43" s="512"/>
      <c r="H43" s="512"/>
      <c r="I43" s="512"/>
      <c r="J43" s="512"/>
      <c r="K43" s="513"/>
      <c r="L43" s="160" t="s">
        <v>461</v>
      </c>
      <c r="M43" s="160" t="s">
        <v>462</v>
      </c>
      <c r="N43" s="160" t="s">
        <v>463</v>
      </c>
      <c r="O43" s="160" t="s">
        <v>464</v>
      </c>
      <c r="P43" s="160" t="s">
        <v>461</v>
      </c>
      <c r="Q43" s="160" t="s">
        <v>462</v>
      </c>
      <c r="R43" s="160" t="s">
        <v>463</v>
      </c>
      <c r="S43" s="160" t="s">
        <v>464</v>
      </c>
      <c r="T43" s="160" t="s">
        <v>461</v>
      </c>
      <c r="U43" s="160" t="s">
        <v>462</v>
      </c>
      <c r="V43" s="160" t="s">
        <v>463</v>
      </c>
      <c r="W43" s="160" t="s">
        <v>464</v>
      </c>
      <c r="X43" s="82"/>
      <c r="Y43" s="153"/>
      <c r="Z43" s="153"/>
      <c r="AA43" s="159"/>
    </row>
    <row r="44" spans="1:39" s="53" customFormat="1" x14ac:dyDescent="0.25">
      <c r="B44" s="530"/>
      <c r="C44" s="530"/>
      <c r="D44" s="498" t="s">
        <v>472</v>
      </c>
      <c r="E44" s="514" t="s">
        <v>473</v>
      </c>
      <c r="F44" s="515"/>
      <c r="G44" s="515"/>
      <c r="H44" s="515"/>
      <c r="I44" s="515"/>
      <c r="J44" s="515"/>
      <c r="K44" s="516"/>
      <c r="L44" s="121"/>
      <c r="M44" s="396">
        <v>398</v>
      </c>
      <c r="N44" s="162"/>
      <c r="O44" s="162"/>
      <c r="P44" s="164"/>
      <c r="Q44" s="164"/>
      <c r="R44" s="165"/>
      <c r="S44" s="166"/>
      <c r="T44" s="166"/>
      <c r="U44" s="166"/>
      <c r="V44" s="167"/>
      <c r="W44" s="167"/>
      <c r="X44" s="82" t="s">
        <v>474</v>
      </c>
      <c r="Y44" s="159">
        <f t="shared" ref="Y44:Y50" si="3">SUM(L44:W44)*1000</f>
        <v>398000</v>
      </c>
      <c r="Z44" s="153"/>
      <c r="AA44" s="163"/>
    </row>
    <row r="45" spans="1:39" s="53" customFormat="1" x14ac:dyDescent="0.25">
      <c r="B45" s="530"/>
      <c r="C45" s="530"/>
      <c r="D45" s="499"/>
      <c r="E45" s="514" t="s">
        <v>475</v>
      </c>
      <c r="F45" s="515"/>
      <c r="G45" s="515"/>
      <c r="H45" s="515"/>
      <c r="I45" s="515"/>
      <c r="J45" s="515"/>
      <c r="K45" s="516"/>
      <c r="L45" s="121"/>
      <c r="M45" s="396"/>
      <c r="N45" s="162">
        <v>73</v>
      </c>
      <c r="O45" s="162"/>
      <c r="P45" s="164"/>
      <c r="Q45" s="164"/>
      <c r="R45" s="165"/>
      <c r="S45" s="166"/>
      <c r="T45" s="166"/>
      <c r="U45" s="166"/>
      <c r="V45" s="167"/>
      <c r="W45" s="167"/>
      <c r="X45" s="82" t="s">
        <v>474</v>
      </c>
      <c r="Y45" s="159">
        <f t="shared" si="3"/>
        <v>73000</v>
      </c>
      <c r="Z45" s="153"/>
      <c r="AA45" s="163"/>
    </row>
    <row r="46" spans="1:39" s="53" customFormat="1" x14ac:dyDescent="0.25">
      <c r="B46" s="530"/>
      <c r="C46" s="530"/>
      <c r="D46" s="499"/>
      <c r="E46" s="514" t="s">
        <v>476</v>
      </c>
      <c r="F46" s="515"/>
      <c r="G46" s="515"/>
      <c r="H46" s="515"/>
      <c r="I46" s="515"/>
      <c r="J46" s="515"/>
      <c r="K46" s="516"/>
      <c r="L46" s="121"/>
      <c r="M46" s="396"/>
      <c r="N46" s="162">
        <v>500</v>
      </c>
      <c r="O46" s="162">
        <v>501</v>
      </c>
      <c r="P46" s="164"/>
      <c r="Q46" s="164"/>
      <c r="R46" s="165"/>
      <c r="S46" s="166"/>
      <c r="T46" s="166"/>
      <c r="U46" s="166"/>
      <c r="V46" s="167"/>
      <c r="W46" s="167"/>
      <c r="X46" s="82" t="s">
        <v>474</v>
      </c>
      <c r="Y46" s="159">
        <f t="shared" si="3"/>
        <v>1001000</v>
      </c>
      <c r="Z46" s="153"/>
      <c r="AA46" s="163"/>
    </row>
    <row r="47" spans="1:39" s="53" customFormat="1" x14ac:dyDescent="0.25">
      <c r="B47" s="530"/>
      <c r="C47" s="530"/>
      <c r="D47" s="499"/>
      <c r="E47" s="514" t="s">
        <v>477</v>
      </c>
      <c r="F47" s="515"/>
      <c r="G47" s="515"/>
      <c r="H47" s="515"/>
      <c r="I47" s="515"/>
      <c r="J47" s="515"/>
      <c r="K47" s="516"/>
      <c r="L47" s="121"/>
      <c r="M47" s="396">
        <v>185</v>
      </c>
      <c r="N47" s="162">
        <v>185</v>
      </c>
      <c r="O47" s="162">
        <v>185</v>
      </c>
      <c r="P47" s="164"/>
      <c r="Q47" s="164"/>
      <c r="R47" s="165"/>
      <c r="S47" s="166"/>
      <c r="T47" s="166"/>
      <c r="U47" s="166"/>
      <c r="V47" s="167"/>
      <c r="W47" s="167"/>
      <c r="X47" s="82" t="s">
        <v>474</v>
      </c>
      <c r="Y47" s="159">
        <f t="shared" si="3"/>
        <v>555000</v>
      </c>
      <c r="Z47" s="153"/>
      <c r="AA47" s="163"/>
    </row>
    <row r="48" spans="1:39" s="53" customFormat="1" x14ac:dyDescent="0.25">
      <c r="B48" s="530"/>
      <c r="C48" s="530"/>
      <c r="D48" s="499"/>
      <c r="E48" s="514" t="s">
        <v>478</v>
      </c>
      <c r="F48" s="515"/>
      <c r="G48" s="515"/>
      <c r="H48" s="515"/>
      <c r="I48" s="515"/>
      <c r="J48" s="515"/>
      <c r="K48" s="516"/>
      <c r="L48" s="121"/>
      <c r="M48" s="121"/>
      <c r="N48" s="164"/>
      <c r="O48" s="162">
        <v>75</v>
      </c>
      <c r="P48" s="164"/>
      <c r="Q48" s="164"/>
      <c r="R48" s="165"/>
      <c r="S48" s="167"/>
      <c r="T48" s="167"/>
      <c r="U48" s="166"/>
      <c r="V48" s="167"/>
      <c r="W48" s="167"/>
      <c r="X48" s="82" t="s">
        <v>474</v>
      </c>
      <c r="Y48" s="159">
        <f t="shared" si="3"/>
        <v>75000</v>
      </c>
      <c r="Z48" s="153"/>
      <c r="AA48" s="163"/>
    </row>
    <row r="49" spans="2:28" s="53" customFormat="1" x14ac:dyDescent="0.25">
      <c r="B49" s="530"/>
      <c r="C49" s="530"/>
      <c r="D49" s="499"/>
      <c r="E49" s="514" t="s">
        <v>479</v>
      </c>
      <c r="F49" s="515"/>
      <c r="G49" s="515"/>
      <c r="H49" s="515"/>
      <c r="I49" s="515"/>
      <c r="J49" s="515"/>
      <c r="K49" s="516"/>
      <c r="L49" s="121"/>
      <c r="M49" s="121"/>
      <c r="N49" s="162"/>
      <c r="O49" s="162" t="s">
        <v>480</v>
      </c>
      <c r="P49" s="162">
        <v>443</v>
      </c>
      <c r="Q49" s="164"/>
      <c r="R49" s="165"/>
      <c r="S49" s="167"/>
      <c r="T49" s="166"/>
      <c r="U49" s="166"/>
      <c r="V49" s="166"/>
      <c r="W49" s="167"/>
      <c r="X49" s="82" t="s">
        <v>474</v>
      </c>
      <c r="Y49" s="159">
        <f t="shared" si="3"/>
        <v>443000</v>
      </c>
      <c r="Z49" s="153"/>
      <c r="AA49" s="163"/>
    </row>
    <row r="50" spans="2:28" s="53" customFormat="1" ht="26.45" customHeight="1" x14ac:dyDescent="0.25">
      <c r="B50" s="531"/>
      <c r="C50" s="531"/>
      <c r="D50" s="500"/>
      <c r="E50" s="517" t="s">
        <v>481</v>
      </c>
      <c r="F50" s="518"/>
      <c r="G50" s="518"/>
      <c r="H50" s="518"/>
      <c r="I50" s="518"/>
      <c r="J50" s="518"/>
      <c r="K50" s="519"/>
      <c r="L50" s="121"/>
      <c r="M50" s="121"/>
      <c r="N50" s="162"/>
      <c r="O50" s="162"/>
      <c r="P50" s="162"/>
      <c r="Q50" s="162">
        <v>150</v>
      </c>
      <c r="R50" s="165"/>
      <c r="S50" s="167"/>
      <c r="T50" s="166"/>
      <c r="U50" s="166"/>
      <c r="V50" s="166"/>
      <c r="W50" s="166"/>
      <c r="X50" s="82" t="s">
        <v>474</v>
      </c>
      <c r="Y50" s="159">
        <f t="shared" si="3"/>
        <v>150000</v>
      </c>
      <c r="Z50" s="153"/>
      <c r="AA50" s="163"/>
    </row>
    <row r="51" spans="2:28" s="53" customFormat="1" ht="14.45" customHeight="1" x14ac:dyDescent="0.25">
      <c r="B51" s="532" t="s">
        <v>178</v>
      </c>
      <c r="C51" s="532" t="s">
        <v>178</v>
      </c>
      <c r="D51" s="504" t="s">
        <v>482</v>
      </c>
      <c r="E51" s="505"/>
      <c r="F51" s="505"/>
      <c r="G51" s="505"/>
      <c r="H51" s="505"/>
      <c r="I51" s="505"/>
      <c r="J51" s="505"/>
      <c r="K51" s="505"/>
      <c r="L51" s="505"/>
      <c r="M51" s="505"/>
      <c r="N51" s="505"/>
      <c r="O51" s="505"/>
      <c r="P51" s="505"/>
      <c r="Q51" s="505"/>
      <c r="R51" s="505"/>
      <c r="S51" s="505"/>
      <c r="T51" s="505"/>
      <c r="U51" s="505"/>
      <c r="V51" s="505"/>
      <c r="W51" s="506"/>
      <c r="X51" s="82"/>
      <c r="Y51" s="153"/>
      <c r="Z51" s="153"/>
      <c r="AA51" s="159"/>
      <c r="AB51" s="216"/>
    </row>
    <row r="52" spans="2:28" s="53" customFormat="1" ht="14.45" customHeight="1" x14ac:dyDescent="0.25">
      <c r="B52" s="530"/>
      <c r="C52" s="530"/>
      <c r="D52" s="508" t="s">
        <v>483</v>
      </c>
      <c r="E52" s="509"/>
      <c r="F52" s="509"/>
      <c r="G52" s="509"/>
      <c r="H52" s="509"/>
      <c r="I52" s="509"/>
      <c r="J52" s="509"/>
      <c r="K52" s="510"/>
      <c r="L52" s="507" t="s">
        <v>765</v>
      </c>
      <c r="M52" s="507"/>
      <c r="N52" s="507" t="s">
        <v>766</v>
      </c>
      <c r="O52" s="507"/>
      <c r="P52" s="507"/>
      <c r="Q52" s="507"/>
      <c r="R52" s="507" t="s">
        <v>767</v>
      </c>
      <c r="S52" s="507"/>
      <c r="T52" s="507"/>
      <c r="U52" s="507"/>
      <c r="V52" s="507" t="s">
        <v>768</v>
      </c>
      <c r="W52" s="507"/>
      <c r="X52" s="82"/>
      <c r="Y52" s="153"/>
      <c r="Z52" s="153"/>
      <c r="AA52" s="159">
        <f>+SUM(Y54:Y65)</f>
        <v>1724100</v>
      </c>
    </row>
    <row r="53" spans="2:28" s="53" customFormat="1" ht="18" customHeight="1" x14ac:dyDescent="0.25">
      <c r="B53" s="530"/>
      <c r="C53" s="530"/>
      <c r="D53" s="511"/>
      <c r="E53" s="512"/>
      <c r="F53" s="512"/>
      <c r="G53" s="512"/>
      <c r="H53" s="512"/>
      <c r="I53" s="512"/>
      <c r="J53" s="512"/>
      <c r="K53" s="513"/>
      <c r="L53" s="160" t="s">
        <v>461</v>
      </c>
      <c r="M53" s="160" t="s">
        <v>462</v>
      </c>
      <c r="N53" s="160" t="s">
        <v>463</v>
      </c>
      <c r="O53" s="160" t="s">
        <v>464</v>
      </c>
      <c r="P53" s="160" t="s">
        <v>461</v>
      </c>
      <c r="Q53" s="160" t="s">
        <v>462</v>
      </c>
      <c r="R53" s="160" t="s">
        <v>463</v>
      </c>
      <c r="S53" s="160" t="s">
        <v>464</v>
      </c>
      <c r="T53" s="160" t="s">
        <v>461</v>
      </c>
      <c r="U53" s="160" t="s">
        <v>462</v>
      </c>
      <c r="V53" s="160" t="s">
        <v>463</v>
      </c>
      <c r="W53" s="160" t="s">
        <v>464</v>
      </c>
      <c r="X53" s="82"/>
      <c r="Y53" s="153"/>
      <c r="Z53" s="153"/>
      <c r="AA53" s="159"/>
    </row>
    <row r="54" spans="2:28" s="53" customFormat="1" x14ac:dyDescent="0.25">
      <c r="B54" s="530"/>
      <c r="C54" s="530"/>
      <c r="D54" s="507" t="s">
        <v>484</v>
      </c>
      <c r="E54" s="514" t="s">
        <v>485</v>
      </c>
      <c r="F54" s="515"/>
      <c r="G54" s="515"/>
      <c r="H54" s="515"/>
      <c r="I54" s="515"/>
      <c r="J54" s="515"/>
      <c r="K54" s="516"/>
      <c r="L54" s="396">
        <v>334</v>
      </c>
      <c r="M54" s="396"/>
      <c r="N54" s="396"/>
      <c r="O54" s="396"/>
      <c r="P54" s="396"/>
      <c r="Q54" s="121"/>
      <c r="R54" s="166"/>
      <c r="S54" s="166"/>
      <c r="T54" s="166"/>
      <c r="U54" s="166"/>
      <c r="V54" s="166"/>
      <c r="W54" s="167"/>
      <c r="X54" s="82" t="s">
        <v>474</v>
      </c>
      <c r="Y54" s="159">
        <f t="shared" ref="Y54:Y63" si="4">SUM(L54:W54)*1000</f>
        <v>334000</v>
      </c>
      <c r="Z54" s="153"/>
      <c r="AA54" s="163"/>
    </row>
    <row r="55" spans="2:28" s="53" customFormat="1" x14ac:dyDescent="0.25">
      <c r="B55" s="530"/>
      <c r="C55" s="530"/>
      <c r="D55" s="507"/>
      <c r="E55" s="514" t="s">
        <v>486</v>
      </c>
      <c r="F55" s="515"/>
      <c r="G55" s="515"/>
      <c r="H55" s="515"/>
      <c r="I55" s="515"/>
      <c r="J55" s="515"/>
      <c r="K55" s="516"/>
      <c r="L55" s="396"/>
      <c r="M55" s="396"/>
      <c r="N55" s="396">
        <v>87.5</v>
      </c>
      <c r="O55" s="396"/>
      <c r="P55" s="396"/>
      <c r="Q55" s="121"/>
      <c r="R55" s="166"/>
      <c r="S55" s="166"/>
      <c r="T55" s="166"/>
      <c r="U55" s="166"/>
      <c r="V55" s="166"/>
      <c r="W55" s="167"/>
      <c r="X55" s="82" t="s">
        <v>474</v>
      </c>
      <c r="Y55" s="159">
        <f t="shared" si="4"/>
        <v>87500</v>
      </c>
      <c r="Z55" s="153"/>
      <c r="AA55" s="163"/>
    </row>
    <row r="56" spans="2:28" s="53" customFormat="1" x14ac:dyDescent="0.25">
      <c r="B56" s="530"/>
      <c r="C56" s="530"/>
      <c r="D56" s="507"/>
      <c r="E56" s="514" t="s">
        <v>487</v>
      </c>
      <c r="F56" s="515"/>
      <c r="G56" s="515"/>
      <c r="H56" s="515"/>
      <c r="I56" s="515"/>
      <c r="J56" s="515"/>
      <c r="K56" s="516"/>
      <c r="L56" s="396"/>
      <c r="M56" s="396">
        <v>216.2</v>
      </c>
      <c r="N56" s="396"/>
      <c r="O56" s="396"/>
      <c r="P56" s="396"/>
      <c r="Q56" s="121"/>
      <c r="R56" s="166"/>
      <c r="S56" s="166"/>
      <c r="T56" s="166"/>
      <c r="U56" s="166"/>
      <c r="V56" s="166"/>
      <c r="W56" s="167"/>
      <c r="X56" s="82" t="s">
        <v>474</v>
      </c>
      <c r="Y56" s="159">
        <f t="shared" si="4"/>
        <v>216200</v>
      </c>
      <c r="Z56" s="153"/>
      <c r="AA56" s="163"/>
    </row>
    <row r="57" spans="2:28" s="53" customFormat="1" ht="32.450000000000003" customHeight="1" x14ac:dyDescent="0.25">
      <c r="B57" s="530"/>
      <c r="C57" s="530"/>
      <c r="D57" s="507"/>
      <c r="E57" s="517" t="s">
        <v>488</v>
      </c>
      <c r="F57" s="518"/>
      <c r="G57" s="518"/>
      <c r="H57" s="518"/>
      <c r="I57" s="518"/>
      <c r="J57" s="518"/>
      <c r="K57" s="519"/>
      <c r="L57" s="396"/>
      <c r="M57" s="396"/>
      <c r="N57" s="396"/>
      <c r="O57" s="396">
        <v>35</v>
      </c>
      <c r="P57" s="396"/>
      <c r="Q57" s="121"/>
      <c r="R57" s="166"/>
      <c r="S57" s="166"/>
      <c r="T57" s="166"/>
      <c r="U57" s="166"/>
      <c r="V57" s="166"/>
      <c r="W57" s="167"/>
      <c r="X57" s="82" t="s">
        <v>474</v>
      </c>
      <c r="Y57" s="159">
        <f t="shared" si="4"/>
        <v>35000</v>
      </c>
      <c r="Z57" s="153"/>
      <c r="AA57" s="163"/>
    </row>
    <row r="58" spans="2:28" s="53" customFormat="1" x14ac:dyDescent="0.25">
      <c r="B58" s="530"/>
      <c r="C58" s="530"/>
      <c r="D58" s="507" t="s">
        <v>489</v>
      </c>
      <c r="E58" s="514" t="s">
        <v>490</v>
      </c>
      <c r="F58" s="515"/>
      <c r="G58" s="515"/>
      <c r="H58" s="515"/>
      <c r="I58" s="515"/>
      <c r="J58" s="515"/>
      <c r="K58" s="516"/>
      <c r="L58" s="396" t="s">
        <v>480</v>
      </c>
      <c r="M58" s="396"/>
      <c r="N58" s="396">
        <v>334</v>
      </c>
      <c r="O58" s="396"/>
      <c r="P58" s="396"/>
      <c r="Q58" s="121"/>
      <c r="R58" s="166"/>
      <c r="S58" s="166"/>
      <c r="T58" s="166"/>
      <c r="U58" s="166"/>
      <c r="V58" s="166"/>
      <c r="W58" s="167"/>
      <c r="X58" s="82" t="s">
        <v>474</v>
      </c>
      <c r="Y58" s="159">
        <f t="shared" si="4"/>
        <v>334000</v>
      </c>
      <c r="Z58" s="153"/>
      <c r="AA58" s="163"/>
    </row>
    <row r="59" spans="2:28" s="53" customFormat="1" x14ac:dyDescent="0.25">
      <c r="B59" s="530"/>
      <c r="C59" s="530"/>
      <c r="D59" s="507"/>
      <c r="E59" s="514" t="s">
        <v>486</v>
      </c>
      <c r="F59" s="515"/>
      <c r="G59" s="515"/>
      <c r="H59" s="515"/>
      <c r="I59" s="515"/>
      <c r="J59" s="515"/>
      <c r="K59" s="516"/>
      <c r="L59" s="396"/>
      <c r="M59" s="396"/>
      <c r="N59" s="396"/>
      <c r="O59" s="396">
        <v>87.5</v>
      </c>
      <c r="P59" s="396"/>
      <c r="Q59" s="121"/>
      <c r="R59" s="166"/>
      <c r="S59" s="166"/>
      <c r="T59" s="166"/>
      <c r="U59" s="166"/>
      <c r="V59" s="166"/>
      <c r="W59" s="167"/>
      <c r="X59" s="82" t="s">
        <v>474</v>
      </c>
      <c r="Y59" s="159">
        <f t="shared" si="4"/>
        <v>87500</v>
      </c>
      <c r="Z59" s="153"/>
      <c r="AA59" s="163"/>
    </row>
    <row r="60" spans="2:28" s="53" customFormat="1" x14ac:dyDescent="0.25">
      <c r="B60" s="530"/>
      <c r="C60" s="530"/>
      <c r="D60" s="507"/>
      <c r="E60" s="514" t="s">
        <v>487</v>
      </c>
      <c r="F60" s="515"/>
      <c r="G60" s="515"/>
      <c r="H60" s="515"/>
      <c r="I60" s="515"/>
      <c r="J60" s="515"/>
      <c r="K60" s="516"/>
      <c r="L60" s="396"/>
      <c r="M60" s="396"/>
      <c r="N60" s="396"/>
      <c r="O60" s="396">
        <v>216.2</v>
      </c>
      <c r="P60" s="396"/>
      <c r="Q60" s="121"/>
      <c r="R60" s="166"/>
      <c r="S60" s="166"/>
      <c r="T60" s="166"/>
      <c r="U60" s="166"/>
      <c r="V60" s="166"/>
      <c r="W60" s="167"/>
      <c r="X60" s="82" t="s">
        <v>474</v>
      </c>
      <c r="Y60" s="159">
        <f t="shared" si="4"/>
        <v>216200</v>
      </c>
      <c r="Z60" s="153"/>
      <c r="AA60" s="163"/>
    </row>
    <row r="61" spans="2:28" s="53" customFormat="1" ht="30" customHeight="1" x14ac:dyDescent="0.25">
      <c r="B61" s="530"/>
      <c r="C61" s="530"/>
      <c r="D61" s="507"/>
      <c r="E61" s="517" t="s">
        <v>491</v>
      </c>
      <c r="F61" s="518"/>
      <c r="G61" s="518"/>
      <c r="H61" s="518"/>
      <c r="I61" s="518"/>
      <c r="J61" s="518"/>
      <c r="K61" s="519"/>
      <c r="L61" s="396"/>
      <c r="M61" s="396"/>
      <c r="N61" s="396"/>
      <c r="O61" s="396"/>
      <c r="P61" s="396">
        <v>35</v>
      </c>
      <c r="Q61" s="121"/>
      <c r="R61" s="166"/>
      <c r="S61" s="166"/>
      <c r="T61" s="166"/>
      <c r="U61" s="166"/>
      <c r="V61" s="166"/>
      <c r="W61" s="167"/>
      <c r="X61" s="82" t="s">
        <v>474</v>
      </c>
      <c r="Y61" s="159">
        <f t="shared" si="4"/>
        <v>35000</v>
      </c>
      <c r="Z61" s="153"/>
      <c r="AA61" s="163"/>
    </row>
    <row r="62" spans="2:28" s="53" customFormat="1" x14ac:dyDescent="0.25">
      <c r="B62" s="530"/>
      <c r="C62" s="530"/>
      <c r="D62" s="507" t="s">
        <v>492</v>
      </c>
      <c r="E62" s="514" t="s">
        <v>493</v>
      </c>
      <c r="F62" s="515"/>
      <c r="G62" s="515"/>
      <c r="H62" s="515"/>
      <c r="I62" s="515"/>
      <c r="J62" s="515"/>
      <c r="K62" s="516"/>
      <c r="L62" s="396"/>
      <c r="M62" s="396"/>
      <c r="N62" s="396"/>
      <c r="O62" s="396"/>
      <c r="P62" s="396">
        <v>216.2</v>
      </c>
      <c r="Q62" s="121"/>
      <c r="R62" s="166"/>
      <c r="S62" s="166"/>
      <c r="T62" s="166"/>
      <c r="U62" s="166"/>
      <c r="V62" s="166"/>
      <c r="W62" s="167"/>
      <c r="X62" s="82" t="s">
        <v>474</v>
      </c>
      <c r="Y62" s="159">
        <f t="shared" si="4"/>
        <v>216200</v>
      </c>
      <c r="Z62" s="153"/>
      <c r="AA62" s="163"/>
      <c r="AB62" s="216"/>
    </row>
    <row r="63" spans="2:28" s="53" customFormat="1" x14ac:dyDescent="0.25">
      <c r="B63" s="530"/>
      <c r="C63" s="530"/>
      <c r="D63" s="507"/>
      <c r="E63" s="514" t="s">
        <v>486</v>
      </c>
      <c r="F63" s="515"/>
      <c r="G63" s="515"/>
      <c r="H63" s="515"/>
      <c r="I63" s="515"/>
      <c r="J63" s="515"/>
      <c r="K63" s="516"/>
      <c r="L63" s="396"/>
      <c r="M63" s="396"/>
      <c r="N63" s="396"/>
      <c r="O63" s="396"/>
      <c r="P63" s="396">
        <v>87.5</v>
      </c>
      <c r="Q63" s="121"/>
      <c r="R63" s="166"/>
      <c r="S63" s="166"/>
      <c r="T63" s="166"/>
      <c r="U63" s="166"/>
      <c r="V63" s="166"/>
      <c r="W63" s="167"/>
      <c r="X63" s="82" t="s">
        <v>474</v>
      </c>
      <c r="Y63" s="159">
        <f t="shared" si="4"/>
        <v>87500</v>
      </c>
      <c r="Z63" s="153"/>
      <c r="AA63" s="163"/>
    </row>
    <row r="64" spans="2:28" s="53" customFormat="1" ht="25.15" customHeight="1" x14ac:dyDescent="0.25">
      <c r="B64" s="530"/>
      <c r="C64" s="530"/>
      <c r="D64" s="507"/>
      <c r="E64" s="517" t="s">
        <v>494</v>
      </c>
      <c r="F64" s="518"/>
      <c r="G64" s="518"/>
      <c r="H64" s="518"/>
      <c r="I64" s="518"/>
      <c r="J64" s="518"/>
      <c r="K64" s="519"/>
      <c r="L64" s="396"/>
      <c r="M64" s="396"/>
      <c r="N64" s="396"/>
      <c r="O64" s="396"/>
      <c r="P64" s="396"/>
      <c r="Q64" s="396">
        <v>25</v>
      </c>
      <c r="R64" s="166"/>
      <c r="S64" s="166"/>
      <c r="T64" s="166"/>
      <c r="U64" s="166"/>
      <c r="V64" s="166"/>
      <c r="W64" s="166"/>
      <c r="X64" s="82" t="s">
        <v>474</v>
      </c>
      <c r="Y64" s="159">
        <f>SUM(L64:W64)*1000</f>
        <v>25000</v>
      </c>
      <c r="Z64" s="153"/>
      <c r="AA64" s="163"/>
    </row>
    <row r="65" spans="2:27" s="53" customFormat="1" x14ac:dyDescent="0.25">
      <c r="B65" s="531"/>
      <c r="C65" s="531"/>
      <c r="D65" s="229" t="s">
        <v>495</v>
      </c>
      <c r="E65" s="514" t="s">
        <v>496</v>
      </c>
      <c r="F65" s="515"/>
      <c r="G65" s="515"/>
      <c r="H65" s="515"/>
      <c r="I65" s="515"/>
      <c r="J65" s="515"/>
      <c r="K65" s="516"/>
      <c r="L65" s="396"/>
      <c r="M65" s="396"/>
      <c r="N65" s="396"/>
      <c r="O65" s="396"/>
      <c r="P65" s="396">
        <v>50</v>
      </c>
      <c r="Q65" s="396"/>
      <c r="R65" s="166"/>
      <c r="S65" s="166"/>
      <c r="T65" s="166"/>
      <c r="U65" s="166"/>
      <c r="V65" s="166"/>
      <c r="W65" s="166"/>
      <c r="X65" s="82" t="s">
        <v>474</v>
      </c>
      <c r="Y65" s="159">
        <f>SUM(L65:W65)*1000</f>
        <v>50000</v>
      </c>
      <c r="Z65" s="153"/>
      <c r="AA65" s="163"/>
    </row>
    <row r="66" spans="2:27" s="53" customFormat="1" ht="14.45" customHeight="1" x14ac:dyDescent="0.25">
      <c r="B66" s="532" t="s">
        <v>181</v>
      </c>
      <c r="C66" s="532" t="s">
        <v>181</v>
      </c>
      <c r="D66" s="504" t="s">
        <v>497</v>
      </c>
      <c r="E66" s="505"/>
      <c r="F66" s="505"/>
      <c r="G66" s="505"/>
      <c r="H66" s="505"/>
      <c r="I66" s="505"/>
      <c r="J66" s="505"/>
      <c r="K66" s="505"/>
      <c r="L66" s="505"/>
      <c r="M66" s="505"/>
      <c r="N66" s="505"/>
      <c r="O66" s="505"/>
      <c r="P66" s="505"/>
      <c r="Q66" s="505"/>
      <c r="R66" s="505"/>
      <c r="S66" s="505"/>
      <c r="T66" s="505"/>
      <c r="U66" s="505"/>
      <c r="V66" s="505"/>
      <c r="W66" s="506"/>
      <c r="X66" s="82"/>
      <c r="Y66" s="153"/>
      <c r="Z66" s="153"/>
      <c r="AA66" s="159"/>
    </row>
    <row r="67" spans="2:27" s="53" customFormat="1" ht="14.45" customHeight="1" x14ac:dyDescent="0.25">
      <c r="B67" s="530"/>
      <c r="C67" s="530"/>
      <c r="D67" s="508" t="s">
        <v>498</v>
      </c>
      <c r="E67" s="509"/>
      <c r="F67" s="509"/>
      <c r="G67" s="509"/>
      <c r="H67" s="509"/>
      <c r="I67" s="509"/>
      <c r="J67" s="509"/>
      <c r="K67" s="510"/>
      <c r="L67" s="168"/>
      <c r="M67" s="168"/>
      <c r="N67" s="168"/>
      <c r="O67" s="168"/>
      <c r="P67" s="168"/>
      <c r="Q67" s="168"/>
      <c r="R67" s="507" t="s">
        <v>767</v>
      </c>
      <c r="S67" s="507"/>
      <c r="T67" s="507"/>
      <c r="U67" s="507"/>
      <c r="V67" s="507" t="s">
        <v>768</v>
      </c>
      <c r="W67" s="507"/>
      <c r="X67" s="82"/>
      <c r="Y67" s="153"/>
      <c r="Z67" s="153"/>
      <c r="AA67" s="159">
        <f>+SUM(Y69:Y76)</f>
        <v>1253300</v>
      </c>
    </row>
    <row r="68" spans="2:27" s="53" customFormat="1" ht="20.45" customHeight="1" x14ac:dyDescent="0.25">
      <c r="B68" s="530"/>
      <c r="C68" s="530"/>
      <c r="D68" s="511"/>
      <c r="E68" s="512"/>
      <c r="F68" s="512"/>
      <c r="G68" s="512"/>
      <c r="H68" s="512"/>
      <c r="I68" s="512"/>
      <c r="J68" s="512"/>
      <c r="K68" s="513"/>
      <c r="L68" s="168"/>
      <c r="M68" s="168"/>
      <c r="N68" s="168"/>
      <c r="O68" s="168"/>
      <c r="P68" s="168"/>
      <c r="Q68" s="168"/>
      <c r="R68" s="160" t="s">
        <v>463</v>
      </c>
      <c r="S68" s="160" t="s">
        <v>464</v>
      </c>
      <c r="T68" s="160" t="s">
        <v>461</v>
      </c>
      <c r="U68" s="160" t="s">
        <v>462</v>
      </c>
      <c r="V68" s="160" t="s">
        <v>463</v>
      </c>
      <c r="W68" s="160" t="s">
        <v>464</v>
      </c>
      <c r="X68" s="82"/>
      <c r="Y68" s="153"/>
      <c r="Z68" s="153"/>
      <c r="AA68" s="159"/>
    </row>
    <row r="69" spans="2:27" s="53" customFormat="1" x14ac:dyDescent="0.25">
      <c r="B69" s="530"/>
      <c r="C69" s="530"/>
      <c r="D69" s="507" t="s">
        <v>499</v>
      </c>
      <c r="E69" s="514" t="s">
        <v>500</v>
      </c>
      <c r="F69" s="515"/>
      <c r="G69" s="515"/>
      <c r="H69" s="515"/>
      <c r="I69" s="515"/>
      <c r="J69" s="515"/>
      <c r="K69" s="516"/>
      <c r="L69" s="254"/>
      <c r="M69" s="255"/>
      <c r="N69" s="255"/>
      <c r="O69" s="255"/>
      <c r="P69" s="255"/>
      <c r="Q69" s="255"/>
      <c r="R69" s="396">
        <v>90</v>
      </c>
      <c r="S69" s="396"/>
      <c r="T69" s="396"/>
      <c r="U69" s="396"/>
      <c r="V69" s="396"/>
      <c r="W69" s="127"/>
      <c r="X69" s="82" t="s">
        <v>474</v>
      </c>
      <c r="Y69" s="159">
        <f t="shared" ref="Y69:Y76" si="5">SUM(L69:W69)*1000</f>
        <v>90000</v>
      </c>
      <c r="Z69" s="153"/>
      <c r="AA69" s="163"/>
    </row>
    <row r="70" spans="2:27" s="53" customFormat="1" x14ac:dyDescent="0.25">
      <c r="B70" s="530"/>
      <c r="C70" s="530"/>
      <c r="D70" s="507"/>
      <c r="E70" s="514" t="s">
        <v>475</v>
      </c>
      <c r="F70" s="515"/>
      <c r="G70" s="515"/>
      <c r="H70" s="515"/>
      <c r="I70" s="515"/>
      <c r="J70" s="515"/>
      <c r="K70" s="516"/>
      <c r="L70" s="254"/>
      <c r="M70" s="255"/>
      <c r="N70" s="255"/>
      <c r="O70" s="255"/>
      <c r="P70" s="255"/>
      <c r="Q70" s="255"/>
      <c r="R70" s="396"/>
      <c r="S70" s="396">
        <v>47</v>
      </c>
      <c r="T70" s="396"/>
      <c r="U70" s="396"/>
      <c r="V70" s="396"/>
      <c r="W70" s="127"/>
      <c r="X70" s="82" t="s">
        <v>474</v>
      </c>
      <c r="Y70" s="159">
        <f t="shared" si="5"/>
        <v>47000</v>
      </c>
      <c r="Z70" s="153"/>
      <c r="AA70" s="163"/>
    </row>
    <row r="71" spans="2:27" s="53" customFormat="1" x14ac:dyDescent="0.25">
      <c r="B71" s="530"/>
      <c r="C71" s="530"/>
      <c r="D71" s="507"/>
      <c r="E71" s="514" t="s">
        <v>501</v>
      </c>
      <c r="F71" s="515"/>
      <c r="G71" s="515"/>
      <c r="H71" s="515"/>
      <c r="I71" s="515"/>
      <c r="J71" s="515"/>
      <c r="K71" s="516"/>
      <c r="L71" s="254"/>
      <c r="M71" s="255"/>
      <c r="N71" s="255"/>
      <c r="O71" s="255"/>
      <c r="P71" s="255"/>
      <c r="Q71" s="255"/>
      <c r="R71" s="396"/>
      <c r="S71" s="396"/>
      <c r="T71" s="396">
        <v>119.3</v>
      </c>
      <c r="U71" s="396"/>
      <c r="V71" s="396"/>
      <c r="W71" s="127"/>
      <c r="X71" s="82" t="s">
        <v>474</v>
      </c>
      <c r="Y71" s="159">
        <f t="shared" si="5"/>
        <v>119300</v>
      </c>
      <c r="Z71" s="153"/>
      <c r="AA71" s="163"/>
    </row>
    <row r="72" spans="2:27" s="53" customFormat="1" x14ac:dyDescent="0.25">
      <c r="B72" s="530"/>
      <c r="C72" s="530"/>
      <c r="D72" s="507"/>
      <c r="E72" s="514" t="s">
        <v>502</v>
      </c>
      <c r="F72" s="515"/>
      <c r="G72" s="515"/>
      <c r="H72" s="515"/>
      <c r="I72" s="515"/>
      <c r="J72" s="515"/>
      <c r="K72" s="516"/>
      <c r="L72" s="254"/>
      <c r="M72" s="255"/>
      <c r="N72" s="255"/>
      <c r="O72" s="255"/>
      <c r="P72" s="255"/>
      <c r="Q72" s="255"/>
      <c r="R72" s="396">
        <v>136.5</v>
      </c>
      <c r="S72" s="396">
        <v>136.5</v>
      </c>
      <c r="T72" s="396">
        <v>136.5</v>
      </c>
      <c r="U72" s="396"/>
      <c r="V72" s="396"/>
      <c r="W72" s="127"/>
      <c r="X72" s="82" t="s">
        <v>474</v>
      </c>
      <c r="Y72" s="159">
        <f t="shared" si="5"/>
        <v>409500</v>
      </c>
      <c r="Z72" s="153"/>
      <c r="AA72" s="163"/>
    </row>
    <row r="73" spans="2:27" s="53" customFormat="1" x14ac:dyDescent="0.25">
      <c r="B73" s="530"/>
      <c r="C73" s="530"/>
      <c r="D73" s="507"/>
      <c r="E73" s="514" t="s">
        <v>490</v>
      </c>
      <c r="F73" s="515"/>
      <c r="G73" s="515"/>
      <c r="H73" s="515"/>
      <c r="I73" s="515"/>
      <c r="J73" s="515"/>
      <c r="K73" s="516"/>
      <c r="L73" s="254"/>
      <c r="M73" s="255"/>
      <c r="N73" s="255"/>
      <c r="O73" s="255"/>
      <c r="P73" s="255"/>
      <c r="Q73" s="255"/>
      <c r="R73" s="396"/>
      <c r="S73" s="396"/>
      <c r="T73" s="396">
        <v>113.7</v>
      </c>
      <c r="U73" s="396">
        <v>113.7</v>
      </c>
      <c r="V73" s="396"/>
      <c r="W73" s="127"/>
      <c r="X73" s="82" t="s">
        <v>474</v>
      </c>
      <c r="Y73" s="159">
        <f t="shared" si="5"/>
        <v>227400</v>
      </c>
      <c r="Z73" s="153"/>
      <c r="AA73" s="163"/>
    </row>
    <row r="74" spans="2:27" s="53" customFormat="1" x14ac:dyDescent="0.25">
      <c r="B74" s="530"/>
      <c r="C74" s="530"/>
      <c r="D74" s="507"/>
      <c r="E74" s="514" t="s">
        <v>487</v>
      </c>
      <c r="F74" s="515"/>
      <c r="G74" s="515"/>
      <c r="H74" s="515"/>
      <c r="I74" s="515"/>
      <c r="J74" s="515"/>
      <c r="K74" s="516"/>
      <c r="L74" s="254"/>
      <c r="M74" s="255"/>
      <c r="N74" s="255"/>
      <c r="O74" s="255"/>
      <c r="P74" s="255"/>
      <c r="Q74" s="255"/>
      <c r="R74" s="396"/>
      <c r="S74" s="396"/>
      <c r="T74" s="396">
        <v>108.1</v>
      </c>
      <c r="U74" s="396">
        <v>108.1</v>
      </c>
      <c r="V74" s="396"/>
      <c r="W74" s="127"/>
      <c r="X74" s="82" t="s">
        <v>474</v>
      </c>
      <c r="Y74" s="159">
        <f t="shared" si="5"/>
        <v>216200</v>
      </c>
      <c r="Z74" s="153"/>
      <c r="AA74" s="163"/>
    </row>
    <row r="75" spans="2:27" s="53" customFormat="1" x14ac:dyDescent="0.25">
      <c r="B75" s="530"/>
      <c r="C75" s="530"/>
      <c r="D75" s="507"/>
      <c r="E75" s="514" t="s">
        <v>503</v>
      </c>
      <c r="F75" s="515"/>
      <c r="G75" s="515"/>
      <c r="H75" s="515"/>
      <c r="I75" s="515"/>
      <c r="J75" s="515"/>
      <c r="K75" s="516"/>
      <c r="L75" s="254"/>
      <c r="M75" s="255"/>
      <c r="N75" s="255"/>
      <c r="O75" s="255"/>
      <c r="P75" s="255"/>
      <c r="Q75" s="255"/>
      <c r="R75" s="396"/>
      <c r="S75" s="396"/>
      <c r="T75" s="396"/>
      <c r="U75" s="396"/>
      <c r="V75" s="396">
        <v>87</v>
      </c>
      <c r="W75" s="127"/>
      <c r="X75" s="82" t="s">
        <v>474</v>
      </c>
      <c r="Y75" s="159">
        <f t="shared" si="5"/>
        <v>87000</v>
      </c>
      <c r="Z75" s="153"/>
      <c r="AA75" s="163"/>
    </row>
    <row r="76" spans="2:27" s="53" customFormat="1" ht="29.45" customHeight="1" x14ac:dyDescent="0.25">
      <c r="B76" s="531"/>
      <c r="C76" s="531"/>
      <c r="D76" s="507"/>
      <c r="E76" s="517" t="s">
        <v>504</v>
      </c>
      <c r="F76" s="518"/>
      <c r="G76" s="518"/>
      <c r="H76" s="518"/>
      <c r="I76" s="518"/>
      <c r="J76" s="518"/>
      <c r="K76" s="519"/>
      <c r="L76" s="254"/>
      <c r="M76" s="255"/>
      <c r="N76" s="255"/>
      <c r="O76" s="255"/>
      <c r="P76" s="255"/>
      <c r="Q76" s="255"/>
      <c r="R76" s="127"/>
      <c r="S76" s="127"/>
      <c r="T76" s="127"/>
      <c r="U76" s="127"/>
      <c r="V76" s="127"/>
      <c r="W76" s="169">
        <v>56.9</v>
      </c>
      <c r="X76" s="82" t="s">
        <v>474</v>
      </c>
      <c r="Y76" s="159">
        <f t="shared" si="5"/>
        <v>56900</v>
      </c>
      <c r="Z76" s="153"/>
      <c r="AA76" s="217"/>
    </row>
    <row r="77" spans="2:27" s="53" customFormat="1" ht="15" customHeight="1" x14ac:dyDescent="0.25">
      <c r="B77" s="532" t="s">
        <v>183</v>
      </c>
      <c r="C77" s="532" t="s">
        <v>183</v>
      </c>
      <c r="D77" s="504" t="s">
        <v>505</v>
      </c>
      <c r="E77" s="505"/>
      <c r="F77" s="505"/>
      <c r="G77" s="505"/>
      <c r="H77" s="505"/>
      <c r="I77" s="505"/>
      <c r="J77" s="505"/>
      <c r="K77" s="505"/>
      <c r="L77" s="505"/>
      <c r="M77" s="505"/>
      <c r="N77" s="505"/>
      <c r="O77" s="505"/>
      <c r="P77" s="505"/>
      <c r="Q77" s="505"/>
      <c r="R77" s="505"/>
      <c r="S77" s="505"/>
      <c r="T77" s="505"/>
      <c r="U77" s="505"/>
      <c r="V77" s="505"/>
      <c r="W77" s="506"/>
      <c r="X77" s="82"/>
      <c r="Y77" s="153"/>
      <c r="Z77" s="153"/>
      <c r="AA77" s="159"/>
    </row>
    <row r="78" spans="2:27" s="53" customFormat="1" ht="14.45" customHeight="1" x14ac:dyDescent="0.25">
      <c r="B78" s="530"/>
      <c r="C78" s="530"/>
      <c r="D78" s="508" t="s">
        <v>498</v>
      </c>
      <c r="E78" s="509"/>
      <c r="F78" s="509"/>
      <c r="G78" s="509"/>
      <c r="H78" s="509"/>
      <c r="I78" s="509"/>
      <c r="J78" s="509"/>
      <c r="K78" s="510"/>
      <c r="L78" s="507" t="s">
        <v>765</v>
      </c>
      <c r="M78" s="507"/>
      <c r="N78" s="507" t="s">
        <v>766</v>
      </c>
      <c r="O78" s="507"/>
      <c r="P78" s="507"/>
      <c r="Q78" s="507"/>
      <c r="R78" s="507" t="s">
        <v>767</v>
      </c>
      <c r="S78" s="507"/>
      <c r="T78" s="507"/>
      <c r="U78" s="507"/>
      <c r="V78" s="507" t="s">
        <v>768</v>
      </c>
      <c r="W78" s="507"/>
      <c r="X78" s="82"/>
      <c r="Y78" s="153"/>
      <c r="Z78" s="153"/>
      <c r="AA78" s="159">
        <f>+SUM(Y80:Y84)</f>
        <v>697600</v>
      </c>
    </row>
    <row r="79" spans="2:27" s="53" customFormat="1" ht="15" customHeight="1" x14ac:dyDescent="0.25">
      <c r="B79" s="530"/>
      <c r="C79" s="530"/>
      <c r="D79" s="511"/>
      <c r="E79" s="512"/>
      <c r="F79" s="512"/>
      <c r="G79" s="512"/>
      <c r="H79" s="512"/>
      <c r="I79" s="512"/>
      <c r="J79" s="512"/>
      <c r="K79" s="513"/>
      <c r="L79" s="160" t="s">
        <v>461</v>
      </c>
      <c r="M79" s="160" t="s">
        <v>462</v>
      </c>
      <c r="N79" s="160" t="s">
        <v>463</v>
      </c>
      <c r="O79" s="160" t="s">
        <v>464</v>
      </c>
      <c r="P79" s="160" t="s">
        <v>461</v>
      </c>
      <c r="Q79" s="160" t="s">
        <v>462</v>
      </c>
      <c r="R79" s="160" t="s">
        <v>463</v>
      </c>
      <c r="S79" s="160" t="s">
        <v>464</v>
      </c>
      <c r="T79" s="160" t="s">
        <v>461</v>
      </c>
      <c r="U79" s="160" t="s">
        <v>462</v>
      </c>
      <c r="V79" s="160" t="s">
        <v>463</v>
      </c>
      <c r="W79" s="160" t="s">
        <v>464</v>
      </c>
      <c r="X79" s="82"/>
      <c r="Y79" s="153"/>
      <c r="Z79" s="153"/>
      <c r="AA79" s="159"/>
    </row>
    <row r="80" spans="2:27" s="53" customFormat="1" x14ac:dyDescent="0.25">
      <c r="B80" s="530"/>
      <c r="C80" s="530"/>
      <c r="D80" s="498" t="s">
        <v>506</v>
      </c>
      <c r="E80" s="514" t="s">
        <v>507</v>
      </c>
      <c r="F80" s="515"/>
      <c r="G80" s="515"/>
      <c r="H80" s="515"/>
      <c r="I80" s="515"/>
      <c r="J80" s="515"/>
      <c r="K80" s="516"/>
      <c r="L80" s="256"/>
      <c r="M80" s="256"/>
      <c r="N80" s="256"/>
      <c r="O80" s="256"/>
      <c r="P80" s="256"/>
      <c r="Q80" s="256"/>
      <c r="R80" s="257"/>
      <c r="S80" s="257"/>
      <c r="T80" s="396">
        <v>80</v>
      </c>
      <c r="U80" s="396"/>
      <c r="V80" s="396"/>
      <c r="W80" s="396"/>
      <c r="X80" s="82" t="s">
        <v>474</v>
      </c>
      <c r="Y80" s="159">
        <f>SUM(L80:W80)*1000</f>
        <v>80000</v>
      </c>
      <c r="Z80" s="153"/>
      <c r="AA80" s="163"/>
    </row>
    <row r="81" spans="1:38" s="53" customFormat="1" x14ac:dyDescent="0.25">
      <c r="B81" s="530"/>
      <c r="C81" s="530"/>
      <c r="D81" s="499"/>
      <c r="E81" s="514" t="s">
        <v>475</v>
      </c>
      <c r="F81" s="515"/>
      <c r="G81" s="515"/>
      <c r="H81" s="515"/>
      <c r="I81" s="515"/>
      <c r="J81" s="515"/>
      <c r="K81" s="516"/>
      <c r="L81" s="256"/>
      <c r="M81" s="256"/>
      <c r="N81" s="256"/>
      <c r="O81" s="256"/>
      <c r="P81" s="256"/>
      <c r="Q81" s="256"/>
      <c r="R81" s="257"/>
      <c r="S81" s="257"/>
      <c r="T81" s="396"/>
      <c r="U81" s="396">
        <v>57</v>
      </c>
      <c r="V81" s="396"/>
      <c r="W81" s="396"/>
      <c r="X81" s="82" t="s">
        <v>474</v>
      </c>
      <c r="Y81" s="159">
        <f>SUM(L81:W81)*1000</f>
        <v>57000</v>
      </c>
      <c r="Z81" s="153"/>
      <c r="AA81" s="163"/>
    </row>
    <row r="82" spans="1:38" s="53" customFormat="1" x14ac:dyDescent="0.25">
      <c r="B82" s="530"/>
      <c r="C82" s="530"/>
      <c r="D82" s="499"/>
      <c r="E82" s="514" t="s">
        <v>501</v>
      </c>
      <c r="F82" s="515"/>
      <c r="G82" s="515"/>
      <c r="H82" s="515"/>
      <c r="I82" s="515"/>
      <c r="J82" s="515"/>
      <c r="K82" s="516"/>
      <c r="L82" s="256"/>
      <c r="M82" s="256"/>
      <c r="N82" s="256"/>
      <c r="O82" s="256"/>
      <c r="P82" s="256"/>
      <c r="Q82" s="256"/>
      <c r="R82" s="257"/>
      <c r="S82" s="257"/>
      <c r="T82" s="396"/>
      <c r="U82" s="396"/>
      <c r="V82" s="396">
        <v>119.3</v>
      </c>
      <c r="W82" s="396"/>
      <c r="X82" s="82" t="s">
        <v>474</v>
      </c>
      <c r="Y82" s="159">
        <f>SUM(L82:W82)*1000</f>
        <v>119300</v>
      </c>
      <c r="Z82" s="153"/>
      <c r="AA82" s="163"/>
    </row>
    <row r="83" spans="1:38" s="53" customFormat="1" x14ac:dyDescent="0.25">
      <c r="B83" s="530"/>
      <c r="C83" s="530"/>
      <c r="D83" s="499"/>
      <c r="E83" s="514" t="s">
        <v>508</v>
      </c>
      <c r="F83" s="515"/>
      <c r="G83" s="515"/>
      <c r="H83" s="515"/>
      <c r="I83" s="515"/>
      <c r="J83" s="515"/>
      <c r="K83" s="516"/>
      <c r="L83" s="256"/>
      <c r="M83" s="256"/>
      <c r="N83" s="256"/>
      <c r="O83" s="256"/>
      <c r="P83" s="256"/>
      <c r="Q83" s="256"/>
      <c r="R83" s="257"/>
      <c r="S83" s="257"/>
      <c r="T83" s="396">
        <v>137.1</v>
      </c>
      <c r="U83" s="396">
        <v>137.1</v>
      </c>
      <c r="V83" s="396">
        <v>137.1</v>
      </c>
      <c r="W83" s="396"/>
      <c r="X83" s="82" t="s">
        <v>474</v>
      </c>
      <c r="Y83" s="159">
        <f>SUM(L83:W83)*1000</f>
        <v>411299.99999999994</v>
      </c>
      <c r="Z83" s="153"/>
      <c r="AA83" s="163"/>
    </row>
    <row r="84" spans="1:38" s="53" customFormat="1" ht="28.9" customHeight="1" x14ac:dyDescent="0.25">
      <c r="B84" s="531"/>
      <c r="C84" s="531"/>
      <c r="D84" s="500"/>
      <c r="E84" s="517" t="s">
        <v>509</v>
      </c>
      <c r="F84" s="518"/>
      <c r="G84" s="518"/>
      <c r="H84" s="518"/>
      <c r="I84" s="518"/>
      <c r="J84" s="518"/>
      <c r="K84" s="519"/>
      <c r="L84" s="258"/>
      <c r="M84" s="258"/>
      <c r="N84" s="258"/>
      <c r="O84" s="258"/>
      <c r="P84" s="258"/>
      <c r="Q84" s="258"/>
      <c r="R84" s="257"/>
      <c r="S84" s="257"/>
      <c r="T84" s="396"/>
      <c r="U84" s="396"/>
      <c r="V84" s="396"/>
      <c r="W84" s="396">
        <v>30</v>
      </c>
      <c r="X84" s="82" t="s">
        <v>474</v>
      </c>
      <c r="Y84" s="159">
        <f>SUM(L84:W84)*1000</f>
        <v>30000</v>
      </c>
      <c r="Z84" s="153"/>
      <c r="AA84" s="215"/>
    </row>
    <row r="85" spans="1:38" s="53" customFormat="1" ht="30.75" customHeight="1" x14ac:dyDescent="0.25">
      <c r="B85" s="73" t="s">
        <v>186</v>
      </c>
      <c r="C85" s="73" t="s">
        <v>186</v>
      </c>
      <c r="D85" s="492" t="s">
        <v>770</v>
      </c>
      <c r="E85" s="493"/>
      <c r="F85" s="493"/>
      <c r="G85" s="493"/>
      <c r="H85" s="493"/>
      <c r="I85" s="493"/>
      <c r="J85" s="493"/>
      <c r="K85" s="493"/>
      <c r="L85" s="493"/>
      <c r="M85" s="493"/>
      <c r="N85" s="493"/>
      <c r="O85" s="493"/>
      <c r="P85" s="493"/>
      <c r="Q85" s="493"/>
      <c r="R85" s="493"/>
      <c r="S85" s="493"/>
      <c r="T85" s="493"/>
      <c r="U85" s="493"/>
      <c r="V85" s="493"/>
      <c r="W85" s="494"/>
      <c r="X85" s="82" t="s">
        <v>510</v>
      </c>
      <c r="Y85" s="153">
        <v>8</v>
      </c>
      <c r="Z85" s="153">
        <v>25000</v>
      </c>
      <c r="AA85" s="159">
        <f t="shared" ref="AA85:AA105" si="6">Y85*Z85</f>
        <v>200000</v>
      </c>
      <c r="AL85" s="204"/>
    </row>
    <row r="86" spans="1:38" s="53" customFormat="1" ht="23.45" customHeight="1" x14ac:dyDescent="0.35">
      <c r="B86" s="228" t="s">
        <v>99</v>
      </c>
      <c r="C86" s="73" t="s">
        <v>187</v>
      </c>
      <c r="D86" s="492" t="s">
        <v>188</v>
      </c>
      <c r="E86" s="493"/>
      <c r="F86" s="493"/>
      <c r="G86" s="493"/>
      <c r="H86" s="493"/>
      <c r="I86" s="493"/>
      <c r="J86" s="493"/>
      <c r="K86" s="493"/>
      <c r="L86" s="493"/>
      <c r="M86" s="493"/>
      <c r="N86" s="493"/>
      <c r="O86" s="493"/>
      <c r="P86" s="493"/>
      <c r="Q86" s="493"/>
      <c r="R86" s="493"/>
      <c r="S86" s="493"/>
      <c r="T86" s="493"/>
      <c r="U86" s="493"/>
      <c r="V86" s="493"/>
      <c r="W86" s="494"/>
      <c r="X86" s="82" t="s">
        <v>443</v>
      </c>
      <c r="Y86" s="153">
        <f>8*2</f>
        <v>16</v>
      </c>
      <c r="Z86" s="153">
        <v>2500</v>
      </c>
      <c r="AA86" s="159">
        <f t="shared" si="6"/>
        <v>40000</v>
      </c>
      <c r="AL86" s="204"/>
    </row>
    <row r="87" spans="1:38" s="53" customFormat="1" ht="23.45" customHeight="1" x14ac:dyDescent="0.35">
      <c r="B87" s="228" t="s">
        <v>442</v>
      </c>
      <c r="C87" s="73" t="s">
        <v>190</v>
      </c>
      <c r="D87" s="492" t="s">
        <v>192</v>
      </c>
      <c r="E87" s="493"/>
      <c r="F87" s="493"/>
      <c r="G87" s="493"/>
      <c r="H87" s="493"/>
      <c r="I87" s="493"/>
      <c r="J87" s="493"/>
      <c r="K87" s="493"/>
      <c r="L87" s="493"/>
      <c r="M87" s="493"/>
      <c r="N87" s="493"/>
      <c r="O87" s="493"/>
      <c r="P87" s="493"/>
      <c r="Q87" s="493"/>
      <c r="R87" s="493"/>
      <c r="S87" s="493"/>
      <c r="T87" s="493"/>
      <c r="U87" s="493"/>
      <c r="V87" s="493"/>
      <c r="W87" s="494"/>
      <c r="X87" s="82" t="s">
        <v>441</v>
      </c>
      <c r="Y87" s="153">
        <v>60</v>
      </c>
      <c r="Z87" s="153">
        <v>500</v>
      </c>
      <c r="AA87" s="159">
        <f t="shared" si="6"/>
        <v>30000</v>
      </c>
      <c r="AL87" s="204"/>
    </row>
    <row r="88" spans="1:38" s="53" customFormat="1" ht="23.45" customHeight="1" x14ac:dyDescent="0.35">
      <c r="B88" s="228" t="s">
        <v>442</v>
      </c>
      <c r="C88" s="73" t="s">
        <v>193</v>
      </c>
      <c r="D88" s="492" t="s">
        <v>194</v>
      </c>
      <c r="E88" s="493"/>
      <c r="F88" s="493"/>
      <c r="G88" s="493"/>
      <c r="H88" s="493"/>
      <c r="I88" s="493"/>
      <c r="J88" s="493"/>
      <c r="K88" s="493"/>
      <c r="L88" s="493"/>
      <c r="M88" s="493"/>
      <c r="N88" s="493"/>
      <c r="O88" s="493"/>
      <c r="P88" s="493"/>
      <c r="Q88" s="493"/>
      <c r="R88" s="493"/>
      <c r="S88" s="493"/>
      <c r="T88" s="493"/>
      <c r="U88" s="493"/>
      <c r="V88" s="493"/>
      <c r="W88" s="494"/>
      <c r="X88" s="82" t="s">
        <v>443</v>
      </c>
      <c r="Y88" s="153">
        <f>8+12</f>
        <v>20</v>
      </c>
      <c r="Z88" s="153">
        <v>1500</v>
      </c>
      <c r="AA88" s="159">
        <f t="shared" si="6"/>
        <v>30000</v>
      </c>
      <c r="AL88" s="204"/>
    </row>
    <row r="89" spans="1:38" s="53" customFormat="1" ht="23.45" customHeight="1" x14ac:dyDescent="0.35">
      <c r="B89" s="228" t="s">
        <v>442</v>
      </c>
      <c r="C89" s="73" t="s">
        <v>195</v>
      </c>
      <c r="D89" s="492" t="s">
        <v>196</v>
      </c>
      <c r="E89" s="493"/>
      <c r="F89" s="493"/>
      <c r="G89" s="493"/>
      <c r="H89" s="493"/>
      <c r="I89" s="493"/>
      <c r="J89" s="493"/>
      <c r="K89" s="493"/>
      <c r="L89" s="493"/>
      <c r="M89" s="493"/>
      <c r="N89" s="493"/>
      <c r="O89" s="493"/>
      <c r="P89" s="493"/>
      <c r="Q89" s="493"/>
      <c r="R89" s="493"/>
      <c r="S89" s="493"/>
      <c r="T89" s="493"/>
      <c r="U89" s="493"/>
      <c r="V89" s="493"/>
      <c r="W89" s="494"/>
      <c r="X89" s="82" t="s">
        <v>511</v>
      </c>
      <c r="Y89" s="153">
        <v>1</v>
      </c>
      <c r="Z89" s="153">
        <v>125000</v>
      </c>
      <c r="AA89" s="159">
        <f t="shared" si="6"/>
        <v>125000</v>
      </c>
      <c r="AL89" s="204"/>
    </row>
    <row r="90" spans="1:38" s="53" customFormat="1" ht="23.45" customHeight="1" x14ac:dyDescent="0.35">
      <c r="B90" s="228" t="s">
        <v>442</v>
      </c>
      <c r="C90" s="73" t="s">
        <v>197</v>
      </c>
      <c r="D90" s="492" t="s">
        <v>512</v>
      </c>
      <c r="E90" s="493"/>
      <c r="F90" s="493"/>
      <c r="G90" s="493"/>
      <c r="H90" s="493"/>
      <c r="I90" s="493"/>
      <c r="J90" s="493"/>
      <c r="K90" s="493"/>
      <c r="L90" s="493"/>
      <c r="M90" s="493"/>
      <c r="N90" s="493"/>
      <c r="O90" s="493"/>
      <c r="P90" s="493"/>
      <c r="Q90" s="493"/>
      <c r="R90" s="493"/>
      <c r="S90" s="493"/>
      <c r="T90" s="493"/>
      <c r="U90" s="493"/>
      <c r="V90" s="493"/>
      <c r="W90" s="494"/>
      <c r="X90" s="82" t="s">
        <v>441</v>
      </c>
      <c r="Y90" s="153">
        <v>50</v>
      </c>
      <c r="Z90" s="153">
        <v>500</v>
      </c>
      <c r="AA90" s="159">
        <f t="shared" si="6"/>
        <v>25000</v>
      </c>
      <c r="AL90" s="204"/>
    </row>
    <row r="91" spans="1:38" s="53" customFormat="1" ht="14.45" customHeight="1" x14ac:dyDescent="0.25">
      <c r="B91" s="73" t="s">
        <v>187</v>
      </c>
      <c r="C91" s="73" t="s">
        <v>200</v>
      </c>
      <c r="D91" s="492" t="s">
        <v>513</v>
      </c>
      <c r="E91" s="493"/>
      <c r="F91" s="493"/>
      <c r="G91" s="493"/>
      <c r="H91" s="493"/>
      <c r="I91" s="493"/>
      <c r="J91" s="493"/>
      <c r="K91" s="493"/>
      <c r="L91" s="493"/>
      <c r="M91" s="493"/>
      <c r="N91" s="493"/>
      <c r="O91" s="493"/>
      <c r="P91" s="493"/>
      <c r="Q91" s="493"/>
      <c r="R91" s="493"/>
      <c r="S91" s="493"/>
      <c r="T91" s="493"/>
      <c r="U91" s="493"/>
      <c r="V91" s="493"/>
      <c r="W91" s="494"/>
      <c r="X91" s="82" t="s">
        <v>514</v>
      </c>
      <c r="Y91" s="153">
        <v>4</v>
      </c>
      <c r="Z91" s="153">
        <v>75000</v>
      </c>
      <c r="AA91" s="159">
        <f t="shared" si="6"/>
        <v>300000</v>
      </c>
    </row>
    <row r="92" spans="1:38" s="53" customFormat="1" ht="15" customHeight="1" thickBot="1" x14ac:dyDescent="0.3">
      <c r="B92" s="73" t="s">
        <v>190</v>
      </c>
      <c r="C92" s="73" t="s">
        <v>202</v>
      </c>
      <c r="D92" s="492" t="s">
        <v>515</v>
      </c>
      <c r="E92" s="493"/>
      <c r="F92" s="493"/>
      <c r="G92" s="493"/>
      <c r="H92" s="493"/>
      <c r="I92" s="493"/>
      <c r="J92" s="493"/>
      <c r="K92" s="493"/>
      <c r="L92" s="493"/>
      <c r="M92" s="493"/>
      <c r="N92" s="493"/>
      <c r="O92" s="493"/>
      <c r="P92" s="493"/>
      <c r="Q92" s="493"/>
      <c r="R92" s="493"/>
      <c r="S92" s="493"/>
      <c r="T92" s="493"/>
      <c r="U92" s="493"/>
      <c r="V92" s="493"/>
      <c r="W92" s="494"/>
      <c r="X92" s="82" t="s">
        <v>441</v>
      </c>
      <c r="Y92" s="153">
        <v>70</v>
      </c>
      <c r="Z92" s="153">
        <v>250</v>
      </c>
      <c r="AA92" s="159">
        <f t="shared" si="6"/>
        <v>17500</v>
      </c>
    </row>
    <row r="93" spans="1:38" s="53" customFormat="1" ht="30" customHeight="1" thickBot="1" x14ac:dyDescent="0.3">
      <c r="A93" s="53" t="s">
        <v>447</v>
      </c>
      <c r="B93" s="73" t="s">
        <v>193</v>
      </c>
      <c r="C93" s="73" t="s">
        <v>203</v>
      </c>
      <c r="D93" s="492" t="s">
        <v>516</v>
      </c>
      <c r="E93" s="493"/>
      <c r="F93" s="493"/>
      <c r="G93" s="493"/>
      <c r="H93" s="493"/>
      <c r="I93" s="493"/>
      <c r="J93" s="493"/>
      <c r="K93" s="493"/>
      <c r="L93" s="493"/>
      <c r="M93" s="493"/>
      <c r="N93" s="493"/>
      <c r="O93" s="493"/>
      <c r="P93" s="493"/>
      <c r="Q93" s="493"/>
      <c r="R93" s="493"/>
      <c r="S93" s="493"/>
      <c r="T93" s="493"/>
      <c r="U93" s="493"/>
      <c r="V93" s="493"/>
      <c r="W93" s="494"/>
      <c r="X93" s="82" t="s">
        <v>511</v>
      </c>
      <c r="Y93" s="153">
        <v>10</v>
      </c>
      <c r="Z93" s="153">
        <v>25000</v>
      </c>
      <c r="AA93" s="81">
        <f t="shared" si="6"/>
        <v>250000</v>
      </c>
    </row>
    <row r="94" spans="1:38" s="53" customFormat="1" ht="30" customHeight="1" thickBot="1" x14ac:dyDescent="0.4">
      <c r="B94" s="228" t="s">
        <v>442</v>
      </c>
      <c r="C94" s="73" t="s">
        <v>205</v>
      </c>
      <c r="D94" s="492" t="s">
        <v>206</v>
      </c>
      <c r="E94" s="493"/>
      <c r="F94" s="493"/>
      <c r="G94" s="493"/>
      <c r="H94" s="493"/>
      <c r="I94" s="493"/>
      <c r="J94" s="493"/>
      <c r="K94" s="493"/>
      <c r="L94" s="493"/>
      <c r="M94" s="493"/>
      <c r="N94" s="493"/>
      <c r="O94" s="493"/>
      <c r="P94" s="493"/>
      <c r="Q94" s="493"/>
      <c r="R94" s="493"/>
      <c r="S94" s="493"/>
      <c r="T94" s="493"/>
      <c r="U94" s="493"/>
      <c r="V94" s="493"/>
      <c r="W94" s="494"/>
      <c r="X94" s="82" t="s">
        <v>511</v>
      </c>
      <c r="Y94" s="153">
        <v>10</v>
      </c>
      <c r="Z94" s="153">
        <v>20000</v>
      </c>
      <c r="AA94" s="81">
        <f t="shared" si="6"/>
        <v>200000</v>
      </c>
    </row>
    <row r="95" spans="1:38" s="53" customFormat="1" ht="30" customHeight="1" thickBot="1" x14ac:dyDescent="0.4">
      <c r="B95" s="228" t="s">
        <v>442</v>
      </c>
      <c r="C95" s="73" t="s">
        <v>207</v>
      </c>
      <c r="D95" s="492" t="s">
        <v>208</v>
      </c>
      <c r="E95" s="493"/>
      <c r="F95" s="493"/>
      <c r="G95" s="493"/>
      <c r="H95" s="493"/>
      <c r="I95" s="493"/>
      <c r="J95" s="493"/>
      <c r="K95" s="493"/>
      <c r="L95" s="493"/>
      <c r="M95" s="493"/>
      <c r="N95" s="493"/>
      <c r="O95" s="493"/>
      <c r="P95" s="493"/>
      <c r="Q95" s="493"/>
      <c r="R95" s="493"/>
      <c r="S95" s="493"/>
      <c r="T95" s="493"/>
      <c r="U95" s="493"/>
      <c r="V95" s="493"/>
      <c r="W95" s="494"/>
      <c r="X95" s="82" t="s">
        <v>441</v>
      </c>
      <c r="Y95" s="153">
        <v>60</v>
      </c>
      <c r="Z95" s="153">
        <v>500</v>
      </c>
      <c r="AA95" s="81">
        <f t="shared" si="6"/>
        <v>30000</v>
      </c>
    </row>
    <row r="96" spans="1:38" s="53" customFormat="1" ht="30" customHeight="1" thickBot="1" x14ac:dyDescent="0.4">
      <c r="B96" s="228" t="s">
        <v>442</v>
      </c>
      <c r="C96" s="73" t="s">
        <v>209</v>
      </c>
      <c r="D96" s="492" t="s">
        <v>210</v>
      </c>
      <c r="E96" s="493"/>
      <c r="F96" s="493"/>
      <c r="G96" s="493"/>
      <c r="H96" s="493"/>
      <c r="I96" s="493"/>
      <c r="J96" s="493"/>
      <c r="K96" s="493"/>
      <c r="L96" s="493"/>
      <c r="M96" s="493"/>
      <c r="N96" s="493"/>
      <c r="O96" s="493"/>
      <c r="P96" s="493"/>
      <c r="Q96" s="493"/>
      <c r="R96" s="493"/>
      <c r="S96" s="493"/>
      <c r="T96" s="493"/>
      <c r="U96" s="493"/>
      <c r="V96" s="493"/>
      <c r="W96" s="494"/>
      <c r="X96" s="82" t="s">
        <v>443</v>
      </c>
      <c r="Y96" s="153">
        <f>8+12</f>
        <v>20</v>
      </c>
      <c r="Z96" s="153">
        <v>1500</v>
      </c>
      <c r="AA96" s="81">
        <f t="shared" si="6"/>
        <v>30000</v>
      </c>
    </row>
    <row r="97" spans="1:27" s="53" customFormat="1" ht="30" customHeight="1" thickBot="1" x14ac:dyDescent="0.4">
      <c r="B97" s="228" t="s">
        <v>442</v>
      </c>
      <c r="C97" s="73" t="s">
        <v>211</v>
      </c>
      <c r="D97" s="492" t="s">
        <v>771</v>
      </c>
      <c r="E97" s="493"/>
      <c r="F97" s="493"/>
      <c r="G97" s="493"/>
      <c r="H97" s="493"/>
      <c r="I97" s="493"/>
      <c r="J97" s="493"/>
      <c r="K97" s="493"/>
      <c r="L97" s="493"/>
      <c r="M97" s="493"/>
      <c r="N97" s="493"/>
      <c r="O97" s="493"/>
      <c r="P97" s="493"/>
      <c r="Q97" s="493"/>
      <c r="R97" s="493"/>
      <c r="S97" s="493"/>
      <c r="T97" s="493"/>
      <c r="U97" s="493"/>
      <c r="V97" s="493"/>
      <c r="W97" s="494"/>
      <c r="X97" s="82" t="s">
        <v>441</v>
      </c>
      <c r="Y97" s="153">
        <v>50</v>
      </c>
      <c r="Z97" s="153">
        <v>500</v>
      </c>
      <c r="AA97" s="81">
        <f t="shared" si="6"/>
        <v>25000</v>
      </c>
    </row>
    <row r="98" spans="1:27" s="53" customFormat="1" ht="31.5" customHeight="1" thickBot="1" x14ac:dyDescent="0.3">
      <c r="A98" s="53" t="s">
        <v>447</v>
      </c>
      <c r="B98" s="73" t="s">
        <v>195</v>
      </c>
      <c r="C98" s="73" t="s">
        <v>213</v>
      </c>
      <c r="D98" s="492" t="s">
        <v>772</v>
      </c>
      <c r="E98" s="493"/>
      <c r="F98" s="493"/>
      <c r="G98" s="493"/>
      <c r="H98" s="493"/>
      <c r="I98" s="493"/>
      <c r="J98" s="493"/>
      <c r="K98" s="493"/>
      <c r="L98" s="493"/>
      <c r="M98" s="493"/>
      <c r="N98" s="493"/>
      <c r="O98" s="493"/>
      <c r="P98" s="493"/>
      <c r="Q98" s="493"/>
      <c r="R98" s="493"/>
      <c r="S98" s="493"/>
      <c r="T98" s="493"/>
      <c r="U98" s="493"/>
      <c r="V98" s="493"/>
      <c r="W98" s="494"/>
      <c r="X98" s="82" t="s">
        <v>446</v>
      </c>
      <c r="Y98" s="153">
        <v>8</v>
      </c>
      <c r="Z98" s="153">
        <v>2500</v>
      </c>
      <c r="AA98" s="81">
        <f t="shared" si="6"/>
        <v>20000</v>
      </c>
    </row>
    <row r="99" spans="1:27" s="53" customFormat="1" ht="15.75" thickBot="1" x14ac:dyDescent="0.3">
      <c r="A99" s="53" t="s">
        <v>316</v>
      </c>
      <c r="B99" s="73"/>
      <c r="C99" s="73" t="s">
        <v>214</v>
      </c>
      <c r="D99" s="492" t="s">
        <v>215</v>
      </c>
      <c r="E99" s="493"/>
      <c r="F99" s="493"/>
      <c r="G99" s="493"/>
      <c r="H99" s="493"/>
      <c r="I99" s="493"/>
      <c r="J99" s="493"/>
      <c r="K99" s="493"/>
      <c r="L99" s="493"/>
      <c r="M99" s="493"/>
      <c r="N99" s="493"/>
      <c r="O99" s="493"/>
      <c r="P99" s="493"/>
      <c r="Q99" s="493"/>
      <c r="R99" s="493"/>
      <c r="S99" s="493"/>
      <c r="T99" s="493"/>
      <c r="U99" s="493"/>
      <c r="V99" s="493"/>
      <c r="W99" s="494"/>
      <c r="X99" s="82" t="s">
        <v>441</v>
      </c>
      <c r="Y99" s="153">
        <f>10*8</f>
        <v>80</v>
      </c>
      <c r="Z99" s="153">
        <v>250</v>
      </c>
      <c r="AA99" s="81">
        <f t="shared" si="6"/>
        <v>20000</v>
      </c>
    </row>
    <row r="100" spans="1:27" s="53" customFormat="1" ht="29.25" customHeight="1" x14ac:dyDescent="0.25">
      <c r="B100" s="73" t="s">
        <v>197</v>
      </c>
      <c r="C100" s="73" t="s">
        <v>219</v>
      </c>
      <c r="D100" s="492" t="s">
        <v>773</v>
      </c>
      <c r="E100" s="493"/>
      <c r="F100" s="493"/>
      <c r="G100" s="493"/>
      <c r="H100" s="493"/>
      <c r="I100" s="493"/>
      <c r="J100" s="493"/>
      <c r="K100" s="493"/>
      <c r="L100" s="493"/>
      <c r="M100" s="493"/>
      <c r="N100" s="493"/>
      <c r="O100" s="493"/>
      <c r="P100" s="493"/>
      <c r="Q100" s="493"/>
      <c r="R100" s="493"/>
      <c r="S100" s="493"/>
      <c r="T100" s="493"/>
      <c r="U100" s="493"/>
      <c r="V100" s="493"/>
      <c r="W100" s="494"/>
      <c r="X100" s="82" t="s">
        <v>517</v>
      </c>
      <c r="Y100" s="153">
        <v>2</v>
      </c>
      <c r="Z100" s="153">
        <v>25000</v>
      </c>
      <c r="AA100" s="81">
        <f t="shared" si="6"/>
        <v>50000</v>
      </c>
    </row>
    <row r="101" spans="1:27" s="53" customFormat="1" ht="15" customHeight="1" x14ac:dyDescent="0.25">
      <c r="A101" s="53" t="s">
        <v>518</v>
      </c>
      <c r="B101" s="73" t="s">
        <v>200</v>
      </c>
      <c r="C101" s="73" t="s">
        <v>221</v>
      </c>
      <c r="D101" s="492" t="s">
        <v>519</v>
      </c>
      <c r="E101" s="493"/>
      <c r="F101" s="493"/>
      <c r="G101" s="493"/>
      <c r="H101" s="493"/>
      <c r="I101" s="493"/>
      <c r="J101" s="493"/>
      <c r="K101" s="493"/>
      <c r="L101" s="493"/>
      <c r="M101" s="493"/>
      <c r="N101" s="493"/>
      <c r="O101" s="493"/>
      <c r="P101" s="493"/>
      <c r="Q101" s="493"/>
      <c r="R101" s="493"/>
      <c r="S101" s="493"/>
      <c r="T101" s="493"/>
      <c r="U101" s="493"/>
      <c r="V101" s="493"/>
      <c r="W101" s="494"/>
      <c r="X101" s="82" t="s">
        <v>458</v>
      </c>
      <c r="Y101" s="153">
        <v>1</v>
      </c>
      <c r="Z101" s="153">
        <v>40000</v>
      </c>
      <c r="AA101" s="159">
        <f t="shared" si="6"/>
        <v>40000</v>
      </c>
    </row>
    <row r="102" spans="1:27" s="53" customFormat="1" ht="15" customHeight="1" x14ac:dyDescent="0.25">
      <c r="A102" s="53" t="s">
        <v>447</v>
      </c>
      <c r="B102" s="73" t="s">
        <v>202</v>
      </c>
      <c r="C102" s="73" t="s">
        <v>223</v>
      </c>
      <c r="D102" s="492" t="s">
        <v>520</v>
      </c>
      <c r="E102" s="493"/>
      <c r="F102" s="493"/>
      <c r="G102" s="493"/>
      <c r="H102" s="493"/>
      <c r="I102" s="493"/>
      <c r="J102" s="493"/>
      <c r="K102" s="493"/>
      <c r="L102" s="493"/>
      <c r="M102" s="493"/>
      <c r="N102" s="493"/>
      <c r="O102" s="493"/>
      <c r="P102" s="493"/>
      <c r="Q102" s="493"/>
      <c r="R102" s="493"/>
      <c r="S102" s="493"/>
      <c r="T102" s="493"/>
      <c r="U102" s="493"/>
      <c r="V102" s="493"/>
      <c r="W102" s="494"/>
      <c r="X102" s="82" t="s">
        <v>521</v>
      </c>
      <c r="Y102" s="153">
        <v>200</v>
      </c>
      <c r="Z102" s="153">
        <v>100</v>
      </c>
      <c r="AA102" s="159">
        <f t="shared" si="6"/>
        <v>20000</v>
      </c>
    </row>
    <row r="103" spans="1:27" s="53" customFormat="1" ht="15" customHeight="1" x14ac:dyDescent="0.25">
      <c r="A103" s="53" t="s">
        <v>316</v>
      </c>
      <c r="B103" s="73"/>
      <c r="C103" s="73" t="s">
        <v>224</v>
      </c>
      <c r="D103" s="492" t="s">
        <v>522</v>
      </c>
      <c r="E103" s="493"/>
      <c r="F103" s="493"/>
      <c r="G103" s="493"/>
      <c r="H103" s="493"/>
      <c r="I103" s="493"/>
      <c r="J103" s="493"/>
      <c r="K103" s="493"/>
      <c r="L103" s="493"/>
      <c r="M103" s="493"/>
      <c r="N103" s="493"/>
      <c r="O103" s="493"/>
      <c r="P103" s="493"/>
      <c r="Q103" s="493"/>
      <c r="R103" s="493"/>
      <c r="S103" s="493"/>
      <c r="T103" s="493"/>
      <c r="U103" s="493"/>
      <c r="V103" s="493"/>
      <c r="W103" s="494"/>
      <c r="X103" s="82" t="s">
        <v>523</v>
      </c>
      <c r="Y103" s="153">
        <v>20000</v>
      </c>
      <c r="Z103" s="153">
        <v>1</v>
      </c>
      <c r="AA103" s="159">
        <f t="shared" si="6"/>
        <v>20000</v>
      </c>
    </row>
    <row r="104" spans="1:27" s="53" customFormat="1" ht="29.25" customHeight="1" x14ac:dyDescent="0.25">
      <c r="A104" s="53" t="s">
        <v>447</v>
      </c>
      <c r="B104" s="73" t="s">
        <v>203</v>
      </c>
      <c r="C104" s="73" t="s">
        <v>226</v>
      </c>
      <c r="D104" s="492" t="s">
        <v>774</v>
      </c>
      <c r="E104" s="493"/>
      <c r="F104" s="493"/>
      <c r="G104" s="493"/>
      <c r="H104" s="493"/>
      <c r="I104" s="493"/>
      <c r="J104" s="493"/>
      <c r="K104" s="493"/>
      <c r="L104" s="493"/>
      <c r="M104" s="493"/>
      <c r="N104" s="493"/>
      <c r="O104" s="493"/>
      <c r="P104" s="493"/>
      <c r="Q104" s="493"/>
      <c r="R104" s="493"/>
      <c r="S104" s="493"/>
      <c r="T104" s="493"/>
      <c r="U104" s="493"/>
      <c r="V104" s="493"/>
      <c r="W104" s="494"/>
      <c r="X104" s="82" t="s">
        <v>524</v>
      </c>
      <c r="Y104" s="153">
        <v>2</v>
      </c>
      <c r="Z104" s="153">
        <v>40000</v>
      </c>
      <c r="AA104" s="159">
        <f t="shared" si="6"/>
        <v>80000</v>
      </c>
    </row>
    <row r="105" spans="1:27" s="53" customFormat="1" ht="15" customHeight="1" x14ac:dyDescent="0.25">
      <c r="A105" s="53" t="s">
        <v>447</v>
      </c>
      <c r="B105" s="73" t="s">
        <v>205</v>
      </c>
      <c r="C105" s="73" t="s">
        <v>228</v>
      </c>
      <c r="D105" s="492" t="s">
        <v>775</v>
      </c>
      <c r="E105" s="493"/>
      <c r="F105" s="493"/>
      <c r="G105" s="493"/>
      <c r="H105" s="493"/>
      <c r="I105" s="493"/>
      <c r="J105" s="493"/>
      <c r="K105" s="493"/>
      <c r="L105" s="493"/>
      <c r="M105" s="493"/>
      <c r="N105" s="493"/>
      <c r="O105" s="493"/>
      <c r="P105" s="493"/>
      <c r="Q105" s="493"/>
      <c r="R105" s="493"/>
      <c r="S105" s="493"/>
      <c r="T105" s="493"/>
      <c r="U105" s="493"/>
      <c r="V105" s="493"/>
      <c r="W105" s="494"/>
      <c r="X105" s="154" t="s">
        <v>510</v>
      </c>
      <c r="Y105" s="153">
        <v>8</v>
      </c>
      <c r="Z105" s="153">
        <v>2500</v>
      </c>
      <c r="AA105" s="159">
        <f t="shared" si="6"/>
        <v>20000</v>
      </c>
    </row>
    <row r="106" spans="1:27" s="53" customFormat="1" ht="14.45" customHeight="1" x14ac:dyDescent="0.25">
      <c r="B106" s="170" t="s">
        <v>207</v>
      </c>
      <c r="C106" s="73" t="s">
        <v>231</v>
      </c>
      <c r="D106" s="492" t="s">
        <v>525</v>
      </c>
      <c r="E106" s="493"/>
      <c r="F106" s="493"/>
      <c r="G106" s="493"/>
      <c r="H106" s="493"/>
      <c r="I106" s="493"/>
      <c r="J106" s="493"/>
      <c r="K106" s="493"/>
      <c r="L106" s="493"/>
      <c r="M106" s="493"/>
      <c r="N106" s="493"/>
      <c r="O106" s="493"/>
      <c r="P106" s="493"/>
      <c r="Q106" s="493"/>
      <c r="R106" s="493"/>
      <c r="S106" s="493"/>
      <c r="T106" s="493"/>
      <c r="U106" s="493"/>
      <c r="V106" s="493"/>
      <c r="W106" s="494"/>
      <c r="X106" s="82" t="s">
        <v>458</v>
      </c>
      <c r="Y106" s="153"/>
      <c r="Z106" s="153"/>
      <c r="AA106" s="159">
        <v>2910000</v>
      </c>
    </row>
    <row r="107" spans="1:27" s="53" customFormat="1" ht="14.45" customHeight="1" thickBot="1" x14ac:dyDescent="0.3">
      <c r="B107" s="548" t="s">
        <v>209</v>
      </c>
      <c r="C107" s="548" t="s">
        <v>232</v>
      </c>
      <c r="D107" s="501" t="s">
        <v>526</v>
      </c>
      <c r="E107" s="550"/>
      <c r="F107" s="550"/>
      <c r="G107" s="550"/>
      <c r="H107" s="550"/>
      <c r="I107" s="550"/>
      <c r="J107" s="550"/>
      <c r="K107" s="550"/>
      <c r="L107" s="550"/>
      <c r="M107" s="550"/>
      <c r="N107" s="550"/>
      <c r="O107" s="550"/>
      <c r="P107" s="550"/>
      <c r="Q107" s="550"/>
      <c r="R107" s="550"/>
      <c r="S107" s="550"/>
      <c r="T107" s="550"/>
      <c r="U107" s="550"/>
      <c r="V107" s="550"/>
      <c r="W107" s="551"/>
      <c r="X107" s="72"/>
      <c r="Y107" s="153"/>
      <c r="Z107" s="159"/>
      <c r="AA107" s="171"/>
    </row>
    <row r="108" spans="1:27" s="53" customFormat="1" ht="14.45" customHeight="1" x14ac:dyDescent="0.25">
      <c r="B108" s="549"/>
      <c r="C108" s="549"/>
      <c r="D108" s="552" t="s">
        <v>527</v>
      </c>
      <c r="E108" s="553"/>
      <c r="F108" s="553"/>
      <c r="G108" s="556" t="s">
        <v>434</v>
      </c>
      <c r="H108" s="556">
        <v>2022</v>
      </c>
      <c r="I108" s="556">
        <v>2023</v>
      </c>
      <c r="J108" s="556">
        <v>2024</v>
      </c>
      <c r="K108" s="556">
        <v>2025</v>
      </c>
      <c r="L108" s="556">
        <v>2026</v>
      </c>
      <c r="M108" s="556">
        <v>2027</v>
      </c>
      <c r="N108" s="556" t="s">
        <v>429</v>
      </c>
      <c r="O108" s="558" t="s">
        <v>528</v>
      </c>
      <c r="P108" s="559"/>
      <c r="Q108" s="556">
        <v>2022</v>
      </c>
      <c r="R108" s="556">
        <v>2023</v>
      </c>
      <c r="S108" s="556">
        <v>2024</v>
      </c>
      <c r="T108" s="556">
        <v>2025</v>
      </c>
      <c r="U108" s="556">
        <v>2026</v>
      </c>
      <c r="V108" s="556">
        <v>2027</v>
      </c>
      <c r="W108" s="562" t="s">
        <v>429</v>
      </c>
      <c r="X108" s="72"/>
      <c r="Y108" s="153"/>
      <c r="Z108" s="159"/>
      <c r="AA108" s="163">
        <f>+W110+W124</f>
        <v>794900</v>
      </c>
    </row>
    <row r="109" spans="1:27" s="53" customFormat="1" ht="14.45" customHeight="1" thickBot="1" x14ac:dyDescent="0.3">
      <c r="B109" s="549"/>
      <c r="C109" s="549"/>
      <c r="D109" s="554"/>
      <c r="E109" s="555"/>
      <c r="F109" s="555"/>
      <c r="G109" s="557"/>
      <c r="H109" s="557"/>
      <c r="I109" s="557"/>
      <c r="J109" s="557"/>
      <c r="K109" s="557"/>
      <c r="L109" s="557"/>
      <c r="M109" s="557"/>
      <c r="N109" s="557"/>
      <c r="O109" s="560"/>
      <c r="P109" s="561"/>
      <c r="Q109" s="557"/>
      <c r="R109" s="557"/>
      <c r="S109" s="557"/>
      <c r="T109" s="557"/>
      <c r="U109" s="557"/>
      <c r="V109" s="557"/>
      <c r="W109" s="563"/>
      <c r="X109" s="72"/>
      <c r="Y109" s="153"/>
      <c r="Z109" s="159"/>
      <c r="AA109" s="171"/>
    </row>
    <row r="110" spans="1:27" s="53" customFormat="1" ht="15.75" thickBot="1" x14ac:dyDescent="0.3">
      <c r="B110" s="549"/>
      <c r="C110" s="549"/>
      <c r="D110" s="564" t="s">
        <v>529</v>
      </c>
      <c r="E110" s="565"/>
      <c r="F110" s="565"/>
      <c r="G110" s="90" t="s">
        <v>530</v>
      </c>
      <c r="H110" s="397"/>
      <c r="I110" s="397">
        <v>5</v>
      </c>
      <c r="J110" s="397">
        <v>5</v>
      </c>
      <c r="K110" s="397">
        <v>5</v>
      </c>
      <c r="L110" s="397"/>
      <c r="M110" s="397"/>
      <c r="N110" s="397">
        <v>15</v>
      </c>
      <c r="O110" s="566"/>
      <c r="P110" s="567"/>
      <c r="Q110" s="392">
        <v>0</v>
      </c>
      <c r="R110" s="91">
        <v>134150</v>
      </c>
      <c r="S110" s="91">
        <v>134150</v>
      </c>
      <c r="T110" s="91">
        <v>134150</v>
      </c>
      <c r="U110" s="392">
        <v>0</v>
      </c>
      <c r="V110" s="392">
        <v>0</v>
      </c>
      <c r="W110" s="105">
        <f>+SUM(W112:W122)</f>
        <v>397450</v>
      </c>
      <c r="X110" s="72"/>
      <c r="Y110" s="72"/>
      <c r="Z110" s="172">
        <f>2250*2</f>
        <v>4500</v>
      </c>
    </row>
    <row r="111" spans="1:27" s="53" customFormat="1" x14ac:dyDescent="0.25">
      <c r="B111" s="549"/>
      <c r="C111" s="549"/>
      <c r="D111" s="173"/>
      <c r="E111" s="568" t="s">
        <v>531</v>
      </c>
      <c r="F111" s="568"/>
      <c r="G111" s="393"/>
      <c r="H111" s="396"/>
      <c r="I111" s="396"/>
      <c r="J111" s="396"/>
      <c r="K111" s="396"/>
      <c r="L111" s="396"/>
      <c r="M111" s="396"/>
      <c r="N111" s="396"/>
      <c r="O111" s="569"/>
      <c r="P111" s="569"/>
      <c r="Q111" s="392"/>
      <c r="R111" s="91"/>
      <c r="S111" s="91"/>
      <c r="T111" s="91"/>
      <c r="U111" s="392"/>
      <c r="V111" s="392"/>
      <c r="W111" s="92"/>
      <c r="X111" s="72"/>
      <c r="Y111" s="72"/>
      <c r="Z111" s="172"/>
    </row>
    <row r="112" spans="1:27" s="53" customFormat="1" x14ac:dyDescent="0.25">
      <c r="B112" s="549"/>
      <c r="C112" s="549"/>
      <c r="D112" s="173"/>
      <c r="E112" s="393"/>
      <c r="F112" s="393" t="s">
        <v>532</v>
      </c>
      <c r="G112" s="393" t="s">
        <v>533</v>
      </c>
      <c r="H112" s="396">
        <v>0</v>
      </c>
      <c r="I112" s="396">
        <v>50</v>
      </c>
      <c r="J112" s="396">
        <v>50</v>
      </c>
      <c r="K112" s="396">
        <v>50</v>
      </c>
      <c r="L112" s="396">
        <v>0</v>
      </c>
      <c r="M112" s="396">
        <v>0</v>
      </c>
      <c r="N112" s="396">
        <v>150</v>
      </c>
      <c r="O112" s="570">
        <v>500</v>
      </c>
      <c r="P112" s="571"/>
      <c r="Q112" s="394">
        <v>0</v>
      </c>
      <c r="R112" s="93">
        <v>25000</v>
      </c>
      <c r="S112" s="93">
        <v>25000</v>
      </c>
      <c r="T112" s="93">
        <v>25000</v>
      </c>
      <c r="U112" s="394">
        <v>0</v>
      </c>
      <c r="V112" s="394">
        <v>0</v>
      </c>
      <c r="W112" s="94">
        <v>75000</v>
      </c>
      <c r="X112" s="72"/>
      <c r="Y112" s="72"/>
      <c r="Z112" s="172"/>
    </row>
    <row r="113" spans="2:26" s="53" customFormat="1" x14ac:dyDescent="0.25">
      <c r="B113" s="549"/>
      <c r="C113" s="549"/>
      <c r="D113" s="173"/>
      <c r="E113" s="393"/>
      <c r="F113" s="393" t="s">
        <v>534</v>
      </c>
      <c r="G113" s="393" t="s">
        <v>535</v>
      </c>
      <c r="H113" s="396">
        <v>0</v>
      </c>
      <c r="I113" s="396">
        <v>5</v>
      </c>
      <c r="J113" s="396">
        <v>5</v>
      </c>
      <c r="K113" s="396">
        <v>5</v>
      </c>
      <c r="L113" s="396">
        <v>0</v>
      </c>
      <c r="M113" s="396">
        <v>0</v>
      </c>
      <c r="N113" s="396">
        <v>15</v>
      </c>
      <c r="O113" s="570">
        <v>1000</v>
      </c>
      <c r="P113" s="571"/>
      <c r="Q113" s="394">
        <v>0</v>
      </c>
      <c r="R113" s="93">
        <v>5000</v>
      </c>
      <c r="S113" s="93">
        <v>5000</v>
      </c>
      <c r="T113" s="93">
        <v>5000</v>
      </c>
      <c r="U113" s="394">
        <v>0</v>
      </c>
      <c r="V113" s="394">
        <v>0</v>
      </c>
      <c r="W113" s="94">
        <v>15000</v>
      </c>
      <c r="X113" s="72"/>
      <c r="Y113" s="72"/>
      <c r="Z113" s="172"/>
    </row>
    <row r="114" spans="2:26" s="53" customFormat="1" x14ac:dyDescent="0.25">
      <c r="B114" s="549"/>
      <c r="C114" s="549"/>
      <c r="D114" s="95"/>
      <c r="E114" s="393"/>
      <c r="F114" s="393" t="s">
        <v>536</v>
      </c>
      <c r="G114" s="393" t="s">
        <v>537</v>
      </c>
      <c r="H114" s="396">
        <v>0</v>
      </c>
      <c r="I114" s="396">
        <v>10</v>
      </c>
      <c r="J114" s="396">
        <v>10</v>
      </c>
      <c r="K114" s="396">
        <v>10</v>
      </c>
      <c r="L114" s="396">
        <v>0</v>
      </c>
      <c r="M114" s="396">
        <v>0</v>
      </c>
      <c r="N114" s="396">
        <v>30</v>
      </c>
      <c r="O114" s="570">
        <v>1500</v>
      </c>
      <c r="P114" s="571"/>
      <c r="Q114" s="394">
        <v>0</v>
      </c>
      <c r="R114" s="93">
        <v>15000</v>
      </c>
      <c r="S114" s="93">
        <v>15000</v>
      </c>
      <c r="T114" s="93">
        <v>15000</v>
      </c>
      <c r="U114" s="394">
        <v>0</v>
      </c>
      <c r="V114" s="394">
        <v>0</v>
      </c>
      <c r="W114" s="94">
        <v>45000</v>
      </c>
      <c r="X114" s="72"/>
      <c r="Y114" s="72"/>
      <c r="Z114" s="172"/>
    </row>
    <row r="115" spans="2:26" s="53" customFormat="1" x14ac:dyDescent="0.25">
      <c r="B115" s="549"/>
      <c r="C115" s="549"/>
      <c r="D115" s="95"/>
      <c r="E115" s="393"/>
      <c r="F115" s="393" t="s">
        <v>538</v>
      </c>
      <c r="G115" s="393" t="s">
        <v>535</v>
      </c>
      <c r="H115" s="396">
        <v>0</v>
      </c>
      <c r="I115" s="396">
        <v>5</v>
      </c>
      <c r="J115" s="396">
        <v>5</v>
      </c>
      <c r="K115" s="396">
        <v>5</v>
      </c>
      <c r="L115" s="396">
        <v>0</v>
      </c>
      <c r="M115" s="396">
        <v>0</v>
      </c>
      <c r="N115" s="396">
        <v>15</v>
      </c>
      <c r="O115" s="570">
        <v>2000</v>
      </c>
      <c r="P115" s="571"/>
      <c r="Q115" s="394">
        <v>0</v>
      </c>
      <c r="R115" s="93">
        <v>10000</v>
      </c>
      <c r="S115" s="93">
        <v>10000</v>
      </c>
      <c r="T115" s="93">
        <v>10000</v>
      </c>
      <c r="U115" s="394">
        <v>0</v>
      </c>
      <c r="V115" s="394">
        <v>0</v>
      </c>
      <c r="W115" s="94">
        <v>30000</v>
      </c>
      <c r="X115" s="72"/>
      <c r="Y115" s="72"/>
      <c r="Z115" s="172"/>
    </row>
    <row r="116" spans="2:26" s="53" customFormat="1" x14ac:dyDescent="0.25">
      <c r="B116" s="549"/>
      <c r="C116" s="549"/>
      <c r="D116" s="95"/>
      <c r="E116" s="568" t="s">
        <v>539</v>
      </c>
      <c r="F116" s="568"/>
      <c r="G116" s="393"/>
      <c r="H116" s="396"/>
      <c r="I116" s="396"/>
      <c r="J116" s="396"/>
      <c r="K116" s="396"/>
      <c r="L116" s="396"/>
      <c r="M116" s="396"/>
      <c r="N116" s="396"/>
      <c r="O116" s="570"/>
      <c r="P116" s="571"/>
      <c r="Q116" s="394"/>
      <c r="R116" s="93"/>
      <c r="S116" s="93"/>
      <c r="T116" s="93"/>
      <c r="U116" s="394"/>
      <c r="V116" s="394"/>
      <c r="W116" s="94"/>
      <c r="X116" s="72"/>
      <c r="Y116" s="72"/>
      <c r="Z116" s="172"/>
    </row>
    <row r="117" spans="2:26" s="53" customFormat="1" x14ac:dyDescent="0.25">
      <c r="B117" s="549"/>
      <c r="C117" s="549"/>
      <c r="D117" s="95"/>
      <c r="E117" s="393"/>
      <c r="F117" s="393" t="s">
        <v>540</v>
      </c>
      <c r="G117" s="393" t="s">
        <v>541</v>
      </c>
      <c r="H117" s="396">
        <v>0</v>
      </c>
      <c r="I117" s="394">
        <v>50000</v>
      </c>
      <c r="J117" s="394">
        <v>50000</v>
      </c>
      <c r="K117" s="394">
        <v>50000</v>
      </c>
      <c r="L117" s="394">
        <v>0</v>
      </c>
      <c r="M117" s="394">
        <v>0</v>
      </c>
      <c r="N117" s="394">
        <v>150000</v>
      </c>
      <c r="O117" s="570">
        <v>0.15</v>
      </c>
      <c r="P117" s="571"/>
      <c r="Q117" s="394">
        <v>0</v>
      </c>
      <c r="R117" s="93">
        <v>7500</v>
      </c>
      <c r="S117" s="93">
        <v>7500</v>
      </c>
      <c r="T117" s="93">
        <v>7500</v>
      </c>
      <c r="U117" s="394">
        <v>0</v>
      </c>
      <c r="V117" s="394">
        <v>0</v>
      </c>
      <c r="W117" s="94">
        <v>22500</v>
      </c>
      <c r="X117" s="72"/>
      <c r="Y117" s="72"/>
      <c r="Z117" s="172"/>
    </row>
    <row r="118" spans="2:26" s="53" customFormat="1" x14ac:dyDescent="0.25">
      <c r="B118" s="549"/>
      <c r="C118" s="549"/>
      <c r="D118" s="95"/>
      <c r="E118" s="393"/>
      <c r="F118" s="393" t="s">
        <v>542</v>
      </c>
      <c r="G118" s="393" t="s">
        <v>543</v>
      </c>
      <c r="H118" s="396">
        <v>0</v>
      </c>
      <c r="I118" s="394">
        <v>42000</v>
      </c>
      <c r="J118" s="394">
        <v>42000</v>
      </c>
      <c r="K118" s="394">
        <v>42000</v>
      </c>
      <c r="L118" s="394">
        <v>0</v>
      </c>
      <c r="M118" s="394">
        <v>0</v>
      </c>
      <c r="N118" s="394">
        <v>126000</v>
      </c>
      <c r="O118" s="570">
        <v>1.2</v>
      </c>
      <c r="P118" s="571"/>
      <c r="Q118" s="394">
        <v>0</v>
      </c>
      <c r="R118" s="93">
        <v>50400</v>
      </c>
      <c r="S118" s="93">
        <v>50400</v>
      </c>
      <c r="T118" s="93">
        <v>50400</v>
      </c>
      <c r="U118" s="394">
        <v>0</v>
      </c>
      <c r="V118" s="394">
        <v>0</v>
      </c>
      <c r="W118" s="94">
        <v>151200</v>
      </c>
      <c r="X118" s="72"/>
      <c r="Y118" s="72"/>
      <c r="Z118" s="172"/>
    </row>
    <row r="119" spans="2:26" s="53" customFormat="1" x14ac:dyDescent="0.25">
      <c r="B119" s="549"/>
      <c r="C119" s="549"/>
      <c r="D119" s="95"/>
      <c r="E119" s="393"/>
      <c r="F119" s="393" t="s">
        <v>544</v>
      </c>
      <c r="G119" s="393" t="s">
        <v>545</v>
      </c>
      <c r="H119" s="396">
        <v>0</v>
      </c>
      <c r="I119" s="396">
        <v>5</v>
      </c>
      <c r="J119" s="396">
        <v>5</v>
      </c>
      <c r="K119" s="396">
        <v>5</v>
      </c>
      <c r="L119" s="396">
        <v>0</v>
      </c>
      <c r="M119" s="396">
        <v>0</v>
      </c>
      <c r="N119" s="396">
        <v>15</v>
      </c>
      <c r="O119" s="570">
        <v>250</v>
      </c>
      <c r="P119" s="571"/>
      <c r="Q119" s="394">
        <v>0</v>
      </c>
      <c r="R119" s="93">
        <v>1250</v>
      </c>
      <c r="S119" s="93">
        <v>1250</v>
      </c>
      <c r="T119" s="93">
        <v>1250</v>
      </c>
      <c r="U119" s="394">
        <v>0</v>
      </c>
      <c r="V119" s="394">
        <v>0</v>
      </c>
      <c r="W119" s="94">
        <v>3750</v>
      </c>
      <c r="X119" s="72"/>
      <c r="Y119" s="72"/>
      <c r="Z119" s="172"/>
    </row>
    <row r="120" spans="2:26" s="53" customFormat="1" x14ac:dyDescent="0.25">
      <c r="B120" s="549"/>
      <c r="C120" s="549"/>
      <c r="D120" s="95"/>
      <c r="E120" s="568" t="s">
        <v>546</v>
      </c>
      <c r="F120" s="568"/>
      <c r="G120" s="393"/>
      <c r="H120" s="396"/>
      <c r="I120" s="396"/>
      <c r="J120" s="396"/>
      <c r="K120" s="396"/>
      <c r="L120" s="396"/>
      <c r="M120" s="396"/>
      <c r="N120" s="396"/>
      <c r="O120" s="570"/>
      <c r="P120" s="571"/>
      <c r="Q120" s="394"/>
      <c r="R120" s="93"/>
      <c r="S120" s="93"/>
      <c r="T120" s="93"/>
      <c r="U120" s="394"/>
      <c r="V120" s="394"/>
      <c r="W120" s="94"/>
      <c r="X120" s="72"/>
      <c r="Y120" s="72"/>
      <c r="Z120" s="172"/>
    </row>
    <row r="121" spans="2:26" s="53" customFormat="1" x14ac:dyDescent="0.25">
      <c r="B121" s="549"/>
      <c r="C121" s="549"/>
      <c r="D121" s="95"/>
      <c r="E121" s="393"/>
      <c r="F121" s="393" t="s">
        <v>547</v>
      </c>
      <c r="G121" s="393" t="s">
        <v>548</v>
      </c>
      <c r="H121" s="396"/>
      <c r="I121" s="396">
        <v>10</v>
      </c>
      <c r="J121" s="396">
        <v>10</v>
      </c>
      <c r="K121" s="396">
        <v>5</v>
      </c>
      <c r="L121" s="396"/>
      <c r="M121" s="396"/>
      <c r="N121" s="396">
        <v>25</v>
      </c>
      <c r="O121" s="570">
        <v>900</v>
      </c>
      <c r="P121" s="571"/>
      <c r="Q121" s="394">
        <v>0</v>
      </c>
      <c r="R121" s="93">
        <v>10000</v>
      </c>
      <c r="S121" s="93">
        <v>10000</v>
      </c>
      <c r="T121" s="93">
        <v>10000</v>
      </c>
      <c r="U121" s="394">
        <v>0</v>
      </c>
      <c r="V121" s="394">
        <v>0</v>
      </c>
      <c r="W121" s="94">
        <v>25000</v>
      </c>
      <c r="X121" s="72"/>
      <c r="Y121" s="72"/>
      <c r="Z121" s="172"/>
    </row>
    <row r="122" spans="2:26" s="53" customFormat="1" ht="15.75" thickBot="1" x14ac:dyDescent="0.3">
      <c r="B122" s="549"/>
      <c r="C122" s="549"/>
      <c r="D122" s="96"/>
      <c r="E122" s="97"/>
      <c r="F122" s="97" t="s">
        <v>549</v>
      </c>
      <c r="G122" s="97" t="s">
        <v>548</v>
      </c>
      <c r="H122" s="399"/>
      <c r="I122" s="399">
        <v>10</v>
      </c>
      <c r="J122" s="399">
        <v>10</v>
      </c>
      <c r="K122" s="399">
        <v>10</v>
      </c>
      <c r="L122" s="399"/>
      <c r="M122" s="399"/>
      <c r="N122" s="399">
        <v>30</v>
      </c>
      <c r="O122" s="572">
        <v>1000</v>
      </c>
      <c r="P122" s="573"/>
      <c r="Q122" s="400">
        <v>0</v>
      </c>
      <c r="R122" s="98">
        <v>10000</v>
      </c>
      <c r="S122" s="98">
        <v>10000</v>
      </c>
      <c r="T122" s="98">
        <v>10000</v>
      </c>
      <c r="U122" s="400">
        <v>0</v>
      </c>
      <c r="V122" s="400">
        <v>0</v>
      </c>
      <c r="W122" s="99">
        <v>30000</v>
      </c>
      <c r="X122" s="72"/>
      <c r="Y122" s="72"/>
      <c r="Z122" s="172"/>
    </row>
    <row r="123" spans="2:26" s="53" customFormat="1" ht="14.45" customHeight="1" thickBot="1" x14ac:dyDescent="0.3">
      <c r="B123" s="549"/>
      <c r="C123" s="549"/>
      <c r="D123" s="391"/>
      <c r="E123" s="391"/>
      <c r="F123" s="391"/>
      <c r="G123" s="391"/>
      <c r="H123" s="391"/>
      <c r="I123" s="391"/>
      <c r="J123" s="391"/>
      <c r="K123" s="391"/>
      <c r="L123" s="391"/>
      <c r="M123" s="391"/>
      <c r="N123" s="391"/>
      <c r="O123" s="54"/>
      <c r="P123" s="54"/>
      <c r="Q123" s="391"/>
      <c r="R123" s="391"/>
      <c r="S123" s="391"/>
      <c r="T123" s="391"/>
      <c r="U123" s="391"/>
      <c r="V123" s="391"/>
      <c r="W123" s="391"/>
      <c r="X123" s="72"/>
      <c r="Y123" s="72"/>
      <c r="Z123" s="172"/>
    </row>
    <row r="124" spans="2:26" s="53" customFormat="1" ht="14.45" customHeight="1" thickBot="1" x14ac:dyDescent="0.3">
      <c r="B124" s="549"/>
      <c r="C124" s="549"/>
      <c r="D124" s="574" t="s">
        <v>550</v>
      </c>
      <c r="E124" s="575"/>
      <c r="F124" s="575"/>
      <c r="G124" s="101" t="s">
        <v>530</v>
      </c>
      <c r="H124" s="101"/>
      <c r="I124" s="101"/>
      <c r="J124" s="101">
        <v>5</v>
      </c>
      <c r="K124" s="101">
        <v>5</v>
      </c>
      <c r="L124" s="101">
        <v>5</v>
      </c>
      <c r="M124" s="101"/>
      <c r="N124" s="101">
        <v>15</v>
      </c>
      <c r="O124" s="576"/>
      <c r="P124" s="577"/>
      <c r="Q124" s="102">
        <v>0</v>
      </c>
      <c r="R124" s="103">
        <v>0</v>
      </c>
      <c r="S124" s="104">
        <v>134150</v>
      </c>
      <c r="T124" s="104">
        <v>134150</v>
      </c>
      <c r="U124" s="104">
        <v>134150</v>
      </c>
      <c r="V124" s="104">
        <v>0</v>
      </c>
      <c r="W124" s="105">
        <f>+SUM(W126:W136)</f>
        <v>397450</v>
      </c>
      <c r="X124" s="72"/>
      <c r="Y124" s="72"/>
      <c r="Z124" s="172"/>
    </row>
    <row r="125" spans="2:26" s="53" customFormat="1" ht="14.45" customHeight="1" x14ac:dyDescent="0.25">
      <c r="B125" s="549"/>
      <c r="C125" s="549"/>
      <c r="D125" s="95"/>
      <c r="E125" s="568" t="s">
        <v>531</v>
      </c>
      <c r="F125" s="568"/>
      <c r="G125" s="393"/>
      <c r="H125" s="393"/>
      <c r="I125" s="393"/>
      <c r="J125" s="393"/>
      <c r="K125" s="393"/>
      <c r="L125" s="393"/>
      <c r="M125" s="393"/>
      <c r="N125" s="393"/>
      <c r="O125" s="578"/>
      <c r="P125" s="578"/>
      <c r="Q125" s="90"/>
      <c r="R125" s="90"/>
      <c r="S125" s="106"/>
      <c r="T125" s="106"/>
      <c r="U125" s="106"/>
      <c r="V125" s="106"/>
      <c r="W125" s="107"/>
      <c r="X125" s="72"/>
      <c r="Y125" s="72"/>
      <c r="Z125" s="172"/>
    </row>
    <row r="126" spans="2:26" s="53" customFormat="1" ht="14.45" customHeight="1" x14ac:dyDescent="0.25">
      <c r="B126" s="549"/>
      <c r="C126" s="549"/>
      <c r="D126" s="95"/>
      <c r="E126" s="393"/>
      <c r="F126" s="393" t="s">
        <v>532</v>
      </c>
      <c r="G126" s="393" t="s">
        <v>533</v>
      </c>
      <c r="H126" s="393">
        <v>0</v>
      </c>
      <c r="I126" s="393">
        <v>0</v>
      </c>
      <c r="J126" s="393">
        <v>50</v>
      </c>
      <c r="K126" s="393">
        <v>50</v>
      </c>
      <c r="L126" s="393">
        <v>50</v>
      </c>
      <c r="M126" s="393">
        <v>0</v>
      </c>
      <c r="N126" s="393">
        <v>150</v>
      </c>
      <c r="O126" s="579">
        <v>500</v>
      </c>
      <c r="P126" s="580"/>
      <c r="Q126" s="393">
        <v>0</v>
      </c>
      <c r="R126" s="393">
        <v>0</v>
      </c>
      <c r="S126" s="108">
        <v>25000</v>
      </c>
      <c r="T126" s="108">
        <v>25000</v>
      </c>
      <c r="U126" s="108">
        <v>25000</v>
      </c>
      <c r="V126" s="108">
        <v>0</v>
      </c>
      <c r="W126" s="109">
        <v>75000</v>
      </c>
      <c r="X126" s="72"/>
      <c r="Y126" s="72"/>
      <c r="Z126" s="172"/>
    </row>
    <row r="127" spans="2:26" s="53" customFormat="1" ht="14.45" customHeight="1" x14ac:dyDescent="0.25">
      <c r="B127" s="549"/>
      <c r="C127" s="549"/>
      <c r="D127" s="95"/>
      <c r="E127" s="393"/>
      <c r="F127" s="393" t="s">
        <v>534</v>
      </c>
      <c r="G127" s="393" t="s">
        <v>535</v>
      </c>
      <c r="H127" s="393">
        <v>0</v>
      </c>
      <c r="I127" s="393">
        <v>0</v>
      </c>
      <c r="J127" s="393">
        <v>5</v>
      </c>
      <c r="K127" s="393">
        <v>5</v>
      </c>
      <c r="L127" s="393">
        <v>5</v>
      </c>
      <c r="M127" s="393">
        <v>0</v>
      </c>
      <c r="N127" s="393">
        <v>15</v>
      </c>
      <c r="O127" s="579">
        <v>1000</v>
      </c>
      <c r="P127" s="580"/>
      <c r="Q127" s="393">
        <v>0</v>
      </c>
      <c r="R127" s="393">
        <v>0</v>
      </c>
      <c r="S127" s="108">
        <v>5000</v>
      </c>
      <c r="T127" s="108">
        <v>5000</v>
      </c>
      <c r="U127" s="108">
        <v>5000</v>
      </c>
      <c r="V127" s="108">
        <v>0</v>
      </c>
      <c r="W127" s="109">
        <v>15000</v>
      </c>
      <c r="X127" s="72"/>
      <c r="Y127" s="72"/>
      <c r="Z127" s="172"/>
    </row>
    <row r="128" spans="2:26" s="53" customFormat="1" ht="14.45" customHeight="1" x14ac:dyDescent="0.25">
      <c r="B128" s="549"/>
      <c r="C128" s="549"/>
      <c r="D128" s="95"/>
      <c r="E128" s="393"/>
      <c r="F128" s="393" t="s">
        <v>536</v>
      </c>
      <c r="G128" s="393" t="s">
        <v>537</v>
      </c>
      <c r="H128" s="393">
        <v>0</v>
      </c>
      <c r="I128" s="393">
        <v>0</v>
      </c>
      <c r="J128" s="393">
        <v>10</v>
      </c>
      <c r="K128" s="393">
        <v>10</v>
      </c>
      <c r="L128" s="393">
        <v>10</v>
      </c>
      <c r="M128" s="393">
        <v>0</v>
      </c>
      <c r="N128" s="393">
        <v>30</v>
      </c>
      <c r="O128" s="579">
        <v>1500</v>
      </c>
      <c r="P128" s="580"/>
      <c r="Q128" s="393">
        <v>0</v>
      </c>
      <c r="R128" s="393">
        <v>0</v>
      </c>
      <c r="S128" s="108">
        <v>15000</v>
      </c>
      <c r="T128" s="108">
        <v>15000</v>
      </c>
      <c r="U128" s="108">
        <v>15000</v>
      </c>
      <c r="V128" s="108">
        <v>0</v>
      </c>
      <c r="W128" s="109">
        <v>45000</v>
      </c>
      <c r="X128" s="72"/>
      <c r="Y128" s="72"/>
      <c r="Z128" s="172"/>
    </row>
    <row r="129" spans="2:27" s="53" customFormat="1" ht="14.45" customHeight="1" x14ac:dyDescent="0.25">
      <c r="B129" s="549"/>
      <c r="C129" s="549"/>
      <c r="D129" s="95"/>
      <c r="E129" s="393"/>
      <c r="F129" s="393" t="s">
        <v>538</v>
      </c>
      <c r="G129" s="393" t="s">
        <v>535</v>
      </c>
      <c r="H129" s="393">
        <v>0</v>
      </c>
      <c r="I129" s="393">
        <v>0</v>
      </c>
      <c r="J129" s="393">
        <v>5</v>
      </c>
      <c r="K129" s="393">
        <v>5</v>
      </c>
      <c r="L129" s="393">
        <v>5</v>
      </c>
      <c r="M129" s="393">
        <v>0</v>
      </c>
      <c r="N129" s="393">
        <v>15</v>
      </c>
      <c r="O129" s="579">
        <v>2000</v>
      </c>
      <c r="P129" s="580"/>
      <c r="Q129" s="393">
        <v>0</v>
      </c>
      <c r="R129" s="393">
        <v>0</v>
      </c>
      <c r="S129" s="108">
        <v>10000</v>
      </c>
      <c r="T129" s="108">
        <v>10000</v>
      </c>
      <c r="U129" s="108">
        <v>10000</v>
      </c>
      <c r="V129" s="108">
        <v>0</v>
      </c>
      <c r="W129" s="109">
        <v>30000</v>
      </c>
      <c r="X129" s="72"/>
      <c r="Y129" s="72"/>
      <c r="Z129" s="172"/>
    </row>
    <row r="130" spans="2:27" s="53" customFormat="1" ht="14.45" customHeight="1" x14ac:dyDescent="0.25">
      <c r="B130" s="549"/>
      <c r="C130" s="549"/>
      <c r="D130" s="95"/>
      <c r="E130" s="568" t="s">
        <v>539</v>
      </c>
      <c r="F130" s="568"/>
      <c r="G130" s="393"/>
      <c r="H130" s="393"/>
      <c r="I130" s="393"/>
      <c r="J130" s="393"/>
      <c r="K130" s="393"/>
      <c r="L130" s="393"/>
      <c r="M130" s="393"/>
      <c r="N130" s="393"/>
      <c r="O130" s="579"/>
      <c r="P130" s="580"/>
      <c r="Q130" s="393"/>
      <c r="R130" s="393"/>
      <c r="S130" s="108"/>
      <c r="T130" s="108"/>
      <c r="U130" s="108"/>
      <c r="V130" s="108"/>
      <c r="W130" s="109"/>
      <c r="X130" s="72"/>
      <c r="Y130" s="72"/>
      <c r="Z130" s="172"/>
    </row>
    <row r="131" spans="2:27" s="53" customFormat="1" ht="14.45" customHeight="1" x14ac:dyDescent="0.25">
      <c r="B131" s="549"/>
      <c r="C131" s="549"/>
      <c r="D131" s="95"/>
      <c r="E131" s="393"/>
      <c r="F131" s="393" t="s">
        <v>540</v>
      </c>
      <c r="G131" s="393" t="s">
        <v>541</v>
      </c>
      <c r="H131" s="393">
        <v>0</v>
      </c>
      <c r="I131" s="393">
        <v>0</v>
      </c>
      <c r="J131" s="108">
        <v>50000</v>
      </c>
      <c r="K131" s="108">
        <v>50000</v>
      </c>
      <c r="L131" s="108">
        <v>50000</v>
      </c>
      <c r="M131" s="108">
        <v>0</v>
      </c>
      <c r="N131" s="108">
        <v>150000</v>
      </c>
      <c r="O131" s="579">
        <v>0.15</v>
      </c>
      <c r="P131" s="580"/>
      <c r="Q131" s="393">
        <v>0</v>
      </c>
      <c r="R131" s="393">
        <v>0</v>
      </c>
      <c r="S131" s="108">
        <v>7500</v>
      </c>
      <c r="T131" s="108">
        <v>7500</v>
      </c>
      <c r="U131" s="108">
        <v>7500</v>
      </c>
      <c r="V131" s="108">
        <v>0</v>
      </c>
      <c r="W131" s="109">
        <v>22500</v>
      </c>
      <c r="X131" s="72"/>
      <c r="Y131" s="72"/>
      <c r="Z131" s="172"/>
    </row>
    <row r="132" spans="2:27" s="53" customFormat="1" ht="14.45" customHeight="1" x14ac:dyDescent="0.25">
      <c r="B132" s="549"/>
      <c r="C132" s="549"/>
      <c r="D132" s="95"/>
      <c r="E132" s="393"/>
      <c r="F132" s="393" t="s">
        <v>542</v>
      </c>
      <c r="G132" s="393" t="s">
        <v>543</v>
      </c>
      <c r="H132" s="393">
        <v>0</v>
      </c>
      <c r="I132" s="393">
        <v>0</v>
      </c>
      <c r="J132" s="108">
        <v>42000</v>
      </c>
      <c r="K132" s="108">
        <v>42000</v>
      </c>
      <c r="L132" s="108">
        <v>42000</v>
      </c>
      <c r="M132" s="108">
        <v>0</v>
      </c>
      <c r="N132" s="108">
        <v>126000</v>
      </c>
      <c r="O132" s="579">
        <v>1.2</v>
      </c>
      <c r="P132" s="580"/>
      <c r="Q132" s="393">
        <v>0</v>
      </c>
      <c r="R132" s="393">
        <v>0</v>
      </c>
      <c r="S132" s="108">
        <v>50400</v>
      </c>
      <c r="T132" s="108">
        <v>50400</v>
      </c>
      <c r="U132" s="108">
        <v>50400</v>
      </c>
      <c r="V132" s="108">
        <v>0</v>
      </c>
      <c r="W132" s="109">
        <v>151200</v>
      </c>
      <c r="X132" s="72"/>
      <c r="Y132" s="72"/>
      <c r="Z132" s="172"/>
    </row>
    <row r="133" spans="2:27" s="53" customFormat="1" ht="14.45" customHeight="1" x14ac:dyDescent="0.25">
      <c r="B133" s="549"/>
      <c r="C133" s="549"/>
      <c r="D133" s="95"/>
      <c r="E133" s="393"/>
      <c r="F133" s="393" t="s">
        <v>544</v>
      </c>
      <c r="G133" s="393" t="s">
        <v>545</v>
      </c>
      <c r="H133" s="393">
        <v>0</v>
      </c>
      <c r="I133" s="393">
        <v>0</v>
      </c>
      <c r="J133" s="393">
        <v>5</v>
      </c>
      <c r="K133" s="393">
        <v>5</v>
      </c>
      <c r="L133" s="393">
        <v>5</v>
      </c>
      <c r="M133" s="393">
        <v>0</v>
      </c>
      <c r="N133" s="393">
        <v>15</v>
      </c>
      <c r="O133" s="579">
        <v>250</v>
      </c>
      <c r="P133" s="580"/>
      <c r="Q133" s="393">
        <v>0</v>
      </c>
      <c r="R133" s="393">
        <v>0</v>
      </c>
      <c r="S133" s="108">
        <v>1250</v>
      </c>
      <c r="T133" s="108">
        <v>1250</v>
      </c>
      <c r="U133" s="108">
        <v>1250</v>
      </c>
      <c r="V133" s="108">
        <v>0</v>
      </c>
      <c r="W133" s="109">
        <v>3750</v>
      </c>
      <c r="X133" s="72"/>
      <c r="Y133" s="72"/>
      <c r="Z133" s="172"/>
    </row>
    <row r="134" spans="2:27" s="53" customFormat="1" ht="14.45" customHeight="1" x14ac:dyDescent="0.25">
      <c r="B134" s="549"/>
      <c r="C134" s="549"/>
      <c r="D134" s="95"/>
      <c r="E134" s="568" t="s">
        <v>546</v>
      </c>
      <c r="F134" s="568"/>
      <c r="G134" s="393"/>
      <c r="H134" s="393"/>
      <c r="I134" s="393"/>
      <c r="J134" s="393"/>
      <c r="K134" s="393"/>
      <c r="L134" s="393"/>
      <c r="M134" s="393"/>
      <c r="N134" s="393"/>
      <c r="O134" s="579"/>
      <c r="P134" s="580"/>
      <c r="Q134" s="393"/>
      <c r="R134" s="393"/>
      <c r="S134" s="108"/>
      <c r="T134" s="108"/>
      <c r="U134" s="108"/>
      <c r="V134" s="108"/>
      <c r="W134" s="109"/>
      <c r="X134" s="72"/>
      <c r="Y134" s="72"/>
      <c r="Z134" s="172"/>
    </row>
    <row r="135" spans="2:27" s="53" customFormat="1" ht="14.45" customHeight="1" x14ac:dyDescent="0.25">
      <c r="B135" s="549"/>
      <c r="C135" s="549"/>
      <c r="D135" s="95"/>
      <c r="E135" s="393"/>
      <c r="F135" s="393" t="s">
        <v>547</v>
      </c>
      <c r="G135" s="393" t="s">
        <v>548</v>
      </c>
      <c r="H135" s="393">
        <v>0</v>
      </c>
      <c r="I135" s="393">
        <v>0</v>
      </c>
      <c r="J135" s="393">
        <v>10</v>
      </c>
      <c r="K135" s="393">
        <v>10</v>
      </c>
      <c r="L135" s="393">
        <v>5</v>
      </c>
      <c r="M135" s="393">
        <v>0</v>
      </c>
      <c r="N135" s="393">
        <v>25</v>
      </c>
      <c r="O135" s="579">
        <v>1000</v>
      </c>
      <c r="P135" s="580"/>
      <c r="Q135" s="393">
        <v>0</v>
      </c>
      <c r="R135" s="393">
        <v>0</v>
      </c>
      <c r="S135" s="108">
        <v>10000</v>
      </c>
      <c r="T135" s="108">
        <v>10000</v>
      </c>
      <c r="U135" s="108">
        <v>10000</v>
      </c>
      <c r="V135" s="108">
        <v>0</v>
      </c>
      <c r="W135" s="109">
        <v>25000</v>
      </c>
      <c r="X135" s="72"/>
      <c r="Y135" s="72"/>
      <c r="Z135" s="172"/>
    </row>
    <row r="136" spans="2:27" s="53" customFormat="1" ht="14.45" customHeight="1" thickBot="1" x14ac:dyDescent="0.3">
      <c r="B136" s="549"/>
      <c r="C136" s="549"/>
      <c r="D136" s="96"/>
      <c r="E136" s="97"/>
      <c r="F136" s="97" t="s">
        <v>549</v>
      </c>
      <c r="G136" s="97" t="s">
        <v>548</v>
      </c>
      <c r="H136" s="97">
        <v>0</v>
      </c>
      <c r="I136" s="97">
        <v>0</v>
      </c>
      <c r="J136" s="97">
        <v>10</v>
      </c>
      <c r="K136" s="97">
        <v>10</v>
      </c>
      <c r="L136" s="97">
        <v>10</v>
      </c>
      <c r="M136" s="97">
        <v>0</v>
      </c>
      <c r="N136" s="97">
        <v>30</v>
      </c>
      <c r="O136" s="581">
        <v>1000</v>
      </c>
      <c r="P136" s="582"/>
      <c r="Q136" s="97">
        <v>0</v>
      </c>
      <c r="R136" s="97">
        <v>0</v>
      </c>
      <c r="S136" s="110">
        <v>10000</v>
      </c>
      <c r="T136" s="110">
        <v>10000</v>
      </c>
      <c r="U136" s="110">
        <v>10000</v>
      </c>
      <c r="V136" s="110">
        <v>0</v>
      </c>
      <c r="W136" s="111">
        <v>30000</v>
      </c>
      <c r="X136" s="72"/>
      <c r="Y136" s="72"/>
      <c r="Z136" s="172"/>
    </row>
    <row r="137" spans="2:27" s="53" customFormat="1" ht="27" customHeight="1" x14ac:dyDescent="0.25">
      <c r="B137" s="174" t="s">
        <v>211</v>
      </c>
      <c r="C137" s="398" t="s">
        <v>235</v>
      </c>
      <c r="D137" s="523" t="s">
        <v>551</v>
      </c>
      <c r="E137" s="524"/>
      <c r="F137" s="524"/>
      <c r="G137" s="524"/>
      <c r="H137" s="524"/>
      <c r="I137" s="524"/>
      <c r="J137" s="524"/>
      <c r="K137" s="524"/>
      <c r="L137" s="524"/>
      <c r="M137" s="524"/>
      <c r="N137" s="524"/>
      <c r="O137" s="524"/>
      <c r="P137" s="524"/>
      <c r="Q137" s="524"/>
      <c r="R137" s="524"/>
      <c r="S137" s="524"/>
      <c r="T137" s="524"/>
      <c r="U137" s="524"/>
      <c r="V137" s="524"/>
      <c r="W137" s="525"/>
      <c r="X137" s="72"/>
      <c r="Y137" s="72"/>
      <c r="AA137" s="175">
        <f>+'Detailed Budget'!P69</f>
        <v>1933800</v>
      </c>
    </row>
    <row r="138" spans="2:27" s="53" customFormat="1" ht="14.45" customHeight="1" thickBot="1" x14ac:dyDescent="0.3">
      <c r="B138" s="548" t="s">
        <v>213</v>
      </c>
      <c r="C138" s="548" t="s">
        <v>236</v>
      </c>
      <c r="D138" s="501" t="s">
        <v>552</v>
      </c>
      <c r="E138" s="502"/>
      <c r="F138" s="502"/>
      <c r="G138" s="502"/>
      <c r="H138" s="502"/>
      <c r="I138" s="502"/>
      <c r="J138" s="502"/>
      <c r="K138" s="502"/>
      <c r="L138" s="502"/>
      <c r="M138" s="502"/>
      <c r="N138" s="502"/>
      <c r="O138" s="502"/>
      <c r="P138" s="502"/>
      <c r="Q138" s="502"/>
      <c r="R138" s="502"/>
      <c r="S138" s="502"/>
      <c r="T138" s="502"/>
      <c r="U138" s="502"/>
      <c r="V138" s="502"/>
      <c r="W138" s="503"/>
      <c r="X138" s="72"/>
      <c r="Y138" s="72"/>
      <c r="AA138" s="176">
        <f>+W141</f>
        <v>1087100</v>
      </c>
    </row>
    <row r="139" spans="2:27" s="53" customFormat="1" ht="14.45" customHeight="1" x14ac:dyDescent="0.25">
      <c r="B139" s="549"/>
      <c r="C139" s="549"/>
      <c r="D139" s="583" t="s">
        <v>553</v>
      </c>
      <c r="E139" s="584"/>
      <c r="F139" s="584"/>
      <c r="G139" s="587" t="s">
        <v>434</v>
      </c>
      <c r="H139" s="587">
        <v>2022</v>
      </c>
      <c r="I139" s="587">
        <v>2023</v>
      </c>
      <c r="J139" s="587">
        <v>2024</v>
      </c>
      <c r="K139" s="587">
        <v>2025</v>
      </c>
      <c r="L139" s="587">
        <v>2026</v>
      </c>
      <c r="M139" s="587">
        <v>2027</v>
      </c>
      <c r="N139" s="587" t="s">
        <v>429</v>
      </c>
      <c r="O139" s="589" t="s">
        <v>554</v>
      </c>
      <c r="P139" s="587"/>
      <c r="Q139" s="587">
        <v>2022</v>
      </c>
      <c r="R139" s="587">
        <v>2023</v>
      </c>
      <c r="S139" s="587">
        <v>2024</v>
      </c>
      <c r="T139" s="587">
        <v>2025</v>
      </c>
      <c r="U139" s="587">
        <v>2026</v>
      </c>
      <c r="V139" s="587">
        <v>2027</v>
      </c>
      <c r="W139" s="590" t="s">
        <v>429</v>
      </c>
      <c r="X139" s="72"/>
      <c r="Y139" s="72"/>
      <c r="Z139" s="172"/>
    </row>
    <row r="140" spans="2:27" s="53" customFormat="1" ht="14.45" customHeight="1" thickBot="1" x14ac:dyDescent="0.3">
      <c r="B140" s="549"/>
      <c r="C140" s="549"/>
      <c r="D140" s="585"/>
      <c r="E140" s="586"/>
      <c r="F140" s="586"/>
      <c r="G140" s="588"/>
      <c r="H140" s="588"/>
      <c r="I140" s="588"/>
      <c r="J140" s="588"/>
      <c r="K140" s="588"/>
      <c r="L140" s="588"/>
      <c r="M140" s="588"/>
      <c r="N140" s="588"/>
      <c r="O140" s="588"/>
      <c r="P140" s="588"/>
      <c r="Q140" s="588"/>
      <c r="R140" s="588"/>
      <c r="S140" s="588"/>
      <c r="T140" s="588"/>
      <c r="U140" s="588"/>
      <c r="V140" s="588"/>
      <c r="W140" s="591"/>
      <c r="X140" s="72"/>
      <c r="Y140" s="72"/>
      <c r="Z140" s="172"/>
    </row>
    <row r="141" spans="2:27" s="53" customFormat="1" ht="15.75" thickBot="1" x14ac:dyDescent="0.3">
      <c r="B141" s="549"/>
      <c r="C141" s="549"/>
      <c r="D141" s="592" t="s">
        <v>555</v>
      </c>
      <c r="E141" s="593"/>
      <c r="F141" s="593"/>
      <c r="G141" s="177" t="s">
        <v>449</v>
      </c>
      <c r="H141" s="177">
        <v>50</v>
      </c>
      <c r="I141" s="177">
        <v>150</v>
      </c>
      <c r="J141" s="177">
        <v>100</v>
      </c>
      <c r="K141" s="177"/>
      <c r="L141" s="177"/>
      <c r="M141" s="177"/>
      <c r="N141" s="177">
        <v>300</v>
      </c>
      <c r="O141" s="595"/>
      <c r="P141" s="596"/>
      <c r="Q141" s="178">
        <v>182850</v>
      </c>
      <c r="R141" s="179">
        <v>548550</v>
      </c>
      <c r="S141" s="179">
        <v>365700</v>
      </c>
      <c r="T141" s="179">
        <v>0</v>
      </c>
      <c r="U141" s="179">
        <v>0</v>
      </c>
      <c r="V141" s="179">
        <v>0</v>
      </c>
      <c r="W141" s="180">
        <f>+SUM(W142:W149)</f>
        <v>1087100</v>
      </c>
      <c r="X141" s="72"/>
      <c r="Y141" s="72"/>
      <c r="Z141" s="172"/>
    </row>
    <row r="142" spans="2:27" s="53" customFormat="1" ht="14.45" customHeight="1" x14ac:dyDescent="0.25">
      <c r="B142" s="549"/>
      <c r="C142" s="549"/>
      <c r="D142" s="181"/>
      <c r="E142" s="458" t="s">
        <v>556</v>
      </c>
      <c r="F142" s="458"/>
      <c r="G142" s="388"/>
      <c r="H142" s="388"/>
      <c r="I142" s="388"/>
      <c r="J142" s="388"/>
      <c r="K142" s="388"/>
      <c r="L142" s="388"/>
      <c r="M142" s="388"/>
      <c r="N142" s="388"/>
      <c r="O142" s="578"/>
      <c r="P142" s="578"/>
      <c r="Q142" s="182"/>
      <c r="R142" s="182"/>
      <c r="S142" s="182"/>
      <c r="T142" s="182"/>
      <c r="U142" s="182"/>
      <c r="V142" s="182"/>
      <c r="W142" s="183"/>
      <c r="X142" s="72"/>
      <c r="Y142" s="72"/>
      <c r="Z142" s="172"/>
    </row>
    <row r="143" spans="2:27" s="53" customFormat="1" ht="30" x14ac:dyDescent="0.25">
      <c r="B143" s="549"/>
      <c r="C143" s="549"/>
      <c r="D143" s="181"/>
      <c r="E143" s="388"/>
      <c r="F143" s="388" t="s">
        <v>557</v>
      </c>
      <c r="G143" s="388" t="s">
        <v>449</v>
      </c>
      <c r="H143" s="388">
        <v>50</v>
      </c>
      <c r="I143" s="388">
        <v>150</v>
      </c>
      <c r="J143" s="388">
        <v>100</v>
      </c>
      <c r="K143" s="388">
        <v>0</v>
      </c>
      <c r="L143" s="388">
        <v>0</v>
      </c>
      <c r="M143" s="388">
        <v>0</v>
      </c>
      <c r="N143" s="388">
        <v>300</v>
      </c>
      <c r="O143" s="578">
        <v>750</v>
      </c>
      <c r="P143" s="578"/>
      <c r="Q143" s="184">
        <v>37500</v>
      </c>
      <c r="R143" s="184">
        <v>112500</v>
      </c>
      <c r="S143" s="184">
        <v>75000</v>
      </c>
      <c r="T143" s="184">
        <v>0</v>
      </c>
      <c r="U143" s="184">
        <v>0</v>
      </c>
      <c r="V143" s="184">
        <v>0</v>
      </c>
      <c r="W143" s="185">
        <v>225000</v>
      </c>
      <c r="X143" s="72"/>
      <c r="Y143" s="72"/>
      <c r="Z143" s="172"/>
    </row>
    <row r="144" spans="2:27" s="53" customFormat="1" ht="14.45" customHeight="1" x14ac:dyDescent="0.25">
      <c r="B144" s="549"/>
      <c r="C144" s="549"/>
      <c r="D144" s="181"/>
      <c r="E144" s="458" t="s">
        <v>539</v>
      </c>
      <c r="F144" s="458"/>
      <c r="G144" s="388"/>
      <c r="H144" s="388"/>
      <c r="I144" s="388"/>
      <c r="J144" s="388"/>
      <c r="K144" s="388"/>
      <c r="L144" s="388"/>
      <c r="M144" s="388"/>
      <c r="N144" s="388"/>
      <c r="O144" s="578"/>
      <c r="P144" s="578"/>
      <c r="Q144" s="184"/>
      <c r="R144" s="184"/>
      <c r="S144" s="184"/>
      <c r="T144" s="184"/>
      <c r="U144" s="184"/>
      <c r="V144" s="184"/>
      <c r="W144" s="185"/>
      <c r="X144" s="72"/>
      <c r="Y144" s="72"/>
      <c r="Z144" s="172"/>
    </row>
    <row r="145" spans="2:27" s="53" customFormat="1" ht="14.45" customHeight="1" x14ac:dyDescent="0.25">
      <c r="B145" s="549"/>
      <c r="C145" s="549"/>
      <c r="D145" s="181"/>
      <c r="E145" s="388"/>
      <c r="F145" s="393" t="s">
        <v>540</v>
      </c>
      <c r="G145" s="388" t="s">
        <v>541</v>
      </c>
      <c r="H145" s="184">
        <v>300000</v>
      </c>
      <c r="I145" s="184">
        <v>900000</v>
      </c>
      <c r="J145" s="184">
        <v>600000</v>
      </c>
      <c r="K145" s="184">
        <v>0</v>
      </c>
      <c r="L145" s="184">
        <v>0</v>
      </c>
      <c r="M145" s="184">
        <v>0</v>
      </c>
      <c r="N145" s="184">
        <v>1800000</v>
      </c>
      <c r="O145" s="579">
        <v>0.15</v>
      </c>
      <c r="P145" s="580"/>
      <c r="Q145" s="184">
        <v>45000</v>
      </c>
      <c r="R145" s="184">
        <v>135000</v>
      </c>
      <c r="S145" s="184">
        <v>90000</v>
      </c>
      <c r="T145" s="184">
        <v>0</v>
      </c>
      <c r="U145" s="184">
        <v>0</v>
      </c>
      <c r="V145" s="184">
        <v>0</v>
      </c>
      <c r="W145" s="185">
        <v>270000</v>
      </c>
      <c r="X145" s="72"/>
      <c r="Y145" s="72"/>
      <c r="Z145" s="172"/>
    </row>
    <row r="146" spans="2:27" s="53" customFormat="1" ht="30" x14ac:dyDescent="0.25">
      <c r="B146" s="549"/>
      <c r="C146" s="549"/>
      <c r="D146" s="181"/>
      <c r="E146" s="388"/>
      <c r="F146" s="388" t="s">
        <v>558</v>
      </c>
      <c r="G146" s="388" t="s">
        <v>543</v>
      </c>
      <c r="H146" s="388">
        <v>74250</v>
      </c>
      <c r="I146" s="388">
        <v>222750</v>
      </c>
      <c r="J146" s="388">
        <v>148500</v>
      </c>
      <c r="K146" s="388">
        <v>0</v>
      </c>
      <c r="L146" s="388">
        <v>0</v>
      </c>
      <c r="M146" s="388">
        <v>0</v>
      </c>
      <c r="N146" s="388">
        <v>445500</v>
      </c>
      <c r="O146" s="579">
        <v>1.2</v>
      </c>
      <c r="P146" s="580"/>
      <c r="Q146" s="184">
        <v>89100</v>
      </c>
      <c r="R146" s="184">
        <v>267300</v>
      </c>
      <c r="S146" s="184">
        <v>178200</v>
      </c>
      <c r="T146" s="184">
        <v>0</v>
      </c>
      <c r="U146" s="184">
        <v>0</v>
      </c>
      <c r="V146" s="184">
        <v>0</v>
      </c>
      <c r="W146" s="185">
        <v>534600</v>
      </c>
      <c r="X146" s="72"/>
      <c r="Y146" s="72"/>
      <c r="Z146" s="172"/>
    </row>
    <row r="147" spans="2:27" s="53" customFormat="1" ht="14.45" customHeight="1" x14ac:dyDescent="0.25">
      <c r="B147" s="549"/>
      <c r="C147" s="549"/>
      <c r="D147" s="181"/>
      <c r="E147" s="388"/>
      <c r="F147" s="393" t="s">
        <v>544</v>
      </c>
      <c r="G147" s="388" t="s">
        <v>545</v>
      </c>
      <c r="H147" s="388">
        <v>50</v>
      </c>
      <c r="I147" s="388">
        <v>150</v>
      </c>
      <c r="J147" s="388">
        <v>100</v>
      </c>
      <c r="K147" s="388">
        <v>0</v>
      </c>
      <c r="L147" s="388">
        <v>0</v>
      </c>
      <c r="M147" s="388">
        <v>0</v>
      </c>
      <c r="N147" s="388">
        <v>300</v>
      </c>
      <c r="O147" s="579">
        <v>25</v>
      </c>
      <c r="P147" s="580"/>
      <c r="Q147" s="184">
        <v>1250</v>
      </c>
      <c r="R147" s="184">
        <v>3750</v>
      </c>
      <c r="S147" s="184">
        <v>2500</v>
      </c>
      <c r="T147" s="184">
        <v>0</v>
      </c>
      <c r="U147" s="184">
        <v>0</v>
      </c>
      <c r="V147" s="184">
        <v>0</v>
      </c>
      <c r="W147" s="185">
        <v>7500</v>
      </c>
      <c r="X147" s="72"/>
      <c r="Y147" s="72"/>
      <c r="Z147" s="172"/>
    </row>
    <row r="148" spans="2:27" s="53" customFormat="1" ht="14.45" customHeight="1" x14ac:dyDescent="0.25">
      <c r="B148" s="549"/>
      <c r="C148" s="549"/>
      <c r="D148" s="181"/>
      <c r="E148" s="458" t="s">
        <v>546</v>
      </c>
      <c r="F148" s="458"/>
      <c r="G148" s="388"/>
      <c r="H148" s="388"/>
      <c r="I148" s="388"/>
      <c r="J148" s="388"/>
      <c r="K148" s="388"/>
      <c r="L148" s="388"/>
      <c r="M148" s="388"/>
      <c r="N148" s="388"/>
      <c r="O148" s="579"/>
      <c r="P148" s="580"/>
      <c r="Q148" s="184"/>
      <c r="R148" s="184"/>
      <c r="S148" s="184"/>
      <c r="T148" s="184"/>
      <c r="U148" s="184"/>
      <c r="V148" s="184"/>
      <c r="W148" s="185"/>
      <c r="X148" s="72"/>
      <c r="Y148" s="72"/>
      <c r="Z148" s="172"/>
    </row>
    <row r="149" spans="2:27" s="53" customFormat="1" ht="15.75" thickBot="1" x14ac:dyDescent="0.3">
      <c r="B149" s="549"/>
      <c r="C149" s="549"/>
      <c r="D149" s="186"/>
      <c r="E149" s="151"/>
      <c r="F149" s="151" t="s">
        <v>547</v>
      </c>
      <c r="G149" s="151" t="s">
        <v>548</v>
      </c>
      <c r="H149" s="151">
        <v>10</v>
      </c>
      <c r="I149" s="151">
        <v>20</v>
      </c>
      <c r="J149" s="151">
        <v>20</v>
      </c>
      <c r="K149" s="151">
        <v>0</v>
      </c>
      <c r="L149" s="151">
        <v>0</v>
      </c>
      <c r="M149" s="151">
        <v>0</v>
      </c>
      <c r="N149" s="151">
        <v>50</v>
      </c>
      <c r="O149" s="581">
        <v>1000</v>
      </c>
      <c r="P149" s="582"/>
      <c r="Q149" s="187">
        <v>10000</v>
      </c>
      <c r="R149" s="187">
        <v>20000</v>
      </c>
      <c r="S149" s="187">
        <v>20000</v>
      </c>
      <c r="T149" s="187">
        <v>0</v>
      </c>
      <c r="U149" s="187">
        <v>0</v>
      </c>
      <c r="V149" s="187">
        <v>0</v>
      </c>
      <c r="W149" s="188">
        <v>50000</v>
      </c>
      <c r="X149" s="72"/>
      <c r="Y149" s="72"/>
      <c r="Z149" s="172"/>
    </row>
    <row r="150" spans="2:27" s="53" customFormat="1" ht="15.75" customHeight="1" thickBot="1" x14ac:dyDescent="0.3">
      <c r="B150" s="548" t="s">
        <v>214</v>
      </c>
      <c r="C150" s="548" t="s">
        <v>239</v>
      </c>
      <c r="D150" s="501" t="s">
        <v>559</v>
      </c>
      <c r="E150" s="502"/>
      <c r="F150" s="502"/>
      <c r="G150" s="502"/>
      <c r="H150" s="502"/>
      <c r="I150" s="502"/>
      <c r="J150" s="502"/>
      <c r="K150" s="502"/>
      <c r="L150" s="502"/>
      <c r="M150" s="502"/>
      <c r="N150" s="502"/>
      <c r="O150" s="502"/>
      <c r="P150" s="502"/>
      <c r="Q150" s="502"/>
      <c r="R150" s="502"/>
      <c r="S150" s="502"/>
      <c r="T150" s="502"/>
      <c r="U150" s="502"/>
      <c r="V150" s="502"/>
      <c r="W150" s="503"/>
      <c r="X150" s="72"/>
      <c r="Y150" s="72"/>
      <c r="AA150" s="176">
        <f>+W153+W169</f>
        <v>524900</v>
      </c>
    </row>
    <row r="151" spans="2:27" s="53" customFormat="1" x14ac:dyDescent="0.25">
      <c r="B151" s="549"/>
      <c r="C151" s="549"/>
      <c r="D151" s="113" t="s">
        <v>560</v>
      </c>
      <c r="E151" s="114"/>
      <c r="F151" s="114"/>
      <c r="G151" s="587" t="s">
        <v>434</v>
      </c>
      <c r="H151" s="587">
        <v>2022</v>
      </c>
      <c r="I151" s="587">
        <v>2023</v>
      </c>
      <c r="J151" s="587">
        <v>2024</v>
      </c>
      <c r="K151" s="587">
        <v>2025</v>
      </c>
      <c r="L151" s="587">
        <v>2026</v>
      </c>
      <c r="M151" s="587">
        <v>2027</v>
      </c>
      <c r="N151" s="587" t="s">
        <v>429</v>
      </c>
      <c r="O151" s="589" t="s">
        <v>561</v>
      </c>
      <c r="P151" s="589"/>
      <c r="Q151" s="587">
        <v>2022</v>
      </c>
      <c r="R151" s="587">
        <v>2023</v>
      </c>
      <c r="S151" s="587">
        <v>2024</v>
      </c>
      <c r="T151" s="587">
        <v>2025</v>
      </c>
      <c r="U151" s="587">
        <v>2026</v>
      </c>
      <c r="V151" s="587">
        <v>2027</v>
      </c>
      <c r="W151" s="590" t="s">
        <v>429</v>
      </c>
      <c r="X151" s="72"/>
      <c r="Y151" s="72"/>
      <c r="Z151" s="172"/>
    </row>
    <row r="152" spans="2:27" s="53" customFormat="1" ht="15.75" thickBot="1" x14ac:dyDescent="0.3">
      <c r="B152" s="549"/>
      <c r="C152" s="549"/>
      <c r="D152" s="115"/>
      <c r="E152" s="116"/>
      <c r="F152" s="116"/>
      <c r="G152" s="588"/>
      <c r="H152" s="588"/>
      <c r="I152" s="588"/>
      <c r="J152" s="588"/>
      <c r="K152" s="588"/>
      <c r="L152" s="588"/>
      <c r="M152" s="588"/>
      <c r="N152" s="588"/>
      <c r="O152" s="615"/>
      <c r="P152" s="615"/>
      <c r="Q152" s="613"/>
      <c r="R152" s="613"/>
      <c r="S152" s="613"/>
      <c r="T152" s="613"/>
      <c r="U152" s="613"/>
      <c r="V152" s="613"/>
      <c r="W152" s="614"/>
      <c r="X152" s="72"/>
      <c r="Y152" s="72"/>
      <c r="Z152" s="172"/>
    </row>
    <row r="153" spans="2:27" s="53" customFormat="1" ht="28.9" customHeight="1" thickBot="1" x14ac:dyDescent="0.3">
      <c r="B153" s="549"/>
      <c r="C153" s="549"/>
      <c r="D153" s="592" t="s">
        <v>562</v>
      </c>
      <c r="E153" s="593"/>
      <c r="F153" s="593"/>
      <c r="G153" s="117" t="s">
        <v>563</v>
      </c>
      <c r="H153" s="117"/>
      <c r="I153" s="117">
        <v>2</v>
      </c>
      <c r="J153" s="117">
        <v>3</v>
      </c>
      <c r="K153" s="117">
        <v>3</v>
      </c>
      <c r="L153" s="117">
        <v>2</v>
      </c>
      <c r="M153" s="117"/>
      <c r="N153" s="117">
        <v>10</v>
      </c>
      <c r="O153" s="595"/>
      <c r="P153" s="596"/>
      <c r="Q153" s="118">
        <v>0</v>
      </c>
      <c r="R153" s="119">
        <v>93800</v>
      </c>
      <c r="S153" s="119">
        <v>140700</v>
      </c>
      <c r="T153" s="119">
        <v>140700</v>
      </c>
      <c r="U153" s="119">
        <v>93800</v>
      </c>
      <c r="V153" s="119">
        <v>0</v>
      </c>
      <c r="W153" s="120">
        <v>469000</v>
      </c>
      <c r="X153" s="72"/>
      <c r="Y153" s="72"/>
      <c r="Z153" s="172"/>
    </row>
    <row r="154" spans="2:27" s="53" customFormat="1" x14ac:dyDescent="0.25">
      <c r="B154" s="549"/>
      <c r="C154" s="549"/>
      <c r="D154" s="95"/>
      <c r="E154" s="393" t="s">
        <v>564</v>
      </c>
      <c r="F154" s="121"/>
      <c r="G154" s="121"/>
      <c r="H154" s="121"/>
      <c r="I154" s="121"/>
      <c r="J154" s="121"/>
      <c r="K154" s="121"/>
      <c r="L154" s="121"/>
      <c r="M154" s="121"/>
      <c r="N154" s="121"/>
      <c r="O154" s="578"/>
      <c r="P154" s="578"/>
      <c r="Q154" s="122"/>
      <c r="R154" s="123"/>
      <c r="S154" s="123"/>
      <c r="T154" s="123"/>
      <c r="U154" s="123"/>
      <c r="V154" s="123"/>
      <c r="W154" s="124"/>
      <c r="X154" s="72"/>
      <c r="Y154" s="72"/>
      <c r="Z154" s="172"/>
    </row>
    <row r="155" spans="2:27" s="53" customFormat="1" x14ac:dyDescent="0.25">
      <c r="B155" s="549"/>
      <c r="C155" s="549"/>
      <c r="D155" s="95"/>
      <c r="E155" s="393"/>
      <c r="F155" s="121" t="s">
        <v>565</v>
      </c>
      <c r="G155" s="121" t="s">
        <v>541</v>
      </c>
      <c r="H155" s="121">
        <v>0</v>
      </c>
      <c r="I155" s="121">
        <v>2</v>
      </c>
      <c r="J155" s="121">
        <v>3</v>
      </c>
      <c r="K155" s="121">
        <v>3</v>
      </c>
      <c r="L155" s="121">
        <v>2</v>
      </c>
      <c r="M155" s="121">
        <v>0</v>
      </c>
      <c r="N155" s="121">
        <v>10</v>
      </c>
      <c r="O155" s="569">
        <v>6000</v>
      </c>
      <c r="P155" s="569"/>
      <c r="Q155" s="121">
        <v>0</v>
      </c>
      <c r="R155" s="125">
        <v>12000</v>
      </c>
      <c r="S155" s="125">
        <v>18000</v>
      </c>
      <c r="T155" s="125">
        <v>18000</v>
      </c>
      <c r="U155" s="125">
        <v>12000</v>
      </c>
      <c r="V155" s="125">
        <v>0</v>
      </c>
      <c r="W155" s="126">
        <v>60000</v>
      </c>
      <c r="X155" s="72"/>
      <c r="Y155" s="72"/>
      <c r="Z155" s="172"/>
    </row>
    <row r="156" spans="2:27" s="53" customFormat="1" ht="30" x14ac:dyDescent="0.25">
      <c r="B156" s="549"/>
      <c r="C156" s="549"/>
      <c r="D156" s="95"/>
      <c r="E156" s="393"/>
      <c r="F156" s="127" t="s">
        <v>566</v>
      </c>
      <c r="G156" s="121" t="s">
        <v>545</v>
      </c>
      <c r="H156" s="121">
        <v>0</v>
      </c>
      <c r="I156" s="121">
        <v>2</v>
      </c>
      <c r="J156" s="121">
        <v>3</v>
      </c>
      <c r="K156" s="121">
        <v>3</v>
      </c>
      <c r="L156" s="121">
        <v>2</v>
      </c>
      <c r="M156" s="121">
        <v>0</v>
      </c>
      <c r="N156" s="121">
        <v>10</v>
      </c>
      <c r="O156" s="569">
        <v>4600</v>
      </c>
      <c r="P156" s="569"/>
      <c r="Q156" s="121">
        <v>0</v>
      </c>
      <c r="R156" s="125">
        <v>9200</v>
      </c>
      <c r="S156" s="125">
        <v>13800</v>
      </c>
      <c r="T156" s="125">
        <v>13800</v>
      </c>
      <c r="U156" s="125">
        <v>9200</v>
      </c>
      <c r="V156" s="125">
        <v>0</v>
      </c>
      <c r="W156" s="126">
        <v>46000</v>
      </c>
      <c r="X156" s="72"/>
      <c r="Y156" s="72"/>
      <c r="Z156" s="172"/>
    </row>
    <row r="157" spans="2:27" s="53" customFormat="1" ht="30" x14ac:dyDescent="0.25">
      <c r="B157" s="549"/>
      <c r="C157" s="549"/>
      <c r="D157" s="95"/>
      <c r="E157" s="393"/>
      <c r="F157" s="127" t="s">
        <v>567</v>
      </c>
      <c r="G157" s="121" t="s">
        <v>545</v>
      </c>
      <c r="H157" s="121">
        <v>0</v>
      </c>
      <c r="I157" s="121">
        <v>2</v>
      </c>
      <c r="J157" s="121">
        <v>3</v>
      </c>
      <c r="K157" s="121">
        <v>3</v>
      </c>
      <c r="L157" s="121">
        <v>2</v>
      </c>
      <c r="M157" s="121">
        <v>0</v>
      </c>
      <c r="N157" s="121">
        <v>10</v>
      </c>
      <c r="O157" s="569">
        <v>4500</v>
      </c>
      <c r="P157" s="569"/>
      <c r="Q157" s="121">
        <v>0</v>
      </c>
      <c r="R157" s="125">
        <v>9000</v>
      </c>
      <c r="S157" s="125">
        <v>13500</v>
      </c>
      <c r="T157" s="125">
        <v>13500</v>
      </c>
      <c r="U157" s="125">
        <v>9000</v>
      </c>
      <c r="V157" s="125">
        <v>0</v>
      </c>
      <c r="W157" s="126">
        <v>45000</v>
      </c>
      <c r="X157" s="72"/>
      <c r="Y157" s="72"/>
      <c r="Z157" s="172"/>
    </row>
    <row r="158" spans="2:27" s="53" customFormat="1" x14ac:dyDescent="0.25">
      <c r="B158" s="549"/>
      <c r="C158" s="549"/>
      <c r="D158" s="95"/>
      <c r="E158" s="393"/>
      <c r="F158" s="121" t="s">
        <v>568</v>
      </c>
      <c r="G158" s="121" t="s">
        <v>541</v>
      </c>
      <c r="H158" s="121">
        <v>0</v>
      </c>
      <c r="I158" s="121">
        <v>2</v>
      </c>
      <c r="J158" s="121">
        <v>3</v>
      </c>
      <c r="K158" s="121">
        <v>3</v>
      </c>
      <c r="L158" s="121">
        <v>2</v>
      </c>
      <c r="M158" s="121">
        <v>0</v>
      </c>
      <c r="N158" s="121">
        <v>10</v>
      </c>
      <c r="O158" s="569">
        <v>4100</v>
      </c>
      <c r="P158" s="569"/>
      <c r="Q158" s="121">
        <v>0</v>
      </c>
      <c r="R158" s="125">
        <v>8200</v>
      </c>
      <c r="S158" s="125">
        <v>12300</v>
      </c>
      <c r="T158" s="125">
        <v>12300</v>
      </c>
      <c r="U158" s="125">
        <v>8200</v>
      </c>
      <c r="V158" s="125">
        <v>0</v>
      </c>
      <c r="W158" s="126">
        <v>41000</v>
      </c>
      <c r="X158" s="72"/>
      <c r="Y158" s="72"/>
      <c r="Z158" s="172"/>
    </row>
    <row r="159" spans="2:27" s="53" customFormat="1" x14ac:dyDescent="0.25">
      <c r="B159" s="549"/>
      <c r="C159" s="549"/>
      <c r="D159" s="95"/>
      <c r="E159" s="393"/>
      <c r="F159" s="121" t="s">
        <v>569</v>
      </c>
      <c r="G159" s="121" t="s">
        <v>570</v>
      </c>
      <c r="H159" s="121">
        <v>0</v>
      </c>
      <c r="I159" s="125">
        <v>4000</v>
      </c>
      <c r="J159" s="125">
        <v>6000</v>
      </c>
      <c r="K159" s="125">
        <v>6000</v>
      </c>
      <c r="L159" s="125">
        <v>4000</v>
      </c>
      <c r="M159" s="125">
        <v>0</v>
      </c>
      <c r="N159" s="125">
        <v>20000</v>
      </c>
      <c r="O159" s="569">
        <v>2</v>
      </c>
      <c r="P159" s="569"/>
      <c r="Q159" s="121">
        <v>0</v>
      </c>
      <c r="R159" s="125">
        <v>8000</v>
      </c>
      <c r="S159" s="125">
        <v>12000</v>
      </c>
      <c r="T159" s="125">
        <v>12000</v>
      </c>
      <c r="U159" s="125">
        <v>8000</v>
      </c>
      <c r="V159" s="125">
        <v>0</v>
      </c>
      <c r="W159" s="126">
        <v>40000</v>
      </c>
      <c r="X159" s="72"/>
      <c r="Y159" s="72"/>
      <c r="Z159" s="172"/>
    </row>
    <row r="160" spans="2:27" s="53" customFormat="1" x14ac:dyDescent="0.25">
      <c r="B160" s="549"/>
      <c r="C160" s="549"/>
      <c r="D160" s="95"/>
      <c r="E160" s="393"/>
      <c r="F160" s="121" t="s">
        <v>571</v>
      </c>
      <c r="G160" s="121" t="s">
        <v>572</v>
      </c>
      <c r="H160" s="121">
        <v>0</v>
      </c>
      <c r="I160" s="125">
        <v>10</v>
      </c>
      <c r="J160" s="125">
        <v>15</v>
      </c>
      <c r="K160" s="125">
        <v>15</v>
      </c>
      <c r="L160" s="125">
        <v>10</v>
      </c>
      <c r="M160" s="125">
        <v>0</v>
      </c>
      <c r="N160" s="125">
        <v>50</v>
      </c>
      <c r="O160" s="569">
        <v>1200</v>
      </c>
      <c r="P160" s="569"/>
      <c r="Q160" s="121">
        <v>0</v>
      </c>
      <c r="R160" s="125">
        <v>12000</v>
      </c>
      <c r="S160" s="125">
        <v>18000</v>
      </c>
      <c r="T160" s="125">
        <v>18000</v>
      </c>
      <c r="U160" s="125">
        <v>12000</v>
      </c>
      <c r="V160" s="125">
        <v>0</v>
      </c>
      <c r="W160" s="126">
        <v>60000</v>
      </c>
      <c r="X160" s="72"/>
      <c r="Y160" s="72"/>
      <c r="Z160" s="172"/>
    </row>
    <row r="161" spans="2:26" s="53" customFormat="1" x14ac:dyDescent="0.25">
      <c r="B161" s="549"/>
      <c r="C161" s="549"/>
      <c r="D161" s="95"/>
      <c r="E161" s="393"/>
      <c r="F161" s="121" t="s">
        <v>573</v>
      </c>
      <c r="G161" s="121" t="s">
        <v>572</v>
      </c>
      <c r="H161" s="121">
        <v>0</v>
      </c>
      <c r="I161" s="125">
        <v>10</v>
      </c>
      <c r="J161" s="125">
        <v>15</v>
      </c>
      <c r="K161" s="125">
        <v>15</v>
      </c>
      <c r="L161" s="125">
        <v>10</v>
      </c>
      <c r="M161" s="125">
        <v>0</v>
      </c>
      <c r="N161" s="125">
        <v>50</v>
      </c>
      <c r="O161" s="569">
        <v>750</v>
      </c>
      <c r="P161" s="569"/>
      <c r="Q161" s="121">
        <v>0</v>
      </c>
      <c r="R161" s="125">
        <v>7500</v>
      </c>
      <c r="S161" s="125">
        <v>11250</v>
      </c>
      <c r="T161" s="125">
        <v>11250</v>
      </c>
      <c r="U161" s="125">
        <v>7500</v>
      </c>
      <c r="V161" s="125">
        <v>0</v>
      </c>
      <c r="W161" s="126">
        <v>37500</v>
      </c>
      <c r="X161" s="72"/>
      <c r="Y161" s="72"/>
      <c r="Z161" s="172"/>
    </row>
    <row r="162" spans="2:26" s="53" customFormat="1" x14ac:dyDescent="0.25">
      <c r="B162" s="549"/>
      <c r="C162" s="549"/>
      <c r="D162" s="95"/>
      <c r="E162" s="393" t="s">
        <v>539</v>
      </c>
      <c r="F162" s="121"/>
      <c r="G162" s="121"/>
      <c r="H162" s="121"/>
      <c r="I162" s="125"/>
      <c r="J162" s="125"/>
      <c r="K162" s="125"/>
      <c r="L162" s="125"/>
      <c r="M162" s="125"/>
      <c r="N162" s="125"/>
      <c r="O162" s="569">
        <v>0.15</v>
      </c>
      <c r="P162" s="569"/>
      <c r="Q162" s="121"/>
      <c r="R162" s="125"/>
      <c r="S162" s="125"/>
      <c r="T162" s="125"/>
      <c r="U162" s="125"/>
      <c r="V162" s="125"/>
      <c r="W162" s="126"/>
      <c r="X162" s="72"/>
      <c r="Y162" s="72"/>
      <c r="Z162" s="172"/>
    </row>
    <row r="163" spans="2:26" s="53" customFormat="1" x14ac:dyDescent="0.25">
      <c r="B163" s="549"/>
      <c r="C163" s="549"/>
      <c r="D163" s="95"/>
      <c r="E163" s="393"/>
      <c r="F163" s="121" t="s">
        <v>574</v>
      </c>
      <c r="G163" s="121" t="s">
        <v>541</v>
      </c>
      <c r="H163" s="121">
        <v>0</v>
      </c>
      <c r="I163" s="125">
        <v>12000</v>
      </c>
      <c r="J163" s="125">
        <v>18000</v>
      </c>
      <c r="K163" s="125">
        <v>18000</v>
      </c>
      <c r="L163" s="125">
        <v>12000</v>
      </c>
      <c r="M163" s="125">
        <v>0</v>
      </c>
      <c r="N163" s="125">
        <v>60000</v>
      </c>
      <c r="O163" s="594">
        <v>0.15</v>
      </c>
      <c r="P163" s="594"/>
      <c r="Q163" s="121">
        <v>0</v>
      </c>
      <c r="R163" s="125">
        <v>1800</v>
      </c>
      <c r="S163" s="125">
        <v>2700</v>
      </c>
      <c r="T163" s="125">
        <v>2700</v>
      </c>
      <c r="U163" s="125">
        <v>1800</v>
      </c>
      <c r="V163" s="125">
        <v>0</v>
      </c>
      <c r="W163" s="126">
        <v>9000</v>
      </c>
      <c r="X163" s="72"/>
      <c r="Y163" s="72"/>
      <c r="Z163" s="172"/>
    </row>
    <row r="164" spans="2:26" s="53" customFormat="1" x14ac:dyDescent="0.25">
      <c r="B164" s="549"/>
      <c r="C164" s="549"/>
      <c r="D164" s="95"/>
      <c r="E164" s="393"/>
      <c r="F164" s="121" t="s">
        <v>575</v>
      </c>
      <c r="G164" s="121" t="s">
        <v>543</v>
      </c>
      <c r="H164" s="121">
        <v>0</v>
      </c>
      <c r="I164" s="125">
        <v>18000</v>
      </c>
      <c r="J164" s="125">
        <v>27000</v>
      </c>
      <c r="K164" s="125">
        <v>27000</v>
      </c>
      <c r="L164" s="125">
        <v>18000</v>
      </c>
      <c r="M164" s="125">
        <v>0</v>
      </c>
      <c r="N164" s="125">
        <v>90000</v>
      </c>
      <c r="O164" s="594">
        <v>1.2</v>
      </c>
      <c r="P164" s="594"/>
      <c r="Q164" s="121">
        <v>0</v>
      </c>
      <c r="R164" s="125">
        <v>21600</v>
      </c>
      <c r="S164" s="125">
        <v>32400</v>
      </c>
      <c r="T164" s="125">
        <v>32400</v>
      </c>
      <c r="U164" s="125">
        <v>21600</v>
      </c>
      <c r="V164" s="125">
        <v>0</v>
      </c>
      <c r="W164" s="126">
        <v>108000</v>
      </c>
      <c r="X164" s="72"/>
      <c r="Y164" s="72"/>
      <c r="Z164" s="172"/>
    </row>
    <row r="165" spans="2:26" s="53" customFormat="1" x14ac:dyDescent="0.25">
      <c r="B165" s="549"/>
      <c r="C165" s="549"/>
      <c r="D165" s="95"/>
      <c r="E165" s="393"/>
      <c r="F165" s="121" t="s">
        <v>544</v>
      </c>
      <c r="G165" s="121" t="s">
        <v>545</v>
      </c>
      <c r="H165" s="121">
        <v>0</v>
      </c>
      <c r="I165" s="121">
        <v>10</v>
      </c>
      <c r="J165" s="121">
        <v>15</v>
      </c>
      <c r="K165" s="121">
        <v>15</v>
      </c>
      <c r="L165" s="121">
        <v>10</v>
      </c>
      <c r="M165" s="121">
        <v>0</v>
      </c>
      <c r="N165" s="121">
        <v>50</v>
      </c>
      <c r="O165" s="569">
        <v>50</v>
      </c>
      <c r="P165" s="569"/>
      <c r="Q165" s="121">
        <v>0</v>
      </c>
      <c r="R165" s="125">
        <v>500</v>
      </c>
      <c r="S165" s="125">
        <v>750</v>
      </c>
      <c r="T165" s="125">
        <v>750</v>
      </c>
      <c r="U165" s="125">
        <v>500</v>
      </c>
      <c r="V165" s="125">
        <v>0</v>
      </c>
      <c r="W165" s="126">
        <v>2500</v>
      </c>
      <c r="X165" s="72"/>
      <c r="Y165" s="72"/>
      <c r="Z165" s="172"/>
    </row>
    <row r="166" spans="2:26" s="53" customFormat="1" x14ac:dyDescent="0.25">
      <c r="B166" s="549"/>
      <c r="C166" s="549"/>
      <c r="D166" s="95"/>
      <c r="E166" s="393" t="s">
        <v>546</v>
      </c>
      <c r="F166" s="121"/>
      <c r="G166" s="121"/>
      <c r="H166" s="121"/>
      <c r="I166" s="121"/>
      <c r="J166" s="121"/>
      <c r="K166" s="121"/>
      <c r="L166" s="121"/>
      <c r="M166" s="121"/>
      <c r="N166" s="121"/>
      <c r="O166" s="569"/>
      <c r="P166" s="569"/>
      <c r="Q166" s="121"/>
      <c r="R166" s="125"/>
      <c r="S166" s="125"/>
      <c r="T166" s="125"/>
      <c r="U166" s="125"/>
      <c r="V166" s="125"/>
      <c r="W166" s="126"/>
      <c r="X166" s="72"/>
      <c r="Y166" s="72"/>
      <c r="Z166" s="172"/>
    </row>
    <row r="167" spans="2:26" s="53" customFormat="1" ht="15.75" thickBot="1" x14ac:dyDescent="0.3">
      <c r="B167" s="549"/>
      <c r="C167" s="549"/>
      <c r="D167" s="96"/>
      <c r="E167" s="97"/>
      <c r="F167" s="128" t="s">
        <v>576</v>
      </c>
      <c r="G167" s="128" t="s">
        <v>548</v>
      </c>
      <c r="H167" s="128">
        <v>0</v>
      </c>
      <c r="I167" s="128">
        <v>4</v>
      </c>
      <c r="J167" s="128">
        <v>6</v>
      </c>
      <c r="K167" s="128">
        <v>6</v>
      </c>
      <c r="L167" s="128">
        <v>4</v>
      </c>
      <c r="M167" s="128">
        <v>0</v>
      </c>
      <c r="N167" s="128">
        <v>20</v>
      </c>
      <c r="O167" s="606">
        <v>1000</v>
      </c>
      <c r="P167" s="606"/>
      <c r="Q167" s="128">
        <v>0</v>
      </c>
      <c r="R167" s="129">
        <v>4000</v>
      </c>
      <c r="S167" s="129">
        <v>6000</v>
      </c>
      <c r="T167" s="129">
        <v>6000</v>
      </c>
      <c r="U167" s="129">
        <v>4000</v>
      </c>
      <c r="V167" s="129">
        <v>0</v>
      </c>
      <c r="W167" s="130">
        <v>20000</v>
      </c>
      <c r="X167" s="72"/>
      <c r="Y167" s="72"/>
      <c r="Z167" s="172"/>
    </row>
    <row r="168" spans="2:26" s="53" customFormat="1" ht="15.75" thickBot="1" x14ac:dyDescent="0.3">
      <c r="B168" s="597"/>
      <c r="C168" s="597"/>
      <c r="D168" s="131"/>
      <c r="E168" s="391"/>
      <c r="O168" s="54"/>
      <c r="P168" s="54"/>
      <c r="X168" s="72"/>
      <c r="Y168" s="72"/>
      <c r="Z168" s="172"/>
    </row>
    <row r="169" spans="2:26" s="53" customFormat="1" ht="29.45" customHeight="1" thickBot="1" x14ac:dyDescent="0.3">
      <c r="B169" s="549"/>
      <c r="C169" s="549"/>
      <c r="D169" s="607" t="s">
        <v>577</v>
      </c>
      <c r="E169" s="608"/>
      <c r="F169" s="608"/>
      <c r="G169" s="132"/>
      <c r="H169" s="132"/>
      <c r="I169" s="132"/>
      <c r="J169" s="132"/>
      <c r="K169" s="132"/>
      <c r="L169" s="132"/>
      <c r="M169" s="132"/>
      <c r="N169" s="132"/>
      <c r="O169" s="609"/>
      <c r="P169" s="610"/>
      <c r="Q169" s="133">
        <v>22360</v>
      </c>
      <c r="R169" s="134">
        <v>22360</v>
      </c>
      <c r="S169" s="134">
        <v>11180</v>
      </c>
      <c r="T169" s="134">
        <v>0</v>
      </c>
      <c r="U169" s="134">
        <v>0</v>
      </c>
      <c r="V169" s="134">
        <v>0</v>
      </c>
      <c r="W169" s="135">
        <v>55900</v>
      </c>
      <c r="X169" s="72"/>
      <c r="Y169" s="72"/>
      <c r="Z169" s="172"/>
    </row>
    <row r="170" spans="2:26" s="53" customFormat="1" x14ac:dyDescent="0.25">
      <c r="B170" s="549"/>
      <c r="C170" s="549"/>
      <c r="D170" s="95"/>
      <c r="E170" s="393" t="s">
        <v>564</v>
      </c>
      <c r="F170" s="121"/>
      <c r="G170" s="121"/>
      <c r="H170" s="121">
        <v>2</v>
      </c>
      <c r="I170" s="121">
        <v>2</v>
      </c>
      <c r="J170" s="121">
        <v>1</v>
      </c>
      <c r="K170" s="121"/>
      <c r="L170" s="121"/>
      <c r="M170" s="121"/>
      <c r="N170" s="121"/>
      <c r="O170" s="569"/>
      <c r="P170" s="569"/>
      <c r="Q170" s="123"/>
      <c r="R170" s="123"/>
      <c r="S170" s="123"/>
      <c r="T170" s="123"/>
      <c r="U170" s="123"/>
      <c r="V170" s="123"/>
      <c r="W170" s="124"/>
      <c r="X170" s="72"/>
      <c r="Y170" s="72"/>
      <c r="Z170" s="172"/>
    </row>
    <row r="171" spans="2:26" s="53" customFormat="1" x14ac:dyDescent="0.25">
      <c r="B171" s="549"/>
      <c r="C171" s="549"/>
      <c r="D171" s="95"/>
      <c r="E171" s="393"/>
      <c r="F171" s="121" t="s">
        <v>571</v>
      </c>
      <c r="G171" s="121" t="s">
        <v>572</v>
      </c>
      <c r="H171" s="121">
        <v>4</v>
      </c>
      <c r="I171" s="121">
        <v>4</v>
      </c>
      <c r="J171" s="121">
        <v>2</v>
      </c>
      <c r="K171" s="121"/>
      <c r="L171" s="121"/>
      <c r="M171" s="121"/>
      <c r="N171" s="121">
        <v>10</v>
      </c>
      <c r="O171" s="569">
        <v>1200</v>
      </c>
      <c r="P171" s="569"/>
      <c r="Q171" s="125">
        <v>4800</v>
      </c>
      <c r="R171" s="125">
        <v>4800</v>
      </c>
      <c r="S171" s="125">
        <v>2400</v>
      </c>
      <c r="T171" s="125">
        <v>0</v>
      </c>
      <c r="U171" s="125">
        <v>0</v>
      </c>
      <c r="V171" s="125">
        <v>0</v>
      </c>
      <c r="W171" s="126">
        <v>12000</v>
      </c>
      <c r="X171" s="72"/>
      <c r="Y171" s="72"/>
      <c r="Z171" s="172"/>
    </row>
    <row r="172" spans="2:26" s="53" customFormat="1" ht="30" x14ac:dyDescent="0.25">
      <c r="B172" s="549"/>
      <c r="C172" s="549"/>
      <c r="D172" s="95"/>
      <c r="E172" s="393"/>
      <c r="F172" s="127" t="s">
        <v>578</v>
      </c>
      <c r="G172" s="121" t="s">
        <v>572</v>
      </c>
      <c r="H172" s="121">
        <v>4</v>
      </c>
      <c r="I172" s="121">
        <v>4</v>
      </c>
      <c r="J172" s="121">
        <v>2</v>
      </c>
      <c r="K172" s="121">
        <v>0</v>
      </c>
      <c r="L172" s="121">
        <v>0</v>
      </c>
      <c r="M172" s="121">
        <v>0</v>
      </c>
      <c r="N172" s="121">
        <v>10</v>
      </c>
      <c r="O172" s="569">
        <v>1000</v>
      </c>
      <c r="P172" s="569"/>
      <c r="Q172" s="125">
        <v>4000</v>
      </c>
      <c r="R172" s="125">
        <v>4000</v>
      </c>
      <c r="S172" s="125">
        <v>2000</v>
      </c>
      <c r="T172" s="125">
        <v>0</v>
      </c>
      <c r="U172" s="125">
        <v>0</v>
      </c>
      <c r="V172" s="125">
        <v>0</v>
      </c>
      <c r="W172" s="126">
        <v>10000</v>
      </c>
      <c r="X172" s="72"/>
      <c r="Y172" s="72"/>
      <c r="Z172" s="172"/>
    </row>
    <row r="173" spans="2:26" s="53" customFormat="1" x14ac:dyDescent="0.25">
      <c r="B173" s="549"/>
      <c r="C173" s="549"/>
      <c r="D173" s="95"/>
      <c r="E173" s="393" t="s">
        <v>539</v>
      </c>
      <c r="F173" s="121"/>
      <c r="G173" s="121"/>
      <c r="H173" s="121"/>
      <c r="I173" s="121"/>
      <c r="J173" s="121"/>
      <c r="K173" s="121"/>
      <c r="L173" s="121"/>
      <c r="M173" s="121"/>
      <c r="N173" s="121"/>
      <c r="O173" s="569"/>
      <c r="P173" s="569"/>
      <c r="Q173" s="125"/>
      <c r="R173" s="125"/>
      <c r="S173" s="125"/>
      <c r="T173" s="125"/>
      <c r="U173" s="125"/>
      <c r="V173" s="125"/>
      <c r="W173" s="126"/>
      <c r="X173" s="72"/>
      <c r="Y173" s="72"/>
      <c r="Z173" s="172"/>
    </row>
    <row r="174" spans="2:26" s="53" customFormat="1" x14ac:dyDescent="0.25">
      <c r="B174" s="549"/>
      <c r="C174" s="549"/>
      <c r="D174" s="95"/>
      <c r="E174" s="393"/>
      <c r="F174" s="121" t="s">
        <v>574</v>
      </c>
      <c r="G174" s="121" t="s">
        <v>541</v>
      </c>
      <c r="H174" s="125">
        <v>4800</v>
      </c>
      <c r="I174" s="125">
        <v>4800</v>
      </c>
      <c r="J174" s="125">
        <v>2400</v>
      </c>
      <c r="K174" s="125">
        <v>0</v>
      </c>
      <c r="L174" s="125">
        <v>0</v>
      </c>
      <c r="M174" s="125">
        <v>0</v>
      </c>
      <c r="N174" s="125">
        <v>12000</v>
      </c>
      <c r="O174" s="594">
        <v>0.15</v>
      </c>
      <c r="P174" s="594"/>
      <c r="Q174" s="125">
        <v>720</v>
      </c>
      <c r="R174" s="125">
        <v>720</v>
      </c>
      <c r="S174" s="125">
        <v>360</v>
      </c>
      <c r="T174" s="125">
        <v>0</v>
      </c>
      <c r="U174" s="125">
        <v>0</v>
      </c>
      <c r="V174" s="125">
        <v>0</v>
      </c>
      <c r="W174" s="126">
        <v>1800</v>
      </c>
      <c r="X174" s="72"/>
      <c r="Y174" s="72"/>
      <c r="Z174" s="172"/>
    </row>
    <row r="175" spans="2:26" s="53" customFormat="1" x14ac:dyDescent="0.25">
      <c r="B175" s="549"/>
      <c r="C175" s="549"/>
      <c r="D175" s="95"/>
      <c r="E175" s="393"/>
      <c r="F175" s="121" t="s">
        <v>575</v>
      </c>
      <c r="G175" s="121" t="s">
        <v>543</v>
      </c>
      <c r="H175" s="125">
        <v>7200</v>
      </c>
      <c r="I175" s="125">
        <v>7200</v>
      </c>
      <c r="J175" s="125">
        <v>3600</v>
      </c>
      <c r="K175" s="125">
        <v>0</v>
      </c>
      <c r="L175" s="125">
        <v>0</v>
      </c>
      <c r="M175" s="125">
        <v>0</v>
      </c>
      <c r="N175" s="125">
        <v>18000</v>
      </c>
      <c r="O175" s="594">
        <v>1.2</v>
      </c>
      <c r="P175" s="594"/>
      <c r="Q175" s="125">
        <v>8640</v>
      </c>
      <c r="R175" s="125">
        <v>8640</v>
      </c>
      <c r="S175" s="125">
        <v>4320</v>
      </c>
      <c r="T175" s="125">
        <v>0</v>
      </c>
      <c r="U175" s="125">
        <v>0</v>
      </c>
      <c r="V175" s="125">
        <v>0</v>
      </c>
      <c r="W175" s="126">
        <v>21600</v>
      </c>
      <c r="X175" s="72"/>
      <c r="Y175" s="72"/>
      <c r="Z175" s="172"/>
    </row>
    <row r="176" spans="2:26" s="53" customFormat="1" x14ac:dyDescent="0.25">
      <c r="B176" s="549"/>
      <c r="C176" s="549"/>
      <c r="D176" s="95"/>
      <c r="E176" s="393"/>
      <c r="F176" s="121" t="s">
        <v>544</v>
      </c>
      <c r="G176" s="121" t="s">
        <v>545</v>
      </c>
      <c r="H176" s="121">
        <v>4</v>
      </c>
      <c r="I176" s="121">
        <v>4</v>
      </c>
      <c r="J176" s="121">
        <v>2</v>
      </c>
      <c r="K176" s="121">
        <v>0</v>
      </c>
      <c r="L176" s="121">
        <v>0</v>
      </c>
      <c r="M176" s="121">
        <v>0</v>
      </c>
      <c r="N176" s="121">
        <v>10</v>
      </c>
      <c r="O176" s="569">
        <v>50</v>
      </c>
      <c r="P176" s="569"/>
      <c r="Q176" s="125">
        <v>200</v>
      </c>
      <c r="R176" s="125">
        <v>200</v>
      </c>
      <c r="S176" s="125">
        <v>100</v>
      </c>
      <c r="T176" s="125">
        <v>0</v>
      </c>
      <c r="U176" s="125">
        <v>0</v>
      </c>
      <c r="V176" s="125">
        <v>0</v>
      </c>
      <c r="W176" s="126">
        <v>500</v>
      </c>
      <c r="X176" s="72"/>
      <c r="Y176" s="72"/>
      <c r="Z176" s="172"/>
    </row>
    <row r="177" spans="2:27" s="53" customFormat="1" x14ac:dyDescent="0.25">
      <c r="B177" s="549"/>
      <c r="C177" s="549"/>
      <c r="D177" s="95"/>
      <c r="E177" s="393" t="s">
        <v>546</v>
      </c>
      <c r="F177" s="121"/>
      <c r="G177" s="121"/>
      <c r="H177" s="121"/>
      <c r="I177" s="121"/>
      <c r="J177" s="121"/>
      <c r="K177" s="121"/>
      <c r="L177" s="121"/>
      <c r="M177" s="121"/>
      <c r="N177" s="121"/>
      <c r="O177" s="569"/>
      <c r="P177" s="569"/>
      <c r="Q177" s="125"/>
      <c r="R177" s="125"/>
      <c r="S177" s="125"/>
      <c r="T177" s="125"/>
      <c r="U177" s="125"/>
      <c r="V177" s="125"/>
      <c r="W177" s="126"/>
      <c r="X177" s="72"/>
      <c r="Y177" s="72"/>
      <c r="Z177" s="172"/>
    </row>
    <row r="178" spans="2:27" s="53" customFormat="1" ht="15.75" thickBot="1" x14ac:dyDescent="0.3">
      <c r="B178" s="549"/>
      <c r="C178" s="549"/>
      <c r="D178" s="96"/>
      <c r="E178" s="97"/>
      <c r="F178" s="128" t="s">
        <v>576</v>
      </c>
      <c r="G178" s="128" t="s">
        <v>548</v>
      </c>
      <c r="H178" s="128">
        <v>4</v>
      </c>
      <c r="I178" s="128">
        <v>4</v>
      </c>
      <c r="J178" s="128">
        <v>2</v>
      </c>
      <c r="K178" s="128">
        <v>0</v>
      </c>
      <c r="L178" s="128">
        <v>0</v>
      </c>
      <c r="M178" s="128">
        <v>0</v>
      </c>
      <c r="N178" s="128">
        <v>10</v>
      </c>
      <c r="O178" s="606">
        <v>1000</v>
      </c>
      <c r="P178" s="606"/>
      <c r="Q178" s="129">
        <v>4000</v>
      </c>
      <c r="R178" s="129">
        <v>4000</v>
      </c>
      <c r="S178" s="129">
        <v>2000</v>
      </c>
      <c r="T178" s="129">
        <v>0</v>
      </c>
      <c r="U178" s="129">
        <v>0</v>
      </c>
      <c r="V178" s="129">
        <v>0</v>
      </c>
      <c r="W178" s="130">
        <v>10000</v>
      </c>
      <c r="X178" s="72"/>
      <c r="Y178" s="72"/>
      <c r="Z178" s="172"/>
    </row>
    <row r="179" spans="2:27" s="53" customFormat="1" ht="14.45" customHeight="1" thickBot="1" x14ac:dyDescent="0.3">
      <c r="B179" s="548" t="s">
        <v>219</v>
      </c>
      <c r="C179" s="548" t="s">
        <v>243</v>
      </c>
      <c r="D179" s="526" t="s">
        <v>579</v>
      </c>
      <c r="E179" s="527"/>
      <c r="F179" s="527"/>
      <c r="G179" s="527"/>
      <c r="H179" s="527"/>
      <c r="I179" s="527"/>
      <c r="J179" s="527"/>
      <c r="K179" s="527"/>
      <c r="L179" s="527"/>
      <c r="M179" s="527"/>
      <c r="N179" s="527"/>
      <c r="O179" s="527"/>
      <c r="P179" s="527"/>
      <c r="Q179" s="527"/>
      <c r="R179" s="527"/>
      <c r="S179" s="527"/>
      <c r="T179" s="527"/>
      <c r="U179" s="527"/>
      <c r="V179" s="527"/>
      <c r="W179" s="528"/>
      <c r="X179" s="72"/>
      <c r="Y179" s="72"/>
      <c r="AA179" s="176">
        <f>+W182+W189</f>
        <v>305000</v>
      </c>
    </row>
    <row r="180" spans="2:27" s="53" customFormat="1" x14ac:dyDescent="0.25">
      <c r="B180" s="549"/>
      <c r="C180" s="549"/>
      <c r="D180" s="552" t="s">
        <v>580</v>
      </c>
      <c r="E180" s="553"/>
      <c r="F180" s="553"/>
      <c r="G180" s="599" t="s">
        <v>434</v>
      </c>
      <c r="H180" s="599">
        <v>2022</v>
      </c>
      <c r="I180" s="599">
        <v>2023</v>
      </c>
      <c r="J180" s="599">
        <v>2024</v>
      </c>
      <c r="K180" s="599">
        <v>2025</v>
      </c>
      <c r="L180" s="599">
        <v>2026</v>
      </c>
      <c r="M180" s="599">
        <v>2027</v>
      </c>
      <c r="N180" s="599" t="s">
        <v>429</v>
      </c>
      <c r="O180" s="601" t="s">
        <v>554</v>
      </c>
      <c r="P180" s="599"/>
      <c r="Q180" s="599">
        <v>2022</v>
      </c>
      <c r="R180" s="599">
        <v>2023</v>
      </c>
      <c r="S180" s="599">
        <v>2024</v>
      </c>
      <c r="T180" s="599">
        <v>2025</v>
      </c>
      <c r="U180" s="599">
        <v>2026</v>
      </c>
      <c r="V180" s="599">
        <v>2027</v>
      </c>
      <c r="W180" s="611" t="s">
        <v>429</v>
      </c>
      <c r="X180" s="72"/>
      <c r="Y180" s="72"/>
      <c r="Z180" s="172"/>
    </row>
    <row r="181" spans="2:27" s="53" customFormat="1" ht="15.75" thickBot="1" x14ac:dyDescent="0.3">
      <c r="B181" s="549"/>
      <c r="C181" s="549"/>
      <c r="D181" s="554"/>
      <c r="E181" s="555"/>
      <c r="F181" s="555"/>
      <c r="G181" s="600"/>
      <c r="H181" s="600"/>
      <c r="I181" s="600"/>
      <c r="J181" s="600"/>
      <c r="K181" s="600"/>
      <c r="L181" s="600"/>
      <c r="M181" s="600"/>
      <c r="N181" s="600"/>
      <c r="O181" s="602"/>
      <c r="P181" s="602"/>
      <c r="Q181" s="602"/>
      <c r="R181" s="602"/>
      <c r="S181" s="602"/>
      <c r="T181" s="602"/>
      <c r="U181" s="602"/>
      <c r="V181" s="602"/>
      <c r="W181" s="612"/>
      <c r="X181" s="72"/>
      <c r="Y181" s="72"/>
      <c r="Z181" s="172"/>
    </row>
    <row r="182" spans="2:27" s="53" customFormat="1" ht="28.9" customHeight="1" thickBot="1" x14ac:dyDescent="0.3">
      <c r="B182" s="549"/>
      <c r="C182" s="549"/>
      <c r="D182" s="592" t="s">
        <v>581</v>
      </c>
      <c r="E182" s="593"/>
      <c r="F182" s="593"/>
      <c r="G182" s="117" t="s">
        <v>582</v>
      </c>
      <c r="H182" s="117">
        <v>5</v>
      </c>
      <c r="I182" s="117">
        <v>10</v>
      </c>
      <c r="J182" s="117">
        <v>10</v>
      </c>
      <c r="K182" s="117">
        <v>5</v>
      </c>
      <c r="L182" s="117"/>
      <c r="M182" s="117"/>
      <c r="N182" s="117"/>
      <c r="O182" s="578"/>
      <c r="P182" s="579"/>
      <c r="Q182" s="136">
        <v>31250</v>
      </c>
      <c r="R182" s="119">
        <v>62500</v>
      </c>
      <c r="S182" s="119">
        <v>62500</v>
      </c>
      <c r="T182" s="119">
        <v>31250</v>
      </c>
      <c r="U182" s="119">
        <v>0</v>
      </c>
      <c r="V182" s="119">
        <v>0</v>
      </c>
      <c r="W182" s="120">
        <v>187500</v>
      </c>
      <c r="X182" s="72"/>
      <c r="Y182" s="72"/>
      <c r="Z182" s="172"/>
    </row>
    <row r="183" spans="2:27" s="53" customFormat="1" x14ac:dyDescent="0.25">
      <c r="B183" s="549"/>
      <c r="C183" s="549"/>
      <c r="D183" s="137"/>
      <c r="E183" s="393" t="s">
        <v>583</v>
      </c>
      <c r="F183" s="393"/>
      <c r="G183" s="127"/>
      <c r="H183" s="127"/>
      <c r="I183" s="127"/>
      <c r="J183" s="127"/>
      <c r="K183" s="127"/>
      <c r="L183" s="127"/>
      <c r="M183" s="127"/>
      <c r="N183" s="127"/>
      <c r="O183" s="595"/>
      <c r="P183" s="595"/>
      <c r="Q183" s="138"/>
      <c r="R183" s="138"/>
      <c r="S183" s="138"/>
      <c r="T183" s="138"/>
      <c r="U183" s="138"/>
      <c r="V183" s="138"/>
      <c r="W183" s="139"/>
      <c r="X183" s="72"/>
      <c r="Y183" s="72"/>
      <c r="Z183" s="172"/>
    </row>
    <row r="184" spans="2:27" s="53" customFormat="1" x14ac:dyDescent="0.25">
      <c r="B184" s="549"/>
      <c r="C184" s="549"/>
      <c r="D184" s="137"/>
      <c r="E184" s="393"/>
      <c r="F184" s="393" t="s">
        <v>584</v>
      </c>
      <c r="G184" s="127" t="s">
        <v>541</v>
      </c>
      <c r="H184" s="127">
        <v>5</v>
      </c>
      <c r="I184" s="127">
        <v>10</v>
      </c>
      <c r="J184" s="127">
        <v>10</v>
      </c>
      <c r="K184" s="127">
        <v>5</v>
      </c>
      <c r="L184" s="127">
        <v>0</v>
      </c>
      <c r="M184" s="127">
        <v>0</v>
      </c>
      <c r="N184" s="140">
        <v>30</v>
      </c>
      <c r="O184" s="569">
        <v>3000</v>
      </c>
      <c r="P184" s="569"/>
      <c r="Q184" s="140">
        <v>15000</v>
      </c>
      <c r="R184" s="140">
        <v>30000</v>
      </c>
      <c r="S184" s="140">
        <v>30000</v>
      </c>
      <c r="T184" s="140">
        <v>15000</v>
      </c>
      <c r="U184" s="140">
        <v>0</v>
      </c>
      <c r="V184" s="140">
        <v>0</v>
      </c>
      <c r="W184" s="141">
        <v>90000</v>
      </c>
      <c r="X184" s="72"/>
      <c r="Y184" s="72"/>
      <c r="Z184" s="172"/>
    </row>
    <row r="185" spans="2:27" s="53" customFormat="1" x14ac:dyDescent="0.25">
      <c r="B185" s="549"/>
      <c r="C185" s="549"/>
      <c r="D185" s="137"/>
      <c r="E185" s="121"/>
      <c r="F185" s="393" t="s">
        <v>585</v>
      </c>
      <c r="G185" s="127" t="s">
        <v>541</v>
      </c>
      <c r="H185" s="127">
        <v>500</v>
      </c>
      <c r="I185" s="140">
        <v>1000</v>
      </c>
      <c r="J185" s="140">
        <v>1000</v>
      </c>
      <c r="K185" s="127">
        <v>500</v>
      </c>
      <c r="L185" s="127">
        <v>0</v>
      </c>
      <c r="M185" s="127">
        <v>0</v>
      </c>
      <c r="N185" s="140">
        <v>3000</v>
      </c>
      <c r="O185" s="569">
        <v>10</v>
      </c>
      <c r="P185" s="569"/>
      <c r="Q185" s="140">
        <v>5000</v>
      </c>
      <c r="R185" s="140">
        <v>10000</v>
      </c>
      <c r="S185" s="140">
        <v>10000</v>
      </c>
      <c r="T185" s="140">
        <v>5000</v>
      </c>
      <c r="U185" s="140">
        <v>0</v>
      </c>
      <c r="V185" s="140">
        <v>0</v>
      </c>
      <c r="W185" s="141">
        <v>30000</v>
      </c>
      <c r="X185" s="72"/>
      <c r="Y185" s="72"/>
      <c r="Z185" s="172"/>
    </row>
    <row r="186" spans="2:27" s="53" customFormat="1" x14ac:dyDescent="0.25">
      <c r="B186" s="549"/>
      <c r="C186" s="549"/>
      <c r="D186" s="137"/>
      <c r="E186" s="393" t="s">
        <v>546</v>
      </c>
      <c r="F186" s="393"/>
      <c r="G186" s="127"/>
      <c r="H186" s="127"/>
      <c r="I186" s="127"/>
      <c r="J186" s="127"/>
      <c r="K186" s="127"/>
      <c r="L186" s="127"/>
      <c r="M186" s="127"/>
      <c r="N186" s="127"/>
      <c r="O186" s="578"/>
      <c r="P186" s="578"/>
      <c r="Q186" s="140"/>
      <c r="R186" s="140"/>
      <c r="S186" s="140"/>
      <c r="T186" s="140"/>
      <c r="U186" s="140"/>
      <c r="V186" s="140"/>
      <c r="W186" s="141"/>
      <c r="X186" s="72"/>
      <c r="Y186" s="72"/>
      <c r="Z186" s="172"/>
    </row>
    <row r="187" spans="2:27" s="53" customFormat="1" ht="15.75" thickBot="1" x14ac:dyDescent="0.3">
      <c r="B187" s="549"/>
      <c r="C187" s="549"/>
      <c r="D187" s="142"/>
      <c r="E187" s="97"/>
      <c r="F187" s="97" t="s">
        <v>586</v>
      </c>
      <c r="G187" s="143" t="s">
        <v>548</v>
      </c>
      <c r="H187" s="143">
        <v>15</v>
      </c>
      <c r="I187" s="143">
        <v>30</v>
      </c>
      <c r="J187" s="143">
        <v>30</v>
      </c>
      <c r="K187" s="143">
        <v>15</v>
      </c>
      <c r="L187" s="143">
        <v>0</v>
      </c>
      <c r="M187" s="143">
        <v>0</v>
      </c>
      <c r="N187" s="143">
        <v>90</v>
      </c>
      <c r="O187" s="598">
        <v>750</v>
      </c>
      <c r="P187" s="598"/>
      <c r="Q187" s="144">
        <v>11250</v>
      </c>
      <c r="R187" s="144">
        <v>22500</v>
      </c>
      <c r="S187" s="144">
        <v>22500</v>
      </c>
      <c r="T187" s="144">
        <v>11250</v>
      </c>
      <c r="U187" s="144">
        <v>0</v>
      </c>
      <c r="V187" s="144">
        <v>0</v>
      </c>
      <c r="W187" s="145">
        <v>67500</v>
      </c>
      <c r="X187" s="72"/>
      <c r="Y187" s="72"/>
      <c r="Z187" s="172"/>
    </row>
    <row r="188" spans="2:27" s="53" customFormat="1" ht="15.75" thickBot="1" x14ac:dyDescent="0.3">
      <c r="B188" s="597"/>
      <c r="C188" s="597"/>
      <c r="D188" s="146"/>
      <c r="E188" s="391"/>
      <c r="F188" s="391"/>
      <c r="G188" s="147"/>
      <c r="H188" s="147"/>
      <c r="I188" s="147"/>
      <c r="J188" s="147"/>
      <c r="K188" s="147"/>
      <c r="L188" s="147"/>
      <c r="M188" s="147"/>
      <c r="N188" s="147"/>
      <c r="O188" s="148"/>
      <c r="P188" s="148"/>
      <c r="Q188" s="147"/>
      <c r="R188" s="147"/>
      <c r="S188" s="147"/>
      <c r="T188" s="147"/>
      <c r="U188" s="147"/>
      <c r="V188" s="147"/>
      <c r="W188" s="147"/>
      <c r="X188" s="72"/>
      <c r="Y188" s="72"/>
      <c r="Z188" s="172"/>
    </row>
    <row r="189" spans="2:27" s="53" customFormat="1" ht="15.75" thickBot="1" x14ac:dyDescent="0.3">
      <c r="B189" s="549"/>
      <c r="C189" s="549"/>
      <c r="D189" s="395" t="s">
        <v>587</v>
      </c>
      <c r="E189" s="101"/>
      <c r="F189" s="101"/>
      <c r="G189" s="149" t="s">
        <v>582</v>
      </c>
      <c r="H189" s="149">
        <v>2</v>
      </c>
      <c r="I189" s="149">
        <v>4</v>
      </c>
      <c r="J189" s="149">
        <v>4</v>
      </c>
      <c r="K189" s="149"/>
      <c r="L189" s="149"/>
      <c r="M189" s="149"/>
      <c r="N189" s="149"/>
      <c r="O189" s="576"/>
      <c r="P189" s="577"/>
      <c r="Q189" s="136">
        <v>23500</v>
      </c>
      <c r="R189" s="119">
        <v>47000</v>
      </c>
      <c r="S189" s="119">
        <v>47000</v>
      </c>
      <c r="T189" s="150">
        <v>0</v>
      </c>
      <c r="U189" s="150">
        <v>0</v>
      </c>
      <c r="V189" s="150">
        <v>0</v>
      </c>
      <c r="W189" s="120">
        <v>117500</v>
      </c>
      <c r="X189" s="72"/>
      <c r="Y189" s="72"/>
      <c r="Z189" s="172"/>
    </row>
    <row r="190" spans="2:27" s="53" customFormat="1" x14ac:dyDescent="0.25">
      <c r="B190" s="549"/>
      <c r="C190" s="549"/>
      <c r="D190" s="137"/>
      <c r="E190" s="393" t="s">
        <v>583</v>
      </c>
      <c r="F190" s="393"/>
      <c r="G190" s="127"/>
      <c r="H190" s="127"/>
      <c r="I190" s="127"/>
      <c r="J190" s="127"/>
      <c r="K190" s="127"/>
      <c r="L190" s="127"/>
      <c r="M190" s="127"/>
      <c r="N190" s="127"/>
      <c r="O190" s="578"/>
      <c r="P190" s="578"/>
      <c r="Q190" s="138"/>
      <c r="R190" s="138"/>
      <c r="S190" s="138"/>
      <c r="T190" s="117"/>
      <c r="U190" s="117"/>
      <c r="V190" s="117"/>
      <c r="W190" s="139"/>
      <c r="X190" s="72"/>
      <c r="Y190" s="72"/>
      <c r="Z190" s="172"/>
    </row>
    <row r="191" spans="2:27" s="53" customFormat="1" x14ac:dyDescent="0.25">
      <c r="B191" s="549"/>
      <c r="C191" s="549"/>
      <c r="D191" s="137"/>
      <c r="E191" s="393"/>
      <c r="F191" s="393" t="s">
        <v>588</v>
      </c>
      <c r="G191" s="127" t="s">
        <v>541</v>
      </c>
      <c r="H191" s="127">
        <v>2</v>
      </c>
      <c r="I191" s="127">
        <v>4</v>
      </c>
      <c r="J191" s="127">
        <v>4</v>
      </c>
      <c r="K191" s="127">
        <v>0</v>
      </c>
      <c r="L191" s="127">
        <v>0</v>
      </c>
      <c r="M191" s="127">
        <v>0</v>
      </c>
      <c r="N191" s="127">
        <v>10</v>
      </c>
      <c r="O191" s="578">
        <v>7500</v>
      </c>
      <c r="P191" s="578"/>
      <c r="Q191" s="140">
        <v>15000</v>
      </c>
      <c r="R191" s="140">
        <v>30000</v>
      </c>
      <c r="S191" s="140">
        <v>30000</v>
      </c>
      <c r="T191" s="127">
        <v>0</v>
      </c>
      <c r="U191" s="127">
        <v>0</v>
      </c>
      <c r="V191" s="127">
        <v>0</v>
      </c>
      <c r="W191" s="141">
        <v>75000</v>
      </c>
      <c r="X191" s="72"/>
      <c r="Y191" s="72"/>
      <c r="Z191" s="172"/>
    </row>
    <row r="192" spans="2:27" s="53" customFormat="1" ht="30" x14ac:dyDescent="0.25">
      <c r="B192" s="549"/>
      <c r="C192" s="549"/>
      <c r="D192" s="137"/>
      <c r="E192" s="393"/>
      <c r="F192" s="388" t="s">
        <v>589</v>
      </c>
      <c r="G192" s="127" t="s">
        <v>590</v>
      </c>
      <c r="H192" s="127">
        <v>20</v>
      </c>
      <c r="I192" s="127">
        <v>40</v>
      </c>
      <c r="J192" s="127">
        <v>40</v>
      </c>
      <c r="K192" s="127">
        <v>0</v>
      </c>
      <c r="L192" s="127">
        <v>0</v>
      </c>
      <c r="M192" s="127">
        <v>0</v>
      </c>
      <c r="N192" s="127">
        <v>0</v>
      </c>
      <c r="O192" s="578">
        <v>200</v>
      </c>
      <c r="P192" s="578"/>
      <c r="Q192" s="140">
        <v>4000</v>
      </c>
      <c r="R192" s="140">
        <v>8000</v>
      </c>
      <c r="S192" s="140">
        <v>8000</v>
      </c>
      <c r="T192" s="127">
        <v>0</v>
      </c>
      <c r="U192" s="127">
        <v>0</v>
      </c>
      <c r="V192" s="127">
        <v>0</v>
      </c>
      <c r="W192" s="141">
        <v>20000</v>
      </c>
      <c r="X192" s="72"/>
      <c r="Y192" s="72"/>
      <c r="Z192" s="172"/>
    </row>
    <row r="193" spans="1:39" s="53" customFormat="1" x14ac:dyDescent="0.25">
      <c r="B193" s="549"/>
      <c r="C193" s="549"/>
      <c r="D193" s="137"/>
      <c r="E193" s="393" t="s">
        <v>546</v>
      </c>
      <c r="F193" s="393"/>
      <c r="G193" s="127"/>
      <c r="H193" s="127"/>
      <c r="I193" s="127"/>
      <c r="J193" s="127"/>
      <c r="K193" s="127"/>
      <c r="L193" s="127"/>
      <c r="M193" s="127"/>
      <c r="N193" s="127"/>
      <c r="O193" s="578"/>
      <c r="P193" s="578"/>
      <c r="Q193" s="140"/>
      <c r="R193" s="140"/>
      <c r="S193" s="140"/>
      <c r="T193" s="127"/>
      <c r="U193" s="127"/>
      <c r="V193" s="127"/>
      <c r="W193" s="141"/>
      <c r="X193" s="72"/>
      <c r="Y193" s="72"/>
      <c r="Z193" s="172"/>
    </row>
    <row r="194" spans="1:39" s="53" customFormat="1" ht="30.75" thickBot="1" x14ac:dyDescent="0.3">
      <c r="B194" s="549"/>
      <c r="C194" s="549"/>
      <c r="D194" s="142"/>
      <c r="E194" s="97"/>
      <c r="F194" s="151" t="s">
        <v>591</v>
      </c>
      <c r="G194" s="143" t="s">
        <v>548</v>
      </c>
      <c r="H194" s="143">
        <v>6</v>
      </c>
      <c r="I194" s="143">
        <v>12</v>
      </c>
      <c r="J194" s="143">
        <v>12</v>
      </c>
      <c r="K194" s="143">
        <v>0</v>
      </c>
      <c r="L194" s="143">
        <v>0</v>
      </c>
      <c r="M194" s="143">
        <v>0</v>
      </c>
      <c r="N194" s="143">
        <v>30</v>
      </c>
      <c r="O194" s="598">
        <v>750</v>
      </c>
      <c r="P194" s="598"/>
      <c r="Q194" s="144">
        <v>4500</v>
      </c>
      <c r="R194" s="144">
        <v>9000</v>
      </c>
      <c r="S194" s="144">
        <v>9000</v>
      </c>
      <c r="T194" s="143">
        <v>0</v>
      </c>
      <c r="U194" s="143">
        <v>0</v>
      </c>
      <c r="V194" s="143">
        <v>0</v>
      </c>
      <c r="W194" s="145">
        <v>22500</v>
      </c>
      <c r="X194" s="72"/>
      <c r="Y194" s="72"/>
      <c r="Z194" s="172"/>
    </row>
    <row r="195" spans="1:39" s="53" customFormat="1" ht="15" customHeight="1" x14ac:dyDescent="0.25">
      <c r="B195" s="73" t="s">
        <v>221</v>
      </c>
      <c r="C195" s="73" t="s">
        <v>247</v>
      </c>
      <c r="D195" s="492" t="s">
        <v>592</v>
      </c>
      <c r="E195" s="493"/>
      <c r="F195" s="493"/>
      <c r="G195" s="493"/>
      <c r="H195" s="493"/>
      <c r="I195" s="493"/>
      <c r="J195" s="493"/>
      <c r="K195" s="493"/>
      <c r="L195" s="493"/>
      <c r="M195" s="493"/>
      <c r="N195" s="493"/>
      <c r="O195" s="493"/>
      <c r="P195" s="493"/>
      <c r="Q195" s="493"/>
      <c r="R195" s="493"/>
      <c r="S195" s="493"/>
      <c r="T195" s="493"/>
      <c r="U195" s="493"/>
      <c r="V195" s="493"/>
      <c r="W195" s="494"/>
      <c r="X195" s="82" t="s">
        <v>593</v>
      </c>
      <c r="Y195" s="189">
        <v>6</v>
      </c>
      <c r="Z195" s="153">
        <v>100000</v>
      </c>
      <c r="AA195" s="159">
        <f>Y195*Z195</f>
        <v>600000</v>
      </c>
    </row>
    <row r="196" spans="1:39" s="53" customFormat="1" ht="15" customHeight="1" x14ac:dyDescent="0.25">
      <c r="B196" s="73" t="s">
        <v>223</v>
      </c>
      <c r="C196" s="73" t="s">
        <v>249</v>
      </c>
      <c r="D196" s="492" t="s">
        <v>776</v>
      </c>
      <c r="E196" s="493"/>
      <c r="F196" s="493"/>
      <c r="G196" s="493"/>
      <c r="H196" s="493"/>
      <c r="I196" s="493"/>
      <c r="J196" s="493"/>
      <c r="K196" s="493"/>
      <c r="L196" s="493"/>
      <c r="M196" s="493"/>
      <c r="N196" s="493"/>
      <c r="O196" s="493"/>
      <c r="P196" s="493"/>
      <c r="Q196" s="493"/>
      <c r="R196" s="493"/>
      <c r="S196" s="493"/>
      <c r="T196" s="493"/>
      <c r="U196" s="493"/>
      <c r="V196" s="493"/>
      <c r="W196" s="494"/>
      <c r="X196" s="408" t="s">
        <v>443</v>
      </c>
      <c r="Y196" s="409">
        <v>72</v>
      </c>
      <c r="Z196" s="158">
        <v>1700</v>
      </c>
      <c r="AA196" s="259">
        <f t="shared" ref="AA196:AA267" si="7">Y196*Z196</f>
        <v>122400</v>
      </c>
      <c r="AB196" s="405"/>
    </row>
    <row r="197" spans="1:39" s="53" customFormat="1" ht="15" customHeight="1" x14ac:dyDescent="0.25">
      <c r="B197" s="73" t="s">
        <v>224</v>
      </c>
      <c r="C197" s="73" t="s">
        <v>251</v>
      </c>
      <c r="D197" s="492" t="s">
        <v>777</v>
      </c>
      <c r="E197" s="493"/>
      <c r="F197" s="493"/>
      <c r="G197" s="493"/>
      <c r="H197" s="493"/>
      <c r="I197" s="493"/>
      <c r="J197" s="493"/>
      <c r="K197" s="493"/>
      <c r="L197" s="493"/>
      <c r="M197" s="493"/>
      <c r="N197" s="493"/>
      <c r="O197" s="493"/>
      <c r="P197" s="493"/>
      <c r="Q197" s="493"/>
      <c r="R197" s="493"/>
      <c r="S197" s="493"/>
      <c r="T197" s="493"/>
      <c r="U197" s="493"/>
      <c r="V197" s="493"/>
      <c r="W197" s="494"/>
      <c r="X197" s="82" t="s">
        <v>593</v>
      </c>
      <c r="Y197" s="189">
        <f>7.5*5</f>
        <v>37.5</v>
      </c>
      <c r="Z197" s="153">
        <v>2000</v>
      </c>
      <c r="AA197" s="159">
        <f t="shared" si="7"/>
        <v>75000</v>
      </c>
    </row>
    <row r="198" spans="1:39" s="53" customFormat="1" ht="45" customHeight="1" x14ac:dyDescent="0.25">
      <c r="A198" s="53" t="s">
        <v>594</v>
      </c>
      <c r="B198" t="s">
        <v>439</v>
      </c>
      <c r="C198" s="495" t="s">
        <v>14</v>
      </c>
      <c r="D198" s="496"/>
      <c r="E198" s="496"/>
      <c r="F198" s="496"/>
      <c r="G198" s="496"/>
      <c r="H198" s="496"/>
      <c r="I198" s="496"/>
      <c r="J198" s="496"/>
      <c r="K198" s="496"/>
      <c r="L198" s="496"/>
      <c r="M198" s="496"/>
      <c r="N198" s="496"/>
      <c r="O198" s="496"/>
      <c r="P198" s="496"/>
      <c r="Q198" s="496"/>
      <c r="R198" s="496"/>
      <c r="S198" s="496"/>
      <c r="T198" s="496"/>
      <c r="U198" s="496"/>
      <c r="V198" s="496"/>
      <c r="W198" s="497"/>
      <c r="X198" s="190"/>
      <c r="Y198" s="191"/>
      <c r="Z198" s="191"/>
      <c r="AA198" s="192"/>
      <c r="AB198" s="193">
        <f>+SUM(AA199:AA274)</f>
        <v>3656450</v>
      </c>
      <c r="AC198" s="194"/>
      <c r="AD198" s="194"/>
      <c r="AE198" s="194"/>
      <c r="AF198" s="194"/>
      <c r="AG198" s="194"/>
      <c r="AH198" s="194"/>
      <c r="AI198" s="194"/>
      <c r="AJ198" s="194"/>
      <c r="AK198" s="194"/>
      <c r="AL198" s="194"/>
      <c r="AM198" s="194"/>
    </row>
    <row r="199" spans="1:39" s="53" customFormat="1" ht="30" customHeight="1" x14ac:dyDescent="0.25">
      <c r="B199" s="73" t="s">
        <v>258</v>
      </c>
      <c r="C199" s="406" t="s">
        <v>258</v>
      </c>
      <c r="D199" s="492" t="s">
        <v>778</v>
      </c>
      <c r="E199" s="493"/>
      <c r="F199" s="493"/>
      <c r="G199" s="493"/>
      <c r="H199" s="493"/>
      <c r="I199" s="493"/>
      <c r="J199" s="493"/>
      <c r="K199" s="493"/>
      <c r="L199" s="493"/>
      <c r="M199" s="493"/>
      <c r="N199" s="493"/>
      <c r="O199" s="493"/>
      <c r="P199" s="493"/>
      <c r="Q199" s="493"/>
      <c r="R199" s="493"/>
      <c r="S199" s="493"/>
      <c r="T199" s="493"/>
      <c r="U199" s="493"/>
      <c r="V199" s="493"/>
      <c r="W199" s="494"/>
      <c r="X199" s="82" t="s">
        <v>511</v>
      </c>
      <c r="Y199" s="153">
        <v>1</v>
      </c>
      <c r="Z199" s="153">
        <v>50000</v>
      </c>
      <c r="AA199" s="159">
        <f t="shared" si="7"/>
        <v>50000</v>
      </c>
      <c r="AB199" s="53">
        <v>25</v>
      </c>
      <c r="AC199" s="204">
        <f>+AB199*3</f>
        <v>75</v>
      </c>
      <c r="AD199" s="53" t="s">
        <v>595</v>
      </c>
    </row>
    <row r="200" spans="1:39" s="53" customFormat="1" ht="15" customHeight="1" x14ac:dyDescent="0.25">
      <c r="B200" s="73" t="s">
        <v>260</v>
      </c>
      <c r="C200" s="406" t="s">
        <v>260</v>
      </c>
      <c r="D200" s="492" t="s">
        <v>596</v>
      </c>
      <c r="E200" s="493"/>
      <c r="F200" s="493"/>
      <c r="G200" s="493"/>
      <c r="H200" s="493"/>
      <c r="I200" s="493"/>
      <c r="J200" s="493"/>
      <c r="K200" s="493"/>
      <c r="L200" s="493"/>
      <c r="M200" s="493"/>
      <c r="N200" s="493"/>
      <c r="O200" s="493"/>
      <c r="P200" s="493"/>
      <c r="Q200" s="493"/>
      <c r="R200" s="493"/>
      <c r="S200" s="493"/>
      <c r="T200" s="493"/>
      <c r="U200" s="493"/>
      <c r="V200" s="493"/>
      <c r="W200" s="494"/>
      <c r="X200" s="82" t="s">
        <v>597</v>
      </c>
      <c r="Y200" s="153">
        <v>1</v>
      </c>
      <c r="Z200" s="153">
        <v>20000</v>
      </c>
      <c r="AA200" s="159">
        <f t="shared" si="7"/>
        <v>20000</v>
      </c>
      <c r="AC200" s="204"/>
    </row>
    <row r="201" spans="1:39" s="53" customFormat="1" ht="15" customHeight="1" x14ac:dyDescent="0.25">
      <c r="A201" s="53" t="s">
        <v>447</v>
      </c>
      <c r="B201" s="73" t="s">
        <v>261</v>
      </c>
      <c r="C201" s="406" t="s">
        <v>261</v>
      </c>
      <c r="D201" s="492" t="s">
        <v>598</v>
      </c>
      <c r="E201" s="493"/>
      <c r="F201" s="493"/>
      <c r="G201" s="493"/>
      <c r="H201" s="493"/>
      <c r="I201" s="493"/>
      <c r="J201" s="493"/>
      <c r="K201" s="493"/>
      <c r="L201" s="493"/>
      <c r="M201" s="493"/>
      <c r="N201" s="493"/>
      <c r="O201" s="493"/>
      <c r="P201" s="493"/>
      <c r="Q201" s="493"/>
      <c r="R201" s="493"/>
      <c r="S201" s="493"/>
      <c r="T201" s="493"/>
      <c r="U201" s="493"/>
      <c r="V201" s="493"/>
      <c r="W201" s="494"/>
      <c r="X201" s="82" t="s">
        <v>458</v>
      </c>
      <c r="Y201" s="153">
        <v>2</v>
      </c>
      <c r="Z201" s="153">
        <v>20000</v>
      </c>
      <c r="AA201" s="159">
        <f t="shared" si="7"/>
        <v>40000</v>
      </c>
    </row>
    <row r="202" spans="1:39" s="53" customFormat="1" ht="15" customHeight="1" x14ac:dyDescent="0.25">
      <c r="B202" s="73" t="s">
        <v>263</v>
      </c>
      <c r="C202" s="406" t="s">
        <v>263</v>
      </c>
      <c r="D202" s="492" t="s">
        <v>779</v>
      </c>
      <c r="E202" s="493"/>
      <c r="F202" s="493"/>
      <c r="G202" s="493"/>
      <c r="H202" s="493"/>
      <c r="I202" s="493"/>
      <c r="J202" s="493"/>
      <c r="K202" s="493"/>
      <c r="L202" s="493"/>
      <c r="M202" s="493"/>
      <c r="N202" s="493"/>
      <c r="O202" s="493"/>
      <c r="P202" s="493"/>
      <c r="Q202" s="493"/>
      <c r="R202" s="493"/>
      <c r="S202" s="493"/>
      <c r="T202" s="493"/>
      <c r="U202" s="493"/>
      <c r="V202" s="493"/>
      <c r="W202" s="494"/>
      <c r="X202" s="82" t="s">
        <v>599</v>
      </c>
      <c r="Y202" s="158">
        <v>30</v>
      </c>
      <c r="Z202" s="153">
        <v>1000</v>
      </c>
      <c r="AA202" s="159">
        <f t="shared" si="7"/>
        <v>30000</v>
      </c>
    </row>
    <row r="203" spans="1:39" s="53" customFormat="1" ht="15" customHeight="1" x14ac:dyDescent="0.25">
      <c r="B203" s="73" t="s">
        <v>265</v>
      </c>
      <c r="C203" s="73" t="s">
        <v>265</v>
      </c>
      <c r="D203" s="492" t="s">
        <v>600</v>
      </c>
      <c r="E203" s="493"/>
      <c r="F203" s="493"/>
      <c r="G203" s="493"/>
      <c r="H203" s="493"/>
      <c r="I203" s="493"/>
      <c r="J203" s="493"/>
      <c r="K203" s="493"/>
      <c r="L203" s="493"/>
      <c r="M203" s="493"/>
      <c r="N203" s="493"/>
      <c r="O203" s="493"/>
      <c r="P203" s="493"/>
      <c r="Q203" s="493"/>
      <c r="R203" s="493"/>
      <c r="S203" s="493"/>
      <c r="T203" s="493"/>
      <c r="U203" s="493"/>
      <c r="V203" s="493"/>
      <c r="W203" s="494"/>
      <c r="X203" s="82" t="s">
        <v>441</v>
      </c>
      <c r="Y203" s="153">
        <f>20*4</f>
        <v>80</v>
      </c>
      <c r="Z203" s="153">
        <v>500</v>
      </c>
      <c r="AA203" s="159">
        <f t="shared" si="7"/>
        <v>40000</v>
      </c>
    </row>
    <row r="204" spans="1:39" s="53" customFormat="1" ht="15" customHeight="1" x14ac:dyDescent="0.25">
      <c r="B204" s="73" t="s">
        <v>266</v>
      </c>
      <c r="C204" s="73" t="s">
        <v>266</v>
      </c>
      <c r="D204" s="492" t="s">
        <v>601</v>
      </c>
      <c r="E204" s="493"/>
      <c r="F204" s="493"/>
      <c r="G204" s="493"/>
      <c r="H204" s="493"/>
      <c r="I204" s="493"/>
      <c r="J204" s="493"/>
      <c r="K204" s="493"/>
      <c r="L204" s="493"/>
      <c r="M204" s="493"/>
      <c r="N204" s="493"/>
      <c r="O204" s="493"/>
      <c r="P204" s="493"/>
      <c r="Q204" s="493"/>
      <c r="R204" s="493"/>
      <c r="S204" s="493"/>
      <c r="T204" s="493"/>
      <c r="U204" s="493"/>
      <c r="V204" s="493"/>
      <c r="W204" s="494"/>
      <c r="X204" s="82" t="s">
        <v>441</v>
      </c>
      <c r="Y204" s="153">
        <f>30*4</f>
        <v>120</v>
      </c>
      <c r="Z204" s="153">
        <v>250</v>
      </c>
      <c r="AA204" s="159">
        <f t="shared" si="7"/>
        <v>30000</v>
      </c>
    </row>
    <row r="205" spans="1:39" s="53" customFormat="1" ht="33" customHeight="1" x14ac:dyDescent="0.25">
      <c r="A205" s="53" t="s">
        <v>447</v>
      </c>
      <c r="B205" s="73" t="s">
        <v>268</v>
      </c>
      <c r="C205" s="73" t="s">
        <v>268</v>
      </c>
      <c r="D205" s="492" t="s">
        <v>780</v>
      </c>
      <c r="E205" s="493"/>
      <c r="F205" s="493"/>
      <c r="G205" s="493"/>
      <c r="H205" s="493"/>
      <c r="I205" s="493"/>
      <c r="J205" s="493"/>
      <c r="K205" s="493"/>
      <c r="L205" s="493"/>
      <c r="M205" s="493"/>
      <c r="N205" s="493"/>
      <c r="O205" s="493"/>
      <c r="P205" s="493"/>
      <c r="Q205" s="493"/>
      <c r="R205" s="493"/>
      <c r="S205" s="493"/>
      <c r="T205" s="493"/>
      <c r="U205" s="493"/>
      <c r="V205" s="493"/>
      <c r="W205" s="494"/>
      <c r="X205" s="82" t="s">
        <v>510</v>
      </c>
      <c r="Y205" s="153">
        <v>4</v>
      </c>
      <c r="Z205" s="153">
        <v>2500</v>
      </c>
      <c r="AA205" s="159">
        <f t="shared" si="7"/>
        <v>10000</v>
      </c>
      <c r="AB205" s="53">
        <v>20</v>
      </c>
      <c r="AC205" s="204">
        <f>+AB205*Y205</f>
        <v>80</v>
      </c>
      <c r="AD205" s="53" t="s">
        <v>595</v>
      </c>
    </row>
    <row r="206" spans="1:39" s="53" customFormat="1" ht="21" customHeight="1" x14ac:dyDescent="0.35">
      <c r="A206" s="228" t="s">
        <v>316</v>
      </c>
      <c r="B206" s="228" t="s">
        <v>316</v>
      </c>
      <c r="C206" s="73" t="s">
        <v>269</v>
      </c>
      <c r="D206" s="492" t="s">
        <v>270</v>
      </c>
      <c r="E206" s="493"/>
      <c r="F206" s="493"/>
      <c r="G206" s="493"/>
      <c r="H206" s="493"/>
      <c r="I206" s="493"/>
      <c r="J206" s="493"/>
      <c r="K206" s="493"/>
      <c r="L206" s="493"/>
      <c r="M206" s="493"/>
      <c r="N206" s="493"/>
      <c r="O206" s="493"/>
      <c r="P206" s="493"/>
      <c r="Q206" s="493"/>
      <c r="R206" s="493"/>
      <c r="S206" s="493"/>
      <c r="T206" s="493"/>
      <c r="U206" s="493"/>
      <c r="V206" s="493"/>
      <c r="W206" s="494"/>
      <c r="X206" s="82" t="s">
        <v>443</v>
      </c>
      <c r="Y206" s="153">
        <f>1*4</f>
        <v>4</v>
      </c>
      <c r="Z206" s="153">
        <v>2500</v>
      </c>
      <c r="AA206" s="159">
        <f t="shared" si="7"/>
        <v>10000</v>
      </c>
    </row>
    <row r="207" spans="1:39" s="53" customFormat="1" ht="30" customHeight="1" x14ac:dyDescent="0.25">
      <c r="B207" s="73" t="s">
        <v>269</v>
      </c>
      <c r="C207" s="73" t="s">
        <v>271</v>
      </c>
      <c r="D207" s="492" t="s">
        <v>602</v>
      </c>
      <c r="E207" s="493"/>
      <c r="F207" s="493"/>
      <c r="G207" s="493"/>
      <c r="H207" s="493"/>
      <c r="I207" s="493"/>
      <c r="J207" s="493"/>
      <c r="K207" s="493"/>
      <c r="L207" s="493"/>
      <c r="M207" s="493"/>
      <c r="N207" s="493"/>
      <c r="O207" s="493"/>
      <c r="P207" s="493"/>
      <c r="Q207" s="493"/>
      <c r="R207" s="493"/>
      <c r="S207" s="493"/>
      <c r="T207" s="493"/>
      <c r="U207" s="493"/>
      <c r="V207" s="493"/>
      <c r="W207" s="494"/>
      <c r="X207" s="82" t="s">
        <v>603</v>
      </c>
      <c r="Y207" s="153">
        <v>4</v>
      </c>
      <c r="Z207" s="153">
        <v>10000</v>
      </c>
      <c r="AA207" s="159">
        <f t="shared" si="7"/>
        <v>40000</v>
      </c>
      <c r="AB207" s="53">
        <v>60</v>
      </c>
      <c r="AC207" s="204">
        <f>+AB207*Y207</f>
        <v>240</v>
      </c>
      <c r="AD207" s="53" t="s">
        <v>604</v>
      </c>
    </row>
    <row r="208" spans="1:39" s="53" customFormat="1" ht="15" customHeight="1" x14ac:dyDescent="0.25">
      <c r="B208" s="73" t="s">
        <v>271</v>
      </c>
      <c r="C208" s="73" t="s">
        <v>275</v>
      </c>
      <c r="D208" s="492" t="s">
        <v>605</v>
      </c>
      <c r="E208" s="493"/>
      <c r="F208" s="493"/>
      <c r="G208" s="493"/>
      <c r="H208" s="493"/>
      <c r="I208" s="493"/>
      <c r="J208" s="493"/>
      <c r="K208" s="493"/>
      <c r="L208" s="493"/>
      <c r="M208" s="493"/>
      <c r="N208" s="493"/>
      <c r="O208" s="493"/>
      <c r="P208" s="493"/>
      <c r="Q208" s="493"/>
      <c r="R208" s="493"/>
      <c r="S208" s="493"/>
      <c r="T208" s="493"/>
      <c r="U208" s="493"/>
      <c r="V208" s="493"/>
      <c r="W208" s="494"/>
      <c r="X208" s="82" t="s">
        <v>511</v>
      </c>
      <c r="Y208" s="153">
        <v>1</v>
      </c>
      <c r="Z208" s="153">
        <v>15000</v>
      </c>
      <c r="AA208" s="159">
        <f t="shared" si="7"/>
        <v>15000</v>
      </c>
    </row>
    <row r="209" spans="1:30" s="53" customFormat="1" ht="15" customHeight="1" x14ac:dyDescent="0.25">
      <c r="B209" s="73" t="s">
        <v>275</v>
      </c>
      <c r="C209" s="73" t="s">
        <v>276</v>
      </c>
      <c r="D209" s="492" t="s">
        <v>606</v>
      </c>
      <c r="E209" s="493"/>
      <c r="F209" s="493"/>
      <c r="G209" s="493"/>
      <c r="H209" s="493"/>
      <c r="I209" s="493"/>
      <c r="J209" s="493"/>
      <c r="K209" s="493"/>
      <c r="L209" s="493"/>
      <c r="M209" s="493"/>
      <c r="N209" s="493"/>
      <c r="O209" s="493"/>
      <c r="P209" s="493"/>
      <c r="Q209" s="493"/>
      <c r="R209" s="493"/>
      <c r="S209" s="493"/>
      <c r="T209" s="493"/>
      <c r="U209" s="493"/>
      <c r="V209" s="493"/>
      <c r="W209" s="494"/>
      <c r="X209" s="82" t="s">
        <v>511</v>
      </c>
      <c r="Y209" s="153">
        <v>1</v>
      </c>
      <c r="Z209" s="153">
        <v>10000</v>
      </c>
      <c r="AA209" s="159">
        <f t="shared" si="7"/>
        <v>10000</v>
      </c>
    </row>
    <row r="210" spans="1:30" s="53" customFormat="1" ht="28.9" customHeight="1" x14ac:dyDescent="0.25">
      <c r="A210" s="405" t="s">
        <v>447</v>
      </c>
      <c r="B210" s="406" t="s">
        <v>276</v>
      </c>
      <c r="C210" s="406" t="s">
        <v>278</v>
      </c>
      <c r="D210" s="489" t="s">
        <v>781</v>
      </c>
      <c r="E210" s="490"/>
      <c r="F210" s="490"/>
      <c r="G210" s="490"/>
      <c r="H210" s="490"/>
      <c r="I210" s="490"/>
      <c r="J210" s="490"/>
      <c r="K210" s="490"/>
      <c r="L210" s="490"/>
      <c r="M210" s="490"/>
      <c r="N210" s="490"/>
      <c r="O210" s="490"/>
      <c r="P210" s="490"/>
      <c r="Q210" s="490"/>
      <c r="R210" s="490"/>
      <c r="S210" s="490"/>
      <c r="T210" s="490"/>
      <c r="U210" s="490"/>
      <c r="V210" s="490"/>
      <c r="W210" s="491"/>
      <c r="X210" s="82" t="s">
        <v>510</v>
      </c>
      <c r="Y210" s="153">
        <v>2</v>
      </c>
      <c r="Z210" s="153">
        <v>10000</v>
      </c>
      <c r="AA210" s="159">
        <f>Y210*Z210</f>
        <v>20000</v>
      </c>
      <c r="AB210" s="53">
        <v>50</v>
      </c>
      <c r="AC210" s="204">
        <f>+AB210*Y210</f>
        <v>100</v>
      </c>
      <c r="AD210" s="53" t="s">
        <v>595</v>
      </c>
    </row>
    <row r="211" spans="1:30" s="53" customFormat="1" ht="15" customHeight="1" x14ac:dyDescent="0.25">
      <c r="A211" s="405"/>
      <c r="B211" s="406" t="s">
        <v>278</v>
      </c>
      <c r="C211" s="406" t="s">
        <v>279</v>
      </c>
      <c r="D211" s="489" t="s">
        <v>607</v>
      </c>
      <c r="E211" s="490"/>
      <c r="F211" s="490"/>
      <c r="G211" s="490"/>
      <c r="H211" s="490"/>
      <c r="I211" s="490"/>
      <c r="J211" s="490"/>
      <c r="K211" s="490"/>
      <c r="L211" s="490"/>
      <c r="M211" s="490"/>
      <c r="N211" s="490"/>
      <c r="O211" s="490"/>
      <c r="P211" s="490"/>
      <c r="Q211" s="490"/>
      <c r="R211" s="490"/>
      <c r="S211" s="490"/>
      <c r="T211" s="490"/>
      <c r="U211" s="490"/>
      <c r="V211" s="490"/>
      <c r="W211" s="491"/>
      <c r="X211" s="82" t="s">
        <v>376</v>
      </c>
      <c r="Y211" s="153">
        <v>1</v>
      </c>
      <c r="Z211" s="153">
        <v>50450</v>
      </c>
      <c r="AA211" s="159">
        <f>Y211*Z211</f>
        <v>50450</v>
      </c>
    </row>
    <row r="212" spans="1:30" s="53" customFormat="1" ht="15" customHeight="1" x14ac:dyDescent="0.25">
      <c r="A212" s="405" t="s">
        <v>518</v>
      </c>
      <c r="B212" s="406" t="s">
        <v>279</v>
      </c>
      <c r="C212" s="406" t="s">
        <v>280</v>
      </c>
      <c r="D212" s="489" t="s">
        <v>608</v>
      </c>
      <c r="E212" s="490"/>
      <c r="F212" s="490"/>
      <c r="G212" s="490"/>
      <c r="H212" s="490"/>
      <c r="I212" s="490"/>
      <c r="J212" s="490"/>
      <c r="K212" s="490"/>
      <c r="L212" s="490"/>
      <c r="M212" s="490"/>
      <c r="N212" s="490"/>
      <c r="O212" s="490"/>
      <c r="P212" s="490"/>
      <c r="Q212" s="490"/>
      <c r="R212" s="490"/>
      <c r="S212" s="490"/>
      <c r="T212" s="490"/>
      <c r="U212" s="490"/>
      <c r="V212" s="490"/>
      <c r="W212" s="491"/>
      <c r="X212" s="82" t="s">
        <v>609</v>
      </c>
      <c r="Y212" s="153">
        <v>1</v>
      </c>
      <c r="Z212" s="153">
        <v>24500</v>
      </c>
      <c r="AA212" s="159">
        <f t="shared" si="7"/>
        <v>24500</v>
      </c>
    </row>
    <row r="213" spans="1:30" s="53" customFormat="1" ht="33" customHeight="1" x14ac:dyDescent="0.35">
      <c r="A213" s="405"/>
      <c r="B213" s="407" t="s">
        <v>316</v>
      </c>
      <c r="C213" s="406" t="s">
        <v>281</v>
      </c>
      <c r="D213" s="489" t="s">
        <v>782</v>
      </c>
      <c r="E213" s="490"/>
      <c r="F213" s="490"/>
      <c r="G213" s="490"/>
      <c r="H213" s="490"/>
      <c r="I213" s="490"/>
      <c r="J213" s="490"/>
      <c r="K213" s="490"/>
      <c r="L213" s="490"/>
      <c r="M213" s="490"/>
      <c r="N213" s="490"/>
      <c r="O213" s="490"/>
      <c r="P213" s="490"/>
      <c r="Q213" s="490"/>
      <c r="R213" s="490"/>
      <c r="S213" s="490"/>
      <c r="T213" s="490"/>
      <c r="U213" s="490"/>
      <c r="V213" s="490"/>
      <c r="W213" s="491"/>
      <c r="X213" s="82" t="s">
        <v>610</v>
      </c>
      <c r="Y213" s="153">
        <v>3</v>
      </c>
      <c r="Z213" s="153">
        <v>8500</v>
      </c>
      <c r="AA213" s="159">
        <f t="shared" si="7"/>
        <v>25500</v>
      </c>
    </row>
    <row r="214" spans="1:30" s="53" customFormat="1" ht="15" customHeight="1" x14ac:dyDescent="0.25">
      <c r="A214" s="405"/>
      <c r="B214" s="406" t="s">
        <v>280</v>
      </c>
      <c r="C214" s="406" t="s">
        <v>282</v>
      </c>
      <c r="D214" s="489" t="s">
        <v>783</v>
      </c>
      <c r="E214" s="490"/>
      <c r="F214" s="490"/>
      <c r="G214" s="490"/>
      <c r="H214" s="490"/>
      <c r="I214" s="490"/>
      <c r="J214" s="490"/>
      <c r="K214" s="490"/>
      <c r="L214" s="490"/>
      <c r="M214" s="490"/>
      <c r="N214" s="490"/>
      <c r="O214" s="490"/>
      <c r="P214" s="490"/>
      <c r="Q214" s="490"/>
      <c r="R214" s="490"/>
      <c r="S214" s="490"/>
      <c r="T214" s="490"/>
      <c r="U214" s="490"/>
      <c r="V214" s="490"/>
      <c r="W214" s="491"/>
      <c r="X214" s="82" t="s">
        <v>611</v>
      </c>
      <c r="Y214" s="153">
        <v>4</v>
      </c>
      <c r="Z214" s="153">
        <v>8000</v>
      </c>
      <c r="AA214" s="159">
        <f t="shared" si="7"/>
        <v>32000</v>
      </c>
    </row>
    <row r="215" spans="1:30" s="53" customFormat="1" ht="15" customHeight="1" x14ac:dyDescent="0.25">
      <c r="A215" s="405"/>
      <c r="B215" s="406" t="s">
        <v>281</v>
      </c>
      <c r="C215" s="406" t="s">
        <v>285</v>
      </c>
      <c r="D215" s="489" t="s">
        <v>612</v>
      </c>
      <c r="E215" s="490"/>
      <c r="F215" s="490"/>
      <c r="G215" s="490"/>
      <c r="H215" s="490"/>
      <c r="I215" s="490"/>
      <c r="J215" s="490"/>
      <c r="K215" s="490"/>
      <c r="L215" s="490"/>
      <c r="M215" s="490"/>
      <c r="N215" s="490"/>
      <c r="O215" s="490"/>
      <c r="P215" s="490"/>
      <c r="Q215" s="490"/>
      <c r="R215" s="490"/>
      <c r="S215" s="490"/>
      <c r="T215" s="490"/>
      <c r="U215" s="490"/>
      <c r="V215" s="490"/>
      <c r="W215" s="491"/>
      <c r="X215" s="82" t="s">
        <v>613</v>
      </c>
      <c r="Y215" s="153">
        <v>2.5</v>
      </c>
      <c r="Z215" s="153">
        <v>100000</v>
      </c>
      <c r="AA215" s="159">
        <f t="shared" si="7"/>
        <v>250000</v>
      </c>
    </row>
    <row r="216" spans="1:30" s="53" customFormat="1" ht="15" customHeight="1" x14ac:dyDescent="0.25">
      <c r="A216" s="405"/>
      <c r="B216" s="406" t="s">
        <v>282</v>
      </c>
      <c r="C216" s="406" t="s">
        <v>287</v>
      </c>
      <c r="D216" s="489" t="s">
        <v>614</v>
      </c>
      <c r="E216" s="490"/>
      <c r="F216" s="490"/>
      <c r="G216" s="490"/>
      <c r="H216" s="490"/>
      <c r="I216" s="490"/>
      <c r="J216" s="490"/>
      <c r="K216" s="490"/>
      <c r="L216" s="490"/>
      <c r="M216" s="490"/>
      <c r="N216" s="490"/>
      <c r="O216" s="490"/>
      <c r="P216" s="490"/>
      <c r="Q216" s="490"/>
      <c r="R216" s="490"/>
      <c r="S216" s="490"/>
      <c r="T216" s="490"/>
      <c r="U216" s="490"/>
      <c r="V216" s="490"/>
      <c r="W216" s="491"/>
      <c r="X216" s="82" t="s">
        <v>615</v>
      </c>
      <c r="Y216" s="153">
        <v>6</v>
      </c>
      <c r="Z216" s="153">
        <v>5000</v>
      </c>
      <c r="AA216" s="159">
        <f>Y216*Z216</f>
        <v>30000</v>
      </c>
    </row>
    <row r="217" spans="1:30" s="53" customFormat="1" ht="15" customHeight="1" x14ac:dyDescent="0.25">
      <c r="A217" s="405"/>
      <c r="B217" s="406" t="s">
        <v>285</v>
      </c>
      <c r="C217" s="406" t="s">
        <v>289</v>
      </c>
      <c r="D217" s="489" t="s">
        <v>616</v>
      </c>
      <c r="E217" s="490"/>
      <c r="F217" s="490"/>
      <c r="G217" s="490"/>
      <c r="H217" s="490"/>
      <c r="I217" s="490"/>
      <c r="J217" s="490"/>
      <c r="K217" s="490"/>
      <c r="L217" s="490"/>
      <c r="M217" s="490"/>
      <c r="N217" s="490"/>
      <c r="O217" s="490"/>
      <c r="P217" s="490"/>
      <c r="Q217" s="490"/>
      <c r="R217" s="490"/>
      <c r="S217" s="490"/>
      <c r="T217" s="490"/>
      <c r="U217" s="490"/>
      <c r="V217" s="490"/>
      <c r="W217" s="491"/>
      <c r="X217" s="82" t="s">
        <v>376</v>
      </c>
      <c r="Y217" s="158">
        <v>2</v>
      </c>
      <c r="Z217" s="153">
        <v>20000</v>
      </c>
      <c r="AA217" s="159">
        <f>Y217*Z217</f>
        <v>40000</v>
      </c>
    </row>
    <row r="218" spans="1:30" s="53" customFormat="1" ht="27.75" customHeight="1" x14ac:dyDescent="0.25">
      <c r="A218" s="405" t="s">
        <v>447</v>
      </c>
      <c r="B218" s="406" t="s">
        <v>287</v>
      </c>
      <c r="C218" s="406" t="s">
        <v>290</v>
      </c>
      <c r="D218" s="489" t="s">
        <v>784</v>
      </c>
      <c r="E218" s="490"/>
      <c r="F218" s="490"/>
      <c r="G218" s="490"/>
      <c r="H218" s="490"/>
      <c r="I218" s="490"/>
      <c r="J218" s="490"/>
      <c r="K218" s="490"/>
      <c r="L218" s="490"/>
      <c r="M218" s="490"/>
      <c r="N218" s="490"/>
      <c r="O218" s="490"/>
      <c r="P218" s="490"/>
      <c r="Q218" s="490"/>
      <c r="R218" s="490"/>
      <c r="S218" s="490"/>
      <c r="T218" s="490"/>
      <c r="U218" s="490"/>
      <c r="V218" s="490"/>
      <c r="W218" s="491"/>
      <c r="X218" s="82" t="s">
        <v>510</v>
      </c>
      <c r="Y218" s="153">
        <v>4</v>
      </c>
      <c r="Z218" s="153">
        <v>2500</v>
      </c>
      <c r="AA218" s="159">
        <f t="shared" si="7"/>
        <v>10000</v>
      </c>
      <c r="AB218" s="53">
        <v>10</v>
      </c>
      <c r="AC218" s="204">
        <f>+AB218*Y218</f>
        <v>40</v>
      </c>
      <c r="AD218" s="53" t="s">
        <v>617</v>
      </c>
    </row>
    <row r="219" spans="1:30" s="53" customFormat="1" ht="15" customHeight="1" x14ac:dyDescent="0.35">
      <c r="A219" s="405" t="s">
        <v>316</v>
      </c>
      <c r="B219" s="407" t="s">
        <v>316</v>
      </c>
      <c r="C219" s="406" t="s">
        <v>291</v>
      </c>
      <c r="D219" s="489" t="s">
        <v>292</v>
      </c>
      <c r="E219" s="490"/>
      <c r="F219" s="490"/>
      <c r="G219" s="490"/>
      <c r="H219" s="490"/>
      <c r="I219" s="490"/>
      <c r="J219" s="490"/>
      <c r="K219" s="490"/>
      <c r="L219" s="490"/>
      <c r="M219" s="490"/>
      <c r="N219" s="490"/>
      <c r="O219" s="490"/>
      <c r="P219" s="490"/>
      <c r="Q219" s="490"/>
      <c r="R219" s="490"/>
      <c r="S219" s="490"/>
      <c r="T219" s="490"/>
      <c r="U219" s="490"/>
      <c r="V219" s="490"/>
      <c r="W219" s="491"/>
      <c r="X219" s="82" t="s">
        <v>443</v>
      </c>
      <c r="Y219" s="153">
        <v>4</v>
      </c>
      <c r="Z219" s="153">
        <v>2500</v>
      </c>
      <c r="AA219" s="159">
        <f t="shared" si="7"/>
        <v>10000</v>
      </c>
    </row>
    <row r="220" spans="1:30" s="53" customFormat="1" ht="15" customHeight="1" x14ac:dyDescent="0.25">
      <c r="A220" s="405"/>
      <c r="B220" s="406" t="s">
        <v>289</v>
      </c>
      <c r="C220" s="406" t="s">
        <v>293</v>
      </c>
      <c r="D220" s="489" t="s">
        <v>618</v>
      </c>
      <c r="E220" s="490"/>
      <c r="F220" s="490"/>
      <c r="G220" s="490"/>
      <c r="H220" s="490"/>
      <c r="I220" s="490"/>
      <c r="J220" s="490"/>
      <c r="K220" s="490"/>
      <c r="L220" s="490"/>
      <c r="M220" s="490"/>
      <c r="N220" s="490"/>
      <c r="O220" s="490"/>
      <c r="P220" s="490"/>
      <c r="Q220" s="490"/>
      <c r="R220" s="490"/>
      <c r="S220" s="490"/>
      <c r="T220" s="490"/>
      <c r="U220" s="490"/>
      <c r="V220" s="490"/>
      <c r="W220" s="491"/>
      <c r="X220" s="82" t="s">
        <v>609</v>
      </c>
      <c r="Y220" s="153">
        <v>10</v>
      </c>
      <c r="Z220" s="153">
        <v>2000</v>
      </c>
      <c r="AA220" s="159">
        <f t="shared" si="7"/>
        <v>20000</v>
      </c>
    </row>
    <row r="221" spans="1:30" s="53" customFormat="1" ht="15" customHeight="1" x14ac:dyDescent="0.25">
      <c r="A221" s="405"/>
      <c r="B221" s="406" t="s">
        <v>290</v>
      </c>
      <c r="C221" s="406" t="s">
        <v>295</v>
      </c>
      <c r="D221" s="489" t="s">
        <v>785</v>
      </c>
      <c r="E221" s="490"/>
      <c r="F221" s="490"/>
      <c r="G221" s="490"/>
      <c r="H221" s="490"/>
      <c r="I221" s="490"/>
      <c r="J221" s="490"/>
      <c r="K221" s="490"/>
      <c r="L221" s="490"/>
      <c r="M221" s="490"/>
      <c r="N221" s="490"/>
      <c r="O221" s="490"/>
      <c r="P221" s="490"/>
      <c r="Q221" s="490"/>
      <c r="R221" s="490"/>
      <c r="S221" s="490"/>
      <c r="T221" s="490"/>
      <c r="U221" s="490"/>
      <c r="V221" s="490"/>
      <c r="W221" s="491"/>
      <c r="X221" s="82" t="s">
        <v>441</v>
      </c>
      <c r="Y221" s="153">
        <f>2*20</f>
        <v>40</v>
      </c>
      <c r="Z221" s="153">
        <v>500</v>
      </c>
      <c r="AA221" s="159">
        <f t="shared" si="7"/>
        <v>20000</v>
      </c>
    </row>
    <row r="222" spans="1:30" s="53" customFormat="1" ht="30" customHeight="1" x14ac:dyDescent="0.25">
      <c r="A222" s="405" t="s">
        <v>447</v>
      </c>
      <c r="B222" s="406" t="s">
        <v>291</v>
      </c>
      <c r="C222" s="406" t="s">
        <v>296</v>
      </c>
      <c r="D222" s="489" t="s">
        <v>786</v>
      </c>
      <c r="E222" s="490"/>
      <c r="F222" s="490"/>
      <c r="G222" s="490"/>
      <c r="H222" s="490"/>
      <c r="I222" s="490"/>
      <c r="J222" s="490"/>
      <c r="K222" s="490"/>
      <c r="L222" s="490"/>
      <c r="M222" s="490"/>
      <c r="N222" s="490"/>
      <c r="O222" s="490"/>
      <c r="P222" s="490"/>
      <c r="Q222" s="490"/>
      <c r="R222" s="490"/>
      <c r="S222" s="490"/>
      <c r="T222" s="490"/>
      <c r="U222" s="490"/>
      <c r="V222" s="490"/>
      <c r="W222" s="491"/>
      <c r="X222" s="82" t="s">
        <v>510</v>
      </c>
      <c r="Y222" s="153">
        <v>6</v>
      </c>
      <c r="Z222" s="153">
        <v>2500</v>
      </c>
      <c r="AA222" s="159">
        <f t="shared" si="7"/>
        <v>15000</v>
      </c>
      <c r="AB222" s="53">
        <v>30</v>
      </c>
      <c r="AC222" s="204">
        <f>+AB222*Y222</f>
        <v>180</v>
      </c>
      <c r="AD222" s="53" t="s">
        <v>619</v>
      </c>
    </row>
    <row r="223" spans="1:30" s="53" customFormat="1" ht="14.45" customHeight="1" x14ac:dyDescent="0.25">
      <c r="A223" s="405"/>
      <c r="B223" s="406" t="s">
        <v>293</v>
      </c>
      <c r="C223" s="406" t="s">
        <v>298</v>
      </c>
      <c r="D223" s="489" t="s">
        <v>620</v>
      </c>
      <c r="E223" s="490"/>
      <c r="F223" s="490"/>
      <c r="G223" s="490"/>
      <c r="H223" s="490"/>
      <c r="I223" s="490"/>
      <c r="J223" s="490"/>
      <c r="K223" s="490"/>
      <c r="L223" s="490"/>
      <c r="M223" s="490"/>
      <c r="N223" s="490"/>
      <c r="O223" s="490"/>
      <c r="P223" s="490"/>
      <c r="Q223" s="490"/>
      <c r="R223" s="490"/>
      <c r="S223" s="490"/>
      <c r="T223" s="490"/>
      <c r="U223" s="490"/>
      <c r="V223" s="490"/>
      <c r="W223" s="491"/>
      <c r="X223" s="82" t="s">
        <v>376</v>
      </c>
      <c r="Y223" s="153">
        <v>1</v>
      </c>
      <c r="Z223" s="153">
        <v>54500</v>
      </c>
      <c r="AA223" s="159">
        <f t="shared" si="7"/>
        <v>54500</v>
      </c>
    </row>
    <row r="224" spans="1:30" s="53" customFormat="1" ht="35.25" customHeight="1" x14ac:dyDescent="0.25">
      <c r="A224" s="405" t="s">
        <v>447</v>
      </c>
      <c r="B224" s="406" t="s">
        <v>295</v>
      </c>
      <c r="C224" s="406" t="s">
        <v>300</v>
      </c>
      <c r="D224" s="489" t="s">
        <v>787</v>
      </c>
      <c r="E224" s="490"/>
      <c r="F224" s="490"/>
      <c r="G224" s="490"/>
      <c r="H224" s="490"/>
      <c r="I224" s="490"/>
      <c r="J224" s="490"/>
      <c r="K224" s="490"/>
      <c r="L224" s="490"/>
      <c r="M224" s="490"/>
      <c r="N224" s="490"/>
      <c r="O224" s="490"/>
      <c r="P224" s="490"/>
      <c r="Q224" s="490"/>
      <c r="R224" s="490"/>
      <c r="S224" s="490"/>
      <c r="T224" s="490"/>
      <c r="U224" s="490"/>
      <c r="V224" s="490"/>
      <c r="W224" s="491"/>
      <c r="X224" s="82" t="s">
        <v>458</v>
      </c>
      <c r="Y224" s="153">
        <v>1</v>
      </c>
      <c r="Z224" s="153">
        <v>150000</v>
      </c>
      <c r="AA224" s="159">
        <f t="shared" si="7"/>
        <v>150000</v>
      </c>
    </row>
    <row r="225" spans="1:30" s="53" customFormat="1" ht="31.9" customHeight="1" x14ac:dyDescent="0.25">
      <c r="A225" s="405" t="s">
        <v>447</v>
      </c>
      <c r="B225" s="406" t="s">
        <v>296</v>
      </c>
      <c r="C225" s="406" t="s">
        <v>302</v>
      </c>
      <c r="D225" s="489" t="s">
        <v>621</v>
      </c>
      <c r="E225" s="490"/>
      <c r="F225" s="490"/>
      <c r="G225" s="490"/>
      <c r="H225" s="490"/>
      <c r="I225" s="490"/>
      <c r="J225" s="490"/>
      <c r="K225" s="490"/>
      <c r="L225" s="490"/>
      <c r="M225" s="490"/>
      <c r="N225" s="490"/>
      <c r="O225" s="490"/>
      <c r="P225" s="490"/>
      <c r="Q225" s="490"/>
      <c r="R225" s="490"/>
      <c r="S225" s="490"/>
      <c r="T225" s="490"/>
      <c r="U225" s="490"/>
      <c r="V225" s="490"/>
      <c r="W225" s="491"/>
      <c r="X225" s="82" t="s">
        <v>622</v>
      </c>
      <c r="Y225" s="153">
        <v>5</v>
      </c>
      <c r="Z225" s="153">
        <v>10000</v>
      </c>
      <c r="AA225" s="159">
        <f t="shared" si="7"/>
        <v>50000</v>
      </c>
    </row>
    <row r="226" spans="1:30" s="53" customFormat="1" ht="15" customHeight="1" x14ac:dyDescent="0.25">
      <c r="A226" s="405"/>
      <c r="B226" s="406" t="s">
        <v>298</v>
      </c>
      <c r="C226" s="406" t="s">
        <v>304</v>
      </c>
      <c r="D226" s="489" t="s">
        <v>788</v>
      </c>
      <c r="E226" s="490"/>
      <c r="F226" s="490"/>
      <c r="G226" s="490"/>
      <c r="H226" s="490"/>
      <c r="I226" s="490"/>
      <c r="J226" s="490"/>
      <c r="K226" s="490"/>
      <c r="L226" s="490"/>
      <c r="M226" s="490"/>
      <c r="N226" s="490"/>
      <c r="O226" s="490"/>
      <c r="P226" s="490"/>
      <c r="Q226" s="490"/>
      <c r="R226" s="490"/>
      <c r="S226" s="490"/>
      <c r="T226" s="490"/>
      <c r="U226" s="490"/>
      <c r="V226" s="490"/>
      <c r="W226" s="491"/>
      <c r="X226" s="82" t="s">
        <v>376</v>
      </c>
      <c r="Y226" s="158">
        <v>1</v>
      </c>
      <c r="Z226" s="158">
        <v>30000</v>
      </c>
      <c r="AA226" s="159">
        <f t="shared" si="7"/>
        <v>30000</v>
      </c>
    </row>
    <row r="227" spans="1:30" s="53" customFormat="1" ht="33" customHeight="1" x14ac:dyDescent="0.25">
      <c r="A227" s="405"/>
      <c r="B227" s="406" t="s">
        <v>300</v>
      </c>
      <c r="C227" s="406" t="s">
        <v>305</v>
      </c>
      <c r="D227" s="489" t="s">
        <v>789</v>
      </c>
      <c r="E227" s="490"/>
      <c r="F227" s="490"/>
      <c r="G227" s="490"/>
      <c r="H227" s="490"/>
      <c r="I227" s="490"/>
      <c r="J227" s="490"/>
      <c r="K227" s="490"/>
      <c r="L227" s="490"/>
      <c r="M227" s="490"/>
      <c r="N227" s="490"/>
      <c r="O227" s="490"/>
      <c r="P227" s="490"/>
      <c r="Q227" s="490"/>
      <c r="R227" s="490"/>
      <c r="S227" s="490"/>
      <c r="T227" s="490"/>
      <c r="U227" s="490"/>
      <c r="V227" s="490"/>
      <c r="W227" s="491"/>
      <c r="X227" s="82" t="s">
        <v>376</v>
      </c>
      <c r="Y227" s="158">
        <v>4</v>
      </c>
      <c r="Z227" s="153">
        <v>12000</v>
      </c>
      <c r="AA227" s="159">
        <f t="shared" si="7"/>
        <v>48000</v>
      </c>
    </row>
    <row r="228" spans="1:30" s="53" customFormat="1" ht="15" customHeight="1" x14ac:dyDescent="0.25">
      <c r="A228" s="405"/>
      <c r="B228" s="406" t="s">
        <v>302</v>
      </c>
      <c r="C228" s="406" t="s">
        <v>307</v>
      </c>
      <c r="D228" s="489" t="s">
        <v>623</v>
      </c>
      <c r="E228" s="490"/>
      <c r="F228" s="490"/>
      <c r="G228" s="490"/>
      <c r="H228" s="490"/>
      <c r="I228" s="490"/>
      <c r="J228" s="490"/>
      <c r="K228" s="490"/>
      <c r="L228" s="490"/>
      <c r="M228" s="490"/>
      <c r="N228" s="490"/>
      <c r="O228" s="490"/>
      <c r="P228" s="490"/>
      <c r="Q228" s="490"/>
      <c r="R228" s="490"/>
      <c r="S228" s="490"/>
      <c r="T228" s="490"/>
      <c r="U228" s="490"/>
      <c r="V228" s="490"/>
      <c r="W228" s="491"/>
      <c r="X228" s="82" t="s">
        <v>624</v>
      </c>
      <c r="Y228" s="153">
        <v>4</v>
      </c>
      <c r="Z228" s="153">
        <v>30000</v>
      </c>
      <c r="AA228" s="159">
        <f t="shared" si="7"/>
        <v>120000</v>
      </c>
    </row>
    <row r="229" spans="1:30" s="53" customFormat="1" ht="15" customHeight="1" x14ac:dyDescent="0.25">
      <c r="A229" s="405"/>
      <c r="B229" s="406" t="s">
        <v>304</v>
      </c>
      <c r="C229" s="406" t="s">
        <v>312</v>
      </c>
      <c r="D229" s="489" t="s">
        <v>625</v>
      </c>
      <c r="E229" s="490"/>
      <c r="F229" s="490"/>
      <c r="G229" s="490"/>
      <c r="H229" s="490"/>
      <c r="I229" s="490"/>
      <c r="J229" s="490"/>
      <c r="K229" s="490"/>
      <c r="L229" s="490"/>
      <c r="M229" s="490"/>
      <c r="N229" s="490"/>
      <c r="O229" s="490"/>
      <c r="P229" s="490"/>
      <c r="Q229" s="490"/>
      <c r="R229" s="490"/>
      <c r="S229" s="490"/>
      <c r="T229" s="490"/>
      <c r="U229" s="490"/>
      <c r="V229" s="490"/>
      <c r="W229" s="491"/>
      <c r="X229" s="82" t="s">
        <v>510</v>
      </c>
      <c r="Y229" s="153">
        <v>3</v>
      </c>
      <c r="Z229" s="153">
        <v>5000</v>
      </c>
      <c r="AA229" s="159">
        <f>Y229*Z229</f>
        <v>15000</v>
      </c>
      <c r="AB229" s="53">
        <v>50</v>
      </c>
      <c r="AC229" s="204">
        <f>+AB229*Y229</f>
        <v>150</v>
      </c>
      <c r="AD229" s="53" t="s">
        <v>626</v>
      </c>
    </row>
    <row r="230" spans="1:30" s="53" customFormat="1" ht="15" customHeight="1" x14ac:dyDescent="0.25">
      <c r="A230" s="405"/>
      <c r="B230" s="406" t="s">
        <v>305</v>
      </c>
      <c r="C230" s="406" t="s">
        <v>314</v>
      </c>
      <c r="D230" s="489" t="s">
        <v>627</v>
      </c>
      <c r="E230" s="490"/>
      <c r="F230" s="490"/>
      <c r="G230" s="490"/>
      <c r="H230" s="490"/>
      <c r="I230" s="490"/>
      <c r="J230" s="490"/>
      <c r="K230" s="490"/>
      <c r="L230" s="490"/>
      <c r="M230" s="490"/>
      <c r="N230" s="490"/>
      <c r="O230" s="490"/>
      <c r="P230" s="490"/>
      <c r="Q230" s="490"/>
      <c r="R230" s="490"/>
      <c r="S230" s="490"/>
      <c r="T230" s="490"/>
      <c r="U230" s="490"/>
      <c r="V230" s="490"/>
      <c r="W230" s="491"/>
      <c r="X230" s="82" t="s">
        <v>441</v>
      </c>
      <c r="Y230" s="153">
        <v>15</v>
      </c>
      <c r="Z230" s="153">
        <v>500</v>
      </c>
      <c r="AA230" s="159">
        <f t="shared" si="7"/>
        <v>7500</v>
      </c>
      <c r="AC230" s="53">
        <v>100</v>
      </c>
      <c r="AD230" s="53" t="s">
        <v>626</v>
      </c>
    </row>
    <row r="231" spans="1:30" s="53" customFormat="1" ht="15" customHeight="1" x14ac:dyDescent="0.35">
      <c r="A231" s="405"/>
      <c r="B231" s="407" t="s">
        <v>316</v>
      </c>
      <c r="C231" s="406" t="s">
        <v>315</v>
      </c>
      <c r="D231" s="489" t="s">
        <v>628</v>
      </c>
      <c r="E231" s="490"/>
      <c r="F231" s="490"/>
      <c r="G231" s="490"/>
      <c r="H231" s="490"/>
      <c r="I231" s="490"/>
      <c r="J231" s="490"/>
      <c r="K231" s="490"/>
      <c r="L231" s="490"/>
      <c r="M231" s="490"/>
      <c r="N231" s="490"/>
      <c r="O231" s="490"/>
      <c r="P231" s="490"/>
      <c r="Q231" s="490"/>
      <c r="R231" s="490"/>
      <c r="S231" s="490"/>
      <c r="T231" s="490"/>
      <c r="U231" s="490"/>
      <c r="V231" s="490"/>
      <c r="W231" s="491"/>
      <c r="X231" s="82" t="s">
        <v>443</v>
      </c>
      <c r="Y231" s="153">
        <v>5</v>
      </c>
      <c r="Z231" s="153">
        <v>2500</v>
      </c>
      <c r="AA231" s="159">
        <f t="shared" si="7"/>
        <v>12500</v>
      </c>
    </row>
    <row r="232" spans="1:30" s="53" customFormat="1" ht="15" customHeight="1" x14ac:dyDescent="0.25">
      <c r="A232" s="405"/>
      <c r="B232" s="406" t="s">
        <v>307</v>
      </c>
      <c r="C232" s="406" t="s">
        <v>318</v>
      </c>
      <c r="D232" s="489" t="s">
        <v>790</v>
      </c>
      <c r="E232" s="490"/>
      <c r="F232" s="490"/>
      <c r="G232" s="490"/>
      <c r="H232" s="490"/>
      <c r="I232" s="490"/>
      <c r="J232" s="490"/>
      <c r="K232" s="490"/>
      <c r="L232" s="490"/>
      <c r="M232" s="490"/>
      <c r="N232" s="490"/>
      <c r="O232" s="490"/>
      <c r="P232" s="490"/>
      <c r="Q232" s="490"/>
      <c r="R232" s="490"/>
      <c r="S232" s="490"/>
      <c r="T232" s="490"/>
      <c r="U232" s="490"/>
      <c r="V232" s="490"/>
      <c r="W232" s="491"/>
      <c r="X232" s="82" t="s">
        <v>510</v>
      </c>
      <c r="Y232" s="158">
        <v>4</v>
      </c>
      <c r="Z232" s="153">
        <v>5000</v>
      </c>
      <c r="AA232" s="159">
        <f>Y232*Z232</f>
        <v>20000</v>
      </c>
      <c r="AC232" s="53">
        <v>100</v>
      </c>
      <c r="AD232" s="53" t="s">
        <v>629</v>
      </c>
    </row>
    <row r="233" spans="1:30" s="53" customFormat="1" ht="15" customHeight="1" x14ac:dyDescent="0.25">
      <c r="A233" s="405" t="s">
        <v>447</v>
      </c>
      <c r="B233" s="406" t="s">
        <v>312</v>
      </c>
      <c r="C233" s="406" t="s">
        <v>319</v>
      </c>
      <c r="D233" s="489" t="s">
        <v>630</v>
      </c>
      <c r="E233" s="490"/>
      <c r="F233" s="490"/>
      <c r="G233" s="490"/>
      <c r="H233" s="490"/>
      <c r="I233" s="490"/>
      <c r="J233" s="490"/>
      <c r="K233" s="490"/>
      <c r="L233" s="490"/>
      <c r="M233" s="490"/>
      <c r="N233" s="490"/>
      <c r="O233" s="490"/>
      <c r="P233" s="490"/>
      <c r="Q233" s="490"/>
      <c r="R233" s="490"/>
      <c r="S233" s="490"/>
      <c r="T233" s="490"/>
      <c r="U233" s="490"/>
      <c r="V233" s="490"/>
      <c r="W233" s="491"/>
      <c r="X233" s="82" t="s">
        <v>631</v>
      </c>
      <c r="Y233" s="153">
        <v>100</v>
      </c>
      <c r="Z233" s="153">
        <v>400</v>
      </c>
      <c r="AA233" s="159">
        <f t="shared" si="7"/>
        <v>40000</v>
      </c>
      <c r="AC233" s="53">
        <v>100</v>
      </c>
      <c r="AD233" s="53" t="s">
        <v>632</v>
      </c>
    </row>
    <row r="234" spans="1:30" s="53" customFormat="1" ht="15" customHeight="1" x14ac:dyDescent="0.25">
      <c r="A234" s="53" t="s">
        <v>447</v>
      </c>
      <c r="B234" s="73" t="s">
        <v>314</v>
      </c>
      <c r="C234" s="73" t="s">
        <v>321</v>
      </c>
      <c r="D234" s="489" t="s">
        <v>791</v>
      </c>
      <c r="E234" s="490"/>
      <c r="F234" s="490"/>
      <c r="G234" s="490"/>
      <c r="H234" s="490"/>
      <c r="I234" s="490"/>
      <c r="J234" s="490"/>
      <c r="K234" s="490"/>
      <c r="L234" s="490"/>
      <c r="M234" s="490"/>
      <c r="N234" s="490"/>
      <c r="O234" s="490"/>
      <c r="P234" s="490"/>
      <c r="Q234" s="490"/>
      <c r="R234" s="490"/>
      <c r="S234" s="490"/>
      <c r="T234" s="490"/>
      <c r="U234" s="490"/>
      <c r="V234" s="490"/>
      <c r="W234" s="491"/>
      <c r="X234" s="82" t="s">
        <v>633</v>
      </c>
      <c r="Y234" s="158">
        <v>180</v>
      </c>
      <c r="Z234" s="158">
        <v>1000</v>
      </c>
      <c r="AA234" s="159">
        <f t="shared" si="7"/>
        <v>180000</v>
      </c>
    </row>
    <row r="235" spans="1:30" s="53" customFormat="1" ht="15" customHeight="1" x14ac:dyDescent="0.25">
      <c r="B235" s="73" t="s">
        <v>315</v>
      </c>
      <c r="C235" s="73" t="s">
        <v>324</v>
      </c>
      <c r="D235" s="492" t="s">
        <v>634</v>
      </c>
      <c r="E235" s="493"/>
      <c r="F235" s="493"/>
      <c r="G235" s="493"/>
      <c r="H235" s="493"/>
      <c r="I235" s="493"/>
      <c r="J235" s="493"/>
      <c r="K235" s="493"/>
      <c r="L235" s="493"/>
      <c r="M235" s="493"/>
      <c r="N235" s="493"/>
      <c r="O235" s="493"/>
      <c r="P235" s="493"/>
      <c r="Q235" s="493"/>
      <c r="R235" s="493"/>
      <c r="S235" s="493"/>
      <c r="T235" s="493"/>
      <c r="U235" s="493"/>
      <c r="V235" s="493"/>
      <c r="W235" s="494"/>
      <c r="X235" s="82" t="s">
        <v>635</v>
      </c>
      <c r="Y235" s="153">
        <v>5</v>
      </c>
      <c r="Z235" s="153">
        <v>10000</v>
      </c>
      <c r="AA235" s="159">
        <f t="shared" si="7"/>
        <v>50000</v>
      </c>
      <c r="AB235" s="53">
        <v>60</v>
      </c>
      <c r="AC235" s="204">
        <f>+AB235*Y235</f>
        <v>300</v>
      </c>
      <c r="AD235" s="53" t="s">
        <v>604</v>
      </c>
    </row>
    <row r="236" spans="1:30" s="53" customFormat="1" ht="15" customHeight="1" x14ac:dyDescent="0.25">
      <c r="B236" s="73" t="s">
        <v>318</v>
      </c>
      <c r="C236" s="73" t="s">
        <v>326</v>
      </c>
      <c r="D236" s="492" t="s">
        <v>636</v>
      </c>
      <c r="E236" s="493"/>
      <c r="F236" s="493"/>
      <c r="G236" s="493"/>
      <c r="H236" s="493"/>
      <c r="I236" s="493"/>
      <c r="J236" s="493"/>
      <c r="K236" s="493"/>
      <c r="L236" s="493"/>
      <c r="M236" s="493"/>
      <c r="N236" s="493"/>
      <c r="O236" s="493"/>
      <c r="P236" s="493"/>
      <c r="Q236" s="493"/>
      <c r="R236" s="493"/>
      <c r="S236" s="493"/>
      <c r="T236" s="493"/>
      <c r="U236" s="493"/>
      <c r="V236" s="493"/>
      <c r="W236" s="494"/>
      <c r="X236" s="82" t="s">
        <v>637</v>
      </c>
      <c r="Y236" s="153">
        <v>4</v>
      </c>
      <c r="Z236" s="153">
        <v>500</v>
      </c>
      <c r="AA236" s="159">
        <f t="shared" si="7"/>
        <v>2000</v>
      </c>
      <c r="AB236" s="53">
        <v>30</v>
      </c>
      <c r="AC236" s="204">
        <f>+AB236*Y236</f>
        <v>120</v>
      </c>
      <c r="AD236" s="53" t="s">
        <v>638</v>
      </c>
    </row>
    <row r="237" spans="1:30" s="53" customFormat="1" ht="15" customHeight="1" x14ac:dyDescent="0.25">
      <c r="B237" s="73" t="s">
        <v>319</v>
      </c>
      <c r="C237" s="73" t="s">
        <v>328</v>
      </c>
      <c r="D237" s="492" t="s">
        <v>639</v>
      </c>
      <c r="E237" s="493"/>
      <c r="F237" s="493"/>
      <c r="G237" s="493"/>
      <c r="H237" s="493"/>
      <c r="I237" s="493"/>
      <c r="J237" s="493"/>
      <c r="K237" s="493"/>
      <c r="L237" s="493"/>
      <c r="M237" s="493"/>
      <c r="N237" s="493"/>
      <c r="O237" s="493"/>
      <c r="P237" s="493"/>
      <c r="Q237" s="493"/>
      <c r="R237" s="493"/>
      <c r="S237" s="493"/>
      <c r="T237" s="493"/>
      <c r="U237" s="493"/>
      <c r="V237" s="493"/>
      <c r="W237" s="494"/>
      <c r="X237" s="82" t="s">
        <v>637</v>
      </c>
      <c r="Y237" s="153">
        <v>10</v>
      </c>
      <c r="Z237" s="153">
        <v>2000</v>
      </c>
      <c r="AA237" s="159">
        <f t="shared" si="7"/>
        <v>20000</v>
      </c>
      <c r="AB237" s="53">
        <v>40</v>
      </c>
      <c r="AC237" s="204">
        <f>+AB237*Y237</f>
        <v>400</v>
      </c>
      <c r="AD237" s="53" t="s">
        <v>640</v>
      </c>
    </row>
    <row r="238" spans="1:30" s="53" customFormat="1" ht="15" customHeight="1" x14ac:dyDescent="0.25">
      <c r="B238" s="73" t="s">
        <v>321</v>
      </c>
      <c r="C238" s="73" t="s">
        <v>330</v>
      </c>
      <c r="D238" s="492" t="s">
        <v>641</v>
      </c>
      <c r="E238" s="493"/>
      <c r="F238" s="493"/>
      <c r="G238" s="493"/>
      <c r="H238" s="493"/>
      <c r="I238" s="493"/>
      <c r="J238" s="493"/>
      <c r="K238" s="493"/>
      <c r="L238" s="493"/>
      <c r="M238" s="493"/>
      <c r="N238" s="493"/>
      <c r="O238" s="493"/>
      <c r="P238" s="493"/>
      <c r="Q238" s="493"/>
      <c r="R238" s="493"/>
      <c r="S238" s="493"/>
      <c r="T238" s="493"/>
      <c r="U238" s="493"/>
      <c r="V238" s="493"/>
      <c r="W238" s="494"/>
      <c r="X238" s="82" t="s">
        <v>441</v>
      </c>
      <c r="Y238" s="153">
        <v>25</v>
      </c>
      <c r="Z238" s="153">
        <v>500</v>
      </c>
      <c r="AA238" s="159">
        <f t="shared" si="7"/>
        <v>12500</v>
      </c>
    </row>
    <row r="239" spans="1:30" s="53" customFormat="1" ht="15" customHeight="1" x14ac:dyDescent="0.25">
      <c r="B239" s="73" t="s">
        <v>324</v>
      </c>
      <c r="C239" s="73" t="s">
        <v>331</v>
      </c>
      <c r="D239" s="492" t="s">
        <v>642</v>
      </c>
      <c r="E239" s="493"/>
      <c r="F239" s="493"/>
      <c r="G239" s="493"/>
      <c r="H239" s="493"/>
      <c r="I239" s="493"/>
      <c r="J239" s="493"/>
      <c r="K239" s="493"/>
      <c r="L239" s="493"/>
      <c r="M239" s="493"/>
      <c r="N239" s="493"/>
      <c r="O239" s="493"/>
      <c r="P239" s="493"/>
      <c r="Q239" s="493"/>
      <c r="R239" s="493"/>
      <c r="S239" s="493"/>
      <c r="T239" s="493"/>
      <c r="U239" s="493"/>
      <c r="V239" s="493"/>
      <c r="W239" s="494"/>
      <c r="X239" s="82" t="s">
        <v>441</v>
      </c>
      <c r="Y239" s="153">
        <v>120</v>
      </c>
      <c r="Z239" s="153">
        <v>250</v>
      </c>
      <c r="AA239" s="159">
        <f t="shared" si="7"/>
        <v>30000</v>
      </c>
    </row>
    <row r="240" spans="1:30" s="53" customFormat="1" ht="26.45" customHeight="1" x14ac:dyDescent="0.25">
      <c r="A240" s="53" t="s">
        <v>447</v>
      </c>
      <c r="B240" s="73" t="s">
        <v>326</v>
      </c>
      <c r="C240" s="73" t="s">
        <v>332</v>
      </c>
      <c r="D240" s="489" t="s">
        <v>792</v>
      </c>
      <c r="E240" s="490"/>
      <c r="F240" s="490"/>
      <c r="G240" s="490"/>
      <c r="H240" s="490"/>
      <c r="I240" s="490"/>
      <c r="J240" s="490"/>
      <c r="K240" s="490"/>
      <c r="L240" s="490"/>
      <c r="M240" s="490"/>
      <c r="N240" s="490"/>
      <c r="O240" s="490"/>
      <c r="P240" s="490"/>
      <c r="Q240" s="490"/>
      <c r="R240" s="490"/>
      <c r="S240" s="490"/>
      <c r="T240" s="490"/>
      <c r="U240" s="490"/>
      <c r="V240" s="490"/>
      <c r="W240" s="491"/>
      <c r="X240" s="82" t="s">
        <v>376</v>
      </c>
      <c r="Y240" s="153">
        <v>4</v>
      </c>
      <c r="Z240" s="153">
        <v>5000</v>
      </c>
      <c r="AA240" s="159">
        <f t="shared" si="7"/>
        <v>20000</v>
      </c>
      <c r="AB240" s="53">
        <v>60</v>
      </c>
      <c r="AC240" s="204">
        <f>+AB240*Y240</f>
        <v>240</v>
      </c>
      <c r="AD240" s="53" t="s">
        <v>604</v>
      </c>
    </row>
    <row r="241" spans="1:30" s="53" customFormat="1" ht="15" customHeight="1" x14ac:dyDescent="0.25">
      <c r="B241" s="73" t="s">
        <v>328</v>
      </c>
      <c r="C241" s="73" t="s">
        <v>334</v>
      </c>
      <c r="D241" s="492" t="s">
        <v>643</v>
      </c>
      <c r="E241" s="493"/>
      <c r="F241" s="493"/>
      <c r="G241" s="493"/>
      <c r="H241" s="493"/>
      <c r="I241" s="493"/>
      <c r="J241" s="493"/>
      <c r="K241" s="493"/>
      <c r="L241" s="493"/>
      <c r="M241" s="493"/>
      <c r="N241" s="493"/>
      <c r="O241" s="493"/>
      <c r="P241" s="493"/>
      <c r="Q241" s="493"/>
      <c r="R241" s="493"/>
      <c r="S241" s="493"/>
      <c r="T241" s="493"/>
      <c r="U241" s="493"/>
      <c r="V241" s="493"/>
      <c r="W241" s="494"/>
      <c r="X241" s="82" t="s">
        <v>441</v>
      </c>
      <c r="Y241" s="153">
        <v>100</v>
      </c>
      <c r="Z241" s="153">
        <v>500</v>
      </c>
      <c r="AA241" s="159">
        <f t="shared" si="7"/>
        <v>50000</v>
      </c>
    </row>
    <row r="242" spans="1:30" s="53" customFormat="1" ht="15" customHeight="1" x14ac:dyDescent="0.25">
      <c r="B242" s="73" t="s">
        <v>330</v>
      </c>
      <c r="C242" s="73" t="s">
        <v>335</v>
      </c>
      <c r="D242" s="492" t="s">
        <v>644</v>
      </c>
      <c r="E242" s="493"/>
      <c r="F242" s="493"/>
      <c r="G242" s="493"/>
      <c r="H242" s="493"/>
      <c r="I242" s="493"/>
      <c r="J242" s="493"/>
      <c r="K242" s="493"/>
      <c r="L242" s="493"/>
      <c r="M242" s="493"/>
      <c r="N242" s="493"/>
      <c r="O242" s="493"/>
      <c r="P242" s="493"/>
      <c r="Q242" s="493"/>
      <c r="R242" s="493"/>
      <c r="S242" s="493"/>
      <c r="T242" s="493"/>
      <c r="U242" s="493"/>
      <c r="V242" s="493"/>
      <c r="W242" s="494"/>
      <c r="X242" s="82" t="s">
        <v>441</v>
      </c>
      <c r="Y242" s="153">
        <v>220</v>
      </c>
      <c r="Z242" s="153">
        <v>250</v>
      </c>
      <c r="AA242" s="159">
        <f t="shared" si="7"/>
        <v>55000</v>
      </c>
    </row>
    <row r="243" spans="1:30" s="53" customFormat="1" ht="15" customHeight="1" x14ac:dyDescent="0.25">
      <c r="A243" s="53" t="s">
        <v>447</v>
      </c>
      <c r="B243" s="73" t="s">
        <v>331</v>
      </c>
      <c r="C243" s="73" t="s">
        <v>336</v>
      </c>
      <c r="D243" s="492" t="s">
        <v>645</v>
      </c>
      <c r="E243" s="493"/>
      <c r="F243" s="493"/>
      <c r="G243" s="493"/>
      <c r="H243" s="493"/>
      <c r="I243" s="493"/>
      <c r="J243" s="493"/>
      <c r="K243" s="493"/>
      <c r="L243" s="493"/>
      <c r="M243" s="493"/>
      <c r="N243" s="493"/>
      <c r="O243" s="493"/>
      <c r="P243" s="493"/>
      <c r="Q243" s="493"/>
      <c r="R243" s="493"/>
      <c r="S243" s="493"/>
      <c r="T243" s="493"/>
      <c r="U243" s="493"/>
      <c r="V243" s="493"/>
      <c r="W243" s="494"/>
      <c r="X243" s="82" t="s">
        <v>646</v>
      </c>
      <c r="Y243" s="153">
        <v>10</v>
      </c>
      <c r="Z243" s="153">
        <v>1500</v>
      </c>
      <c r="AA243" s="159">
        <f t="shared" si="7"/>
        <v>15000</v>
      </c>
    </row>
    <row r="244" spans="1:30" s="53" customFormat="1" ht="30.6" customHeight="1" x14ac:dyDescent="0.25">
      <c r="A244" s="53" t="s">
        <v>447</v>
      </c>
      <c r="B244" s="73" t="s">
        <v>332</v>
      </c>
      <c r="C244" s="73" t="s">
        <v>337</v>
      </c>
      <c r="D244" s="489" t="s">
        <v>793</v>
      </c>
      <c r="E244" s="490"/>
      <c r="F244" s="490"/>
      <c r="G244" s="490"/>
      <c r="H244" s="490"/>
      <c r="I244" s="490"/>
      <c r="J244" s="490"/>
      <c r="K244" s="490"/>
      <c r="L244" s="490"/>
      <c r="M244" s="490"/>
      <c r="N244" s="490"/>
      <c r="O244" s="490"/>
      <c r="P244" s="490"/>
      <c r="Q244" s="490"/>
      <c r="R244" s="490"/>
      <c r="S244" s="490"/>
      <c r="T244" s="490"/>
      <c r="U244" s="490"/>
      <c r="V244" s="490"/>
      <c r="W244" s="491"/>
      <c r="X244" s="82" t="s">
        <v>647</v>
      </c>
      <c r="Y244" s="158">
        <v>4</v>
      </c>
      <c r="Z244" s="158">
        <v>5000</v>
      </c>
      <c r="AA244" s="259">
        <f t="shared" si="7"/>
        <v>20000</v>
      </c>
      <c r="AB244" s="53">
        <v>60</v>
      </c>
      <c r="AC244" s="204">
        <f>+AB244*Y244</f>
        <v>240</v>
      </c>
      <c r="AD244" s="53" t="s">
        <v>604</v>
      </c>
    </row>
    <row r="245" spans="1:30" s="53" customFormat="1" ht="15" customHeight="1" x14ac:dyDescent="0.25">
      <c r="B245" s="73" t="s">
        <v>334</v>
      </c>
      <c r="C245" s="73" t="s">
        <v>340</v>
      </c>
      <c r="D245" s="492" t="s">
        <v>648</v>
      </c>
      <c r="E245" s="493"/>
      <c r="F245" s="493"/>
      <c r="G245" s="493"/>
      <c r="H245" s="493"/>
      <c r="I245" s="493"/>
      <c r="J245" s="493"/>
      <c r="K245" s="493"/>
      <c r="L245" s="493"/>
      <c r="M245" s="493"/>
      <c r="N245" s="493"/>
      <c r="O245" s="493"/>
      <c r="P245" s="493"/>
      <c r="Q245" s="493"/>
      <c r="R245" s="493"/>
      <c r="S245" s="493"/>
      <c r="T245" s="493"/>
      <c r="U245" s="493"/>
      <c r="V245" s="493"/>
      <c r="W245" s="494"/>
      <c r="X245" s="82" t="s">
        <v>441</v>
      </c>
      <c r="Y245" s="153">
        <v>60</v>
      </c>
      <c r="Z245" s="153">
        <v>500</v>
      </c>
      <c r="AA245" s="159">
        <f>Y245*Z245</f>
        <v>30000</v>
      </c>
    </row>
    <row r="246" spans="1:30" s="53" customFormat="1" ht="15" customHeight="1" x14ac:dyDescent="0.25">
      <c r="B246" s="73" t="s">
        <v>335</v>
      </c>
      <c r="C246" s="73" t="s">
        <v>341</v>
      </c>
      <c r="D246" s="492" t="s">
        <v>649</v>
      </c>
      <c r="E246" s="493"/>
      <c r="F246" s="493"/>
      <c r="G246" s="493"/>
      <c r="H246" s="493"/>
      <c r="I246" s="493"/>
      <c r="J246" s="493"/>
      <c r="K246" s="493"/>
      <c r="L246" s="493"/>
      <c r="M246" s="493"/>
      <c r="N246" s="493"/>
      <c r="O246" s="493"/>
      <c r="P246" s="493"/>
      <c r="Q246" s="493"/>
      <c r="R246" s="493"/>
      <c r="S246" s="493"/>
      <c r="T246" s="493"/>
      <c r="U246" s="493"/>
      <c r="V246" s="493"/>
      <c r="W246" s="494"/>
      <c r="X246" s="82" t="s">
        <v>441</v>
      </c>
      <c r="Y246" s="153">
        <v>140</v>
      </c>
      <c r="Z246" s="153">
        <v>250</v>
      </c>
      <c r="AA246" s="159">
        <f t="shared" si="7"/>
        <v>35000</v>
      </c>
    </row>
    <row r="247" spans="1:30" s="53" customFormat="1" ht="15" customHeight="1" x14ac:dyDescent="0.25">
      <c r="B247" s="73" t="s">
        <v>336</v>
      </c>
      <c r="C247" s="73" t="s">
        <v>342</v>
      </c>
      <c r="D247" s="492" t="s">
        <v>794</v>
      </c>
      <c r="E247" s="493"/>
      <c r="F247" s="493"/>
      <c r="G247" s="493"/>
      <c r="H247" s="493"/>
      <c r="I247" s="493"/>
      <c r="J247" s="493"/>
      <c r="K247" s="493"/>
      <c r="L247" s="493"/>
      <c r="M247" s="493"/>
      <c r="N247" s="493"/>
      <c r="O247" s="493"/>
      <c r="P247" s="493"/>
      <c r="Q247" s="493"/>
      <c r="R247" s="493"/>
      <c r="S247" s="493"/>
      <c r="T247" s="493"/>
      <c r="U247" s="493"/>
      <c r="V247" s="493"/>
      <c r="W247" s="494"/>
      <c r="X247" s="82" t="s">
        <v>650</v>
      </c>
      <c r="Y247" s="153">
        <v>4</v>
      </c>
      <c r="Z247" s="158">
        <v>5000</v>
      </c>
      <c r="AA247" s="159">
        <f>Y247*Z247</f>
        <v>20000</v>
      </c>
      <c r="AB247" s="53">
        <v>30</v>
      </c>
      <c r="AC247" s="204">
        <f>+AB247*Y247</f>
        <v>120</v>
      </c>
      <c r="AD247" s="53" t="s">
        <v>651</v>
      </c>
    </row>
    <row r="248" spans="1:30" s="53" customFormat="1" ht="15" customHeight="1" x14ac:dyDescent="0.25">
      <c r="B248" s="73" t="s">
        <v>337</v>
      </c>
      <c r="C248" s="73" t="s">
        <v>344</v>
      </c>
      <c r="D248" s="492" t="s">
        <v>652</v>
      </c>
      <c r="E248" s="493"/>
      <c r="F248" s="493"/>
      <c r="G248" s="493"/>
      <c r="H248" s="493"/>
      <c r="I248" s="493"/>
      <c r="J248" s="493"/>
      <c r="K248" s="493"/>
      <c r="L248" s="493"/>
      <c r="M248" s="493"/>
      <c r="N248" s="493"/>
      <c r="O248" s="493"/>
      <c r="P248" s="493"/>
      <c r="Q248" s="493"/>
      <c r="R248" s="493"/>
      <c r="S248" s="493"/>
      <c r="T248" s="493"/>
      <c r="U248" s="493"/>
      <c r="V248" s="493"/>
      <c r="W248" s="494"/>
      <c r="X248" s="82" t="s">
        <v>653</v>
      </c>
      <c r="Y248" s="153">
        <v>4</v>
      </c>
      <c r="Z248" s="153">
        <v>10000</v>
      </c>
      <c r="AA248" s="159">
        <f t="shared" si="7"/>
        <v>40000</v>
      </c>
    </row>
    <row r="249" spans="1:30" s="53" customFormat="1" ht="15" customHeight="1" x14ac:dyDescent="0.25">
      <c r="B249" s="73" t="s">
        <v>340</v>
      </c>
      <c r="C249" s="73" t="s">
        <v>345</v>
      </c>
      <c r="D249" s="492" t="s">
        <v>654</v>
      </c>
      <c r="E249" s="493"/>
      <c r="F249" s="493"/>
      <c r="G249" s="493"/>
      <c r="H249" s="493"/>
      <c r="I249" s="493"/>
      <c r="J249" s="493"/>
      <c r="K249" s="493"/>
      <c r="L249" s="493"/>
      <c r="M249" s="493"/>
      <c r="N249" s="493"/>
      <c r="O249" s="493"/>
      <c r="P249" s="493"/>
      <c r="Q249" s="493"/>
      <c r="R249" s="493"/>
      <c r="S249" s="493"/>
      <c r="T249" s="493"/>
      <c r="U249" s="493"/>
      <c r="V249" s="493"/>
      <c r="W249" s="494"/>
      <c r="X249" s="82" t="s">
        <v>441</v>
      </c>
      <c r="Y249" s="153">
        <v>120</v>
      </c>
      <c r="Z249" s="153">
        <v>250</v>
      </c>
      <c r="AA249" s="159">
        <f t="shared" si="7"/>
        <v>30000</v>
      </c>
    </row>
    <row r="250" spans="1:30" s="53" customFormat="1" ht="33" customHeight="1" x14ac:dyDescent="0.25">
      <c r="A250" s="53" t="s">
        <v>447</v>
      </c>
      <c r="B250" s="73" t="s">
        <v>341</v>
      </c>
      <c r="C250" s="73" t="s">
        <v>346</v>
      </c>
      <c r="D250" s="489" t="s">
        <v>795</v>
      </c>
      <c r="E250" s="490"/>
      <c r="F250" s="490"/>
      <c r="G250" s="490"/>
      <c r="H250" s="490"/>
      <c r="I250" s="490"/>
      <c r="J250" s="490"/>
      <c r="K250" s="490"/>
      <c r="L250" s="490"/>
      <c r="M250" s="490"/>
      <c r="N250" s="490"/>
      <c r="O250" s="490"/>
      <c r="P250" s="490"/>
      <c r="Q250" s="490"/>
      <c r="R250" s="490"/>
      <c r="S250" s="490"/>
      <c r="T250" s="490"/>
      <c r="U250" s="490"/>
      <c r="V250" s="490"/>
      <c r="W250" s="491"/>
      <c r="X250" s="82" t="s">
        <v>650</v>
      </c>
      <c r="Y250" s="153">
        <v>6</v>
      </c>
      <c r="Z250" s="153">
        <v>2500</v>
      </c>
      <c r="AA250" s="159">
        <f t="shared" si="7"/>
        <v>15000</v>
      </c>
    </row>
    <row r="251" spans="1:30" s="53" customFormat="1" ht="15" customHeight="1" x14ac:dyDescent="0.25">
      <c r="B251" s="73" t="s">
        <v>342</v>
      </c>
      <c r="C251" s="73" t="s">
        <v>348</v>
      </c>
      <c r="D251" s="492" t="s">
        <v>796</v>
      </c>
      <c r="E251" s="493"/>
      <c r="F251" s="493"/>
      <c r="G251" s="493"/>
      <c r="H251" s="493"/>
      <c r="I251" s="493"/>
      <c r="J251" s="493"/>
      <c r="K251" s="493"/>
      <c r="L251" s="493"/>
      <c r="M251" s="493"/>
      <c r="N251" s="493"/>
      <c r="O251" s="493"/>
      <c r="P251" s="493"/>
      <c r="Q251" s="493"/>
      <c r="R251" s="493"/>
      <c r="S251" s="493"/>
      <c r="T251" s="493"/>
      <c r="U251" s="493"/>
      <c r="V251" s="493"/>
      <c r="W251" s="494"/>
      <c r="X251" s="82" t="s">
        <v>443</v>
      </c>
      <c r="Y251" s="153">
        <v>72</v>
      </c>
      <c r="Z251" s="153">
        <v>1700</v>
      </c>
      <c r="AA251" s="159">
        <f t="shared" ref="AA251:AA258" si="8">Y251*Z251</f>
        <v>122400</v>
      </c>
    </row>
    <row r="252" spans="1:30" s="53" customFormat="1" ht="15" customHeight="1" x14ac:dyDescent="0.25">
      <c r="A252" s="53" t="s">
        <v>316</v>
      </c>
      <c r="B252" s="73"/>
      <c r="C252" s="73" t="s">
        <v>349</v>
      </c>
      <c r="D252" s="492" t="s">
        <v>655</v>
      </c>
      <c r="E252" s="493"/>
      <c r="F252" s="493"/>
      <c r="G252" s="493"/>
      <c r="H252" s="493"/>
      <c r="I252" s="493"/>
      <c r="J252" s="493"/>
      <c r="K252" s="493"/>
      <c r="L252" s="493"/>
      <c r="M252" s="493"/>
      <c r="N252" s="493"/>
      <c r="O252" s="493"/>
      <c r="P252" s="493"/>
      <c r="Q252" s="493"/>
      <c r="R252" s="493"/>
      <c r="S252" s="493"/>
      <c r="T252" s="493"/>
      <c r="U252" s="493"/>
      <c r="V252" s="493"/>
      <c r="W252" s="494"/>
      <c r="X252" s="82" t="s">
        <v>443</v>
      </c>
      <c r="Y252" s="153">
        <f>2*5</f>
        <v>10</v>
      </c>
      <c r="Z252" s="153">
        <v>2500</v>
      </c>
      <c r="AA252" s="159">
        <f t="shared" si="8"/>
        <v>25000</v>
      </c>
    </row>
    <row r="253" spans="1:30" s="53" customFormat="1" ht="15" customHeight="1" x14ac:dyDescent="0.25">
      <c r="A253" s="53" t="s">
        <v>447</v>
      </c>
      <c r="B253" s="73" t="s">
        <v>344</v>
      </c>
      <c r="C253" s="73" t="s">
        <v>350</v>
      </c>
      <c r="D253" s="492" t="s">
        <v>797</v>
      </c>
      <c r="E253" s="493"/>
      <c r="F253" s="493"/>
      <c r="G253" s="493"/>
      <c r="H253" s="493"/>
      <c r="I253" s="493"/>
      <c r="J253" s="493"/>
      <c r="K253" s="493"/>
      <c r="L253" s="493"/>
      <c r="M253" s="493"/>
      <c r="N253" s="493"/>
      <c r="O253" s="493"/>
      <c r="P253" s="493"/>
      <c r="Q253" s="493"/>
      <c r="R253" s="493"/>
      <c r="S253" s="493"/>
      <c r="T253" s="493"/>
      <c r="U253" s="493"/>
      <c r="V253" s="493"/>
      <c r="W253" s="494"/>
      <c r="X253" s="82" t="s">
        <v>635</v>
      </c>
      <c r="Y253" s="153">
        <v>5</v>
      </c>
      <c r="Z253" s="158">
        <v>5000</v>
      </c>
      <c r="AA253" s="159">
        <f t="shared" si="8"/>
        <v>25000</v>
      </c>
      <c r="AC253" s="204"/>
    </row>
    <row r="254" spans="1:30" s="53" customFormat="1" ht="32.450000000000003" customHeight="1" x14ac:dyDescent="0.25">
      <c r="A254" s="53" t="s">
        <v>447</v>
      </c>
      <c r="B254" s="73" t="s">
        <v>345</v>
      </c>
      <c r="C254" s="73" t="s">
        <v>351</v>
      </c>
      <c r="D254" s="492" t="s">
        <v>798</v>
      </c>
      <c r="E254" s="493"/>
      <c r="F254" s="493"/>
      <c r="G254" s="493"/>
      <c r="H254" s="493"/>
      <c r="I254" s="493"/>
      <c r="J254" s="493"/>
      <c r="K254" s="493"/>
      <c r="L254" s="493"/>
      <c r="M254" s="493"/>
      <c r="N254" s="493"/>
      <c r="O254" s="493"/>
      <c r="P254" s="493"/>
      <c r="Q254" s="493"/>
      <c r="R254" s="493"/>
      <c r="S254" s="493"/>
      <c r="T254" s="493"/>
      <c r="U254" s="493"/>
      <c r="V254" s="493"/>
      <c r="W254" s="494"/>
      <c r="X254" s="82" t="s">
        <v>637</v>
      </c>
      <c r="Y254" s="153">
        <v>12</v>
      </c>
      <c r="Z254" s="158">
        <v>2500</v>
      </c>
      <c r="AA254" s="159">
        <f t="shared" si="8"/>
        <v>30000</v>
      </c>
      <c r="AB254" s="53">
        <v>30</v>
      </c>
      <c r="AC254" s="204">
        <f>+AB254*Y254</f>
        <v>360</v>
      </c>
      <c r="AD254" s="53" t="s">
        <v>656</v>
      </c>
    </row>
    <row r="255" spans="1:30" s="53" customFormat="1" ht="15" customHeight="1" x14ac:dyDescent="0.25">
      <c r="A255" s="53" t="s">
        <v>316</v>
      </c>
      <c r="B255" s="73"/>
      <c r="C255" s="73" t="s">
        <v>352</v>
      </c>
      <c r="D255" s="492" t="s">
        <v>657</v>
      </c>
      <c r="E255" s="493"/>
      <c r="F255" s="493"/>
      <c r="G255" s="493"/>
      <c r="H255" s="493"/>
      <c r="I255" s="493"/>
      <c r="J255" s="493"/>
      <c r="K255" s="493"/>
      <c r="L255" s="493"/>
      <c r="M255" s="493"/>
      <c r="N255" s="493"/>
      <c r="O255" s="493"/>
      <c r="P255" s="493"/>
      <c r="Q255" s="493"/>
      <c r="R255" s="493"/>
      <c r="S255" s="493"/>
      <c r="T255" s="493"/>
      <c r="U255" s="493"/>
      <c r="V255" s="493"/>
      <c r="W255" s="494"/>
      <c r="X255" s="82" t="s">
        <v>443</v>
      </c>
      <c r="Y255" s="153">
        <f>2*6</f>
        <v>12</v>
      </c>
      <c r="Z255" s="158">
        <v>2500</v>
      </c>
      <c r="AA255" s="159">
        <f t="shared" si="8"/>
        <v>30000</v>
      </c>
    </row>
    <row r="256" spans="1:30" s="53" customFormat="1" ht="28.15" customHeight="1" x14ac:dyDescent="0.25">
      <c r="A256" s="53" t="s">
        <v>447</v>
      </c>
      <c r="B256" s="73" t="s">
        <v>346</v>
      </c>
      <c r="C256" s="73" t="s">
        <v>353</v>
      </c>
      <c r="D256" s="492" t="s">
        <v>799</v>
      </c>
      <c r="E256" s="493"/>
      <c r="F256" s="493"/>
      <c r="G256" s="493"/>
      <c r="H256" s="493"/>
      <c r="I256" s="493"/>
      <c r="J256" s="493"/>
      <c r="K256" s="493"/>
      <c r="L256" s="493"/>
      <c r="M256" s="493"/>
      <c r="N256" s="493"/>
      <c r="O256" s="493"/>
      <c r="P256" s="493"/>
      <c r="Q256" s="493"/>
      <c r="R256" s="493"/>
      <c r="S256" s="493"/>
      <c r="T256" s="493"/>
      <c r="U256" s="493"/>
      <c r="V256" s="493"/>
      <c r="W256" s="494"/>
      <c r="X256" s="82" t="s">
        <v>637</v>
      </c>
      <c r="Y256" s="153">
        <v>4</v>
      </c>
      <c r="Z256" s="158">
        <v>2500</v>
      </c>
      <c r="AA256" s="159">
        <f t="shared" si="8"/>
        <v>10000</v>
      </c>
      <c r="AB256" s="53">
        <v>30</v>
      </c>
      <c r="AC256" s="204">
        <f>+AB256*Y256</f>
        <v>120</v>
      </c>
      <c r="AD256" s="53" t="s">
        <v>658</v>
      </c>
    </row>
    <row r="257" spans="1:30" s="53" customFormat="1" ht="15" customHeight="1" x14ac:dyDescent="0.25">
      <c r="A257" s="53" t="s">
        <v>316</v>
      </c>
      <c r="B257" s="73"/>
      <c r="C257" s="73" t="s">
        <v>354</v>
      </c>
      <c r="D257" s="492" t="s">
        <v>659</v>
      </c>
      <c r="E257" s="493"/>
      <c r="F257" s="493"/>
      <c r="G257" s="493"/>
      <c r="H257" s="493"/>
      <c r="I257" s="493"/>
      <c r="J257" s="493"/>
      <c r="K257" s="493"/>
      <c r="L257" s="493"/>
      <c r="M257" s="493"/>
      <c r="N257" s="493"/>
      <c r="O257" s="493"/>
      <c r="P257" s="493"/>
      <c r="Q257" s="493"/>
      <c r="R257" s="493"/>
      <c r="S257" s="493"/>
      <c r="T257" s="493"/>
      <c r="U257" s="493"/>
      <c r="V257" s="493"/>
      <c r="W257" s="494"/>
      <c r="X257" s="82" t="s">
        <v>443</v>
      </c>
      <c r="Y257" s="153">
        <v>4</v>
      </c>
      <c r="Z257" s="158">
        <v>2500</v>
      </c>
      <c r="AA257" s="159">
        <f t="shared" si="8"/>
        <v>10000</v>
      </c>
    </row>
    <row r="258" spans="1:30" s="53" customFormat="1" ht="15" customHeight="1" x14ac:dyDescent="0.25">
      <c r="B258" s="73" t="s">
        <v>348</v>
      </c>
      <c r="C258" s="73" t="s">
        <v>356</v>
      </c>
      <c r="D258" s="492" t="s">
        <v>800</v>
      </c>
      <c r="E258" s="493"/>
      <c r="F258" s="493"/>
      <c r="G258" s="493"/>
      <c r="H258" s="493"/>
      <c r="I258" s="493"/>
      <c r="J258" s="493"/>
      <c r="K258" s="493"/>
      <c r="L258" s="493"/>
      <c r="M258" s="493"/>
      <c r="N258" s="493"/>
      <c r="O258" s="493"/>
      <c r="P258" s="493"/>
      <c r="Q258" s="493"/>
      <c r="R258" s="493"/>
      <c r="S258" s="493"/>
      <c r="T258" s="493"/>
      <c r="U258" s="493"/>
      <c r="V258" s="493"/>
      <c r="W258" s="494"/>
      <c r="X258" s="82" t="s">
        <v>443</v>
      </c>
      <c r="Y258" s="153">
        <f>4*10</f>
        <v>40</v>
      </c>
      <c r="Z258" s="153">
        <v>2000</v>
      </c>
      <c r="AA258" s="159">
        <f t="shared" si="8"/>
        <v>80000</v>
      </c>
    </row>
    <row r="259" spans="1:30" s="53" customFormat="1" ht="15" customHeight="1" x14ac:dyDescent="0.25">
      <c r="A259" s="53" t="s">
        <v>447</v>
      </c>
      <c r="B259" s="73" t="s">
        <v>349</v>
      </c>
      <c r="C259" s="73" t="s">
        <v>359</v>
      </c>
      <c r="D259" s="492" t="s">
        <v>801</v>
      </c>
      <c r="E259" s="493"/>
      <c r="F259" s="493"/>
      <c r="G259" s="493"/>
      <c r="H259" s="493"/>
      <c r="I259" s="493"/>
      <c r="J259" s="493"/>
      <c r="K259" s="493"/>
      <c r="L259" s="493"/>
      <c r="M259" s="493"/>
      <c r="N259" s="493"/>
      <c r="O259" s="493"/>
      <c r="P259" s="493"/>
      <c r="Q259" s="493"/>
      <c r="R259" s="493"/>
      <c r="S259" s="493"/>
      <c r="T259" s="493"/>
      <c r="U259" s="493"/>
      <c r="V259" s="493"/>
      <c r="W259" s="494"/>
      <c r="X259" s="82" t="s">
        <v>510</v>
      </c>
      <c r="Y259" s="153">
        <v>2</v>
      </c>
      <c r="Z259" s="158">
        <v>2500</v>
      </c>
      <c r="AA259" s="159">
        <f t="shared" si="7"/>
        <v>5000</v>
      </c>
    </row>
    <row r="260" spans="1:30" s="53" customFormat="1" ht="15" customHeight="1" x14ac:dyDescent="0.25">
      <c r="A260" s="53" t="s">
        <v>316</v>
      </c>
      <c r="B260" s="73"/>
      <c r="C260" s="73" t="s">
        <v>360</v>
      </c>
      <c r="D260" s="492" t="s">
        <v>802</v>
      </c>
      <c r="E260" s="493"/>
      <c r="F260" s="493"/>
      <c r="G260" s="493"/>
      <c r="H260" s="493"/>
      <c r="I260" s="493"/>
      <c r="J260" s="493"/>
      <c r="K260" s="493"/>
      <c r="L260" s="493"/>
      <c r="M260" s="493"/>
      <c r="N260" s="493"/>
      <c r="O260" s="493"/>
      <c r="P260" s="493"/>
      <c r="Q260" s="493"/>
      <c r="R260" s="493"/>
      <c r="S260" s="493"/>
      <c r="T260" s="493"/>
      <c r="U260" s="493"/>
      <c r="V260" s="493"/>
      <c r="W260" s="494"/>
      <c r="X260" s="82" t="s">
        <v>441</v>
      </c>
      <c r="Y260" s="153">
        <v>30</v>
      </c>
      <c r="Z260" s="158">
        <v>500</v>
      </c>
      <c r="AA260" s="159">
        <f t="shared" si="7"/>
        <v>15000</v>
      </c>
    </row>
    <row r="261" spans="1:30" s="53" customFormat="1" ht="15" customHeight="1" x14ac:dyDescent="0.35">
      <c r="B261" s="228" t="s">
        <v>442</v>
      </c>
      <c r="C261" s="73" t="s">
        <v>362</v>
      </c>
      <c r="D261" s="492" t="s">
        <v>660</v>
      </c>
      <c r="E261" s="493"/>
      <c r="F261" s="493"/>
      <c r="G261" s="493"/>
      <c r="H261" s="493"/>
      <c r="I261" s="493"/>
      <c r="J261" s="493"/>
      <c r="K261" s="493"/>
      <c r="L261" s="493"/>
      <c r="M261" s="493"/>
      <c r="N261" s="493"/>
      <c r="O261" s="493"/>
      <c r="P261" s="493"/>
      <c r="Q261" s="493"/>
      <c r="R261" s="493"/>
      <c r="S261" s="493"/>
      <c r="T261" s="493"/>
      <c r="U261" s="493"/>
      <c r="V261" s="493"/>
      <c r="W261" s="494"/>
      <c r="X261" s="82" t="s">
        <v>511</v>
      </c>
      <c r="Y261" s="153">
        <v>1</v>
      </c>
      <c r="Z261" s="158">
        <v>76000</v>
      </c>
      <c r="AA261" s="159">
        <f t="shared" si="7"/>
        <v>76000</v>
      </c>
    </row>
    <row r="262" spans="1:30" s="53" customFormat="1" ht="15" customHeight="1" x14ac:dyDescent="0.35">
      <c r="B262" s="228" t="s">
        <v>442</v>
      </c>
      <c r="C262" s="73" t="s">
        <v>364</v>
      </c>
      <c r="D262" s="492" t="s">
        <v>661</v>
      </c>
      <c r="E262" s="493"/>
      <c r="F262" s="493"/>
      <c r="G262" s="493"/>
      <c r="H262" s="493"/>
      <c r="I262" s="493"/>
      <c r="J262" s="493"/>
      <c r="K262" s="493"/>
      <c r="L262" s="493"/>
      <c r="M262" s="493"/>
      <c r="N262" s="493"/>
      <c r="O262" s="493"/>
      <c r="P262" s="493"/>
      <c r="Q262" s="493"/>
      <c r="R262" s="493"/>
      <c r="S262" s="493"/>
      <c r="T262" s="493"/>
      <c r="U262" s="493"/>
      <c r="V262" s="493"/>
      <c r="W262" s="494"/>
      <c r="X262" s="82" t="s">
        <v>443</v>
      </c>
      <c r="Y262" s="153">
        <v>4</v>
      </c>
      <c r="Z262" s="158">
        <v>2000</v>
      </c>
      <c r="AA262" s="159">
        <f t="shared" si="7"/>
        <v>8000</v>
      </c>
    </row>
    <row r="263" spans="1:30" s="53" customFormat="1" ht="16.149999999999999" customHeight="1" x14ac:dyDescent="0.25">
      <c r="B263" s="73" t="s">
        <v>350</v>
      </c>
      <c r="C263" s="73" t="s">
        <v>367</v>
      </c>
      <c r="D263" s="492" t="s">
        <v>803</v>
      </c>
      <c r="E263" s="493"/>
      <c r="F263" s="493"/>
      <c r="G263" s="493"/>
      <c r="H263" s="493"/>
      <c r="I263" s="493"/>
      <c r="J263" s="493"/>
      <c r="K263" s="493"/>
      <c r="L263" s="493"/>
      <c r="M263" s="493"/>
      <c r="N263" s="493"/>
      <c r="O263" s="493"/>
      <c r="P263" s="493"/>
      <c r="Q263" s="493"/>
      <c r="R263" s="493"/>
      <c r="S263" s="493"/>
      <c r="T263" s="493"/>
      <c r="U263" s="493"/>
      <c r="V263" s="493"/>
      <c r="W263" s="494"/>
      <c r="X263" s="82" t="s">
        <v>441</v>
      </c>
      <c r="Y263" s="153">
        <v>160</v>
      </c>
      <c r="Z263" s="153">
        <v>500</v>
      </c>
      <c r="AA263" s="159">
        <f t="shared" si="7"/>
        <v>80000</v>
      </c>
    </row>
    <row r="264" spans="1:30" s="53" customFormat="1" ht="30.6" customHeight="1" x14ac:dyDescent="0.25">
      <c r="B264" s="73" t="s">
        <v>351</v>
      </c>
      <c r="C264" s="73" t="s">
        <v>368</v>
      </c>
      <c r="D264" s="492" t="s">
        <v>662</v>
      </c>
      <c r="E264" s="493"/>
      <c r="F264" s="493"/>
      <c r="G264" s="493"/>
      <c r="H264" s="493"/>
      <c r="I264" s="493"/>
      <c r="J264" s="493"/>
      <c r="K264" s="493"/>
      <c r="L264" s="493"/>
      <c r="M264" s="493"/>
      <c r="N264" s="493"/>
      <c r="O264" s="493"/>
      <c r="P264" s="493"/>
      <c r="Q264" s="493"/>
      <c r="R264" s="493"/>
      <c r="S264" s="493"/>
      <c r="T264" s="493"/>
      <c r="U264" s="493"/>
      <c r="V264" s="493"/>
      <c r="W264" s="494"/>
      <c r="X264" s="82" t="s">
        <v>511</v>
      </c>
      <c r="Y264" s="153">
        <v>1</v>
      </c>
      <c r="Z264" s="153">
        <v>745600</v>
      </c>
      <c r="AA264" s="159">
        <f>Y264*Z264</f>
        <v>745600</v>
      </c>
    </row>
    <row r="265" spans="1:30" s="53" customFormat="1" ht="15" customHeight="1" x14ac:dyDescent="0.25">
      <c r="B265" s="73" t="s">
        <v>352</v>
      </c>
      <c r="C265" s="73" t="s">
        <v>371</v>
      </c>
      <c r="D265" s="492" t="s">
        <v>804</v>
      </c>
      <c r="E265" s="493"/>
      <c r="F265" s="493"/>
      <c r="G265" s="493"/>
      <c r="H265" s="493"/>
      <c r="I265" s="493"/>
      <c r="J265" s="493"/>
      <c r="K265" s="493"/>
      <c r="L265" s="493"/>
      <c r="M265" s="493"/>
      <c r="N265" s="493"/>
      <c r="O265" s="493"/>
      <c r="P265" s="493"/>
      <c r="Q265" s="493"/>
      <c r="R265" s="493"/>
      <c r="S265" s="493"/>
      <c r="T265" s="493"/>
      <c r="U265" s="493"/>
      <c r="V265" s="493"/>
      <c r="W265" s="494"/>
      <c r="X265" s="82" t="s">
        <v>441</v>
      </c>
      <c r="Y265" s="153">
        <v>60</v>
      </c>
      <c r="Z265" s="153">
        <v>500</v>
      </c>
      <c r="AA265" s="159">
        <f t="shared" si="7"/>
        <v>30000</v>
      </c>
    </row>
    <row r="266" spans="1:30" s="53" customFormat="1" ht="15" customHeight="1" x14ac:dyDescent="0.25">
      <c r="A266" s="53" t="s">
        <v>447</v>
      </c>
      <c r="B266" s="73" t="s">
        <v>353</v>
      </c>
      <c r="C266" s="73" t="s">
        <v>373</v>
      </c>
      <c r="D266" s="492" t="s">
        <v>805</v>
      </c>
      <c r="E266" s="493"/>
      <c r="F266" s="493"/>
      <c r="G266" s="493"/>
      <c r="H266" s="493"/>
      <c r="I266" s="493"/>
      <c r="J266" s="493"/>
      <c r="K266" s="493"/>
      <c r="L266" s="493"/>
      <c r="M266" s="493"/>
      <c r="N266" s="493"/>
      <c r="O266" s="493"/>
      <c r="P266" s="493"/>
      <c r="Q266" s="493"/>
      <c r="R266" s="493"/>
      <c r="S266" s="493"/>
      <c r="T266" s="493"/>
      <c r="U266" s="493"/>
      <c r="V266" s="493"/>
      <c r="W266" s="494"/>
      <c r="X266" s="82" t="s">
        <v>510</v>
      </c>
      <c r="Y266" s="153">
        <v>2</v>
      </c>
      <c r="Z266" s="158">
        <v>2500</v>
      </c>
      <c r="AA266" s="159">
        <f t="shared" si="7"/>
        <v>5000</v>
      </c>
    </row>
    <row r="267" spans="1:30" s="53" customFormat="1" ht="15" customHeight="1" x14ac:dyDescent="0.25">
      <c r="A267" s="53" t="s">
        <v>316</v>
      </c>
      <c r="B267" s="73"/>
      <c r="C267" s="73" t="s">
        <v>374</v>
      </c>
      <c r="D267" s="492" t="s">
        <v>806</v>
      </c>
      <c r="E267" s="493"/>
      <c r="F267" s="493"/>
      <c r="G267" s="493"/>
      <c r="H267" s="493"/>
      <c r="I267" s="493"/>
      <c r="J267" s="493"/>
      <c r="K267" s="493"/>
      <c r="L267" s="493"/>
      <c r="M267" s="493"/>
      <c r="N267" s="493"/>
      <c r="O267" s="493"/>
      <c r="P267" s="493"/>
      <c r="Q267" s="493"/>
      <c r="R267" s="493"/>
      <c r="S267" s="493"/>
      <c r="T267" s="493"/>
      <c r="U267" s="493"/>
      <c r="V267" s="493"/>
      <c r="W267" s="494"/>
      <c r="X267" s="82" t="s">
        <v>443</v>
      </c>
      <c r="Y267" s="153">
        <v>2</v>
      </c>
      <c r="Z267" s="153">
        <v>2500</v>
      </c>
      <c r="AA267" s="159">
        <f t="shared" si="7"/>
        <v>5000</v>
      </c>
    </row>
    <row r="268" spans="1:30" s="53" customFormat="1" ht="46.9" customHeight="1" x14ac:dyDescent="0.25">
      <c r="A268" s="53" t="s">
        <v>447</v>
      </c>
      <c r="B268" s="73" t="s">
        <v>354</v>
      </c>
      <c r="C268" s="73" t="s">
        <v>377</v>
      </c>
      <c r="D268" s="489" t="s">
        <v>807</v>
      </c>
      <c r="E268" s="490"/>
      <c r="F268" s="490"/>
      <c r="G268" s="490"/>
      <c r="H268" s="490"/>
      <c r="I268" s="490"/>
      <c r="J268" s="490"/>
      <c r="K268" s="490"/>
      <c r="L268" s="490"/>
      <c r="M268" s="490"/>
      <c r="N268" s="490"/>
      <c r="O268" s="490"/>
      <c r="P268" s="490"/>
      <c r="Q268" s="490"/>
      <c r="R268" s="490"/>
      <c r="S268" s="490"/>
      <c r="T268" s="490"/>
      <c r="U268" s="490"/>
      <c r="V268" s="490"/>
      <c r="W268" s="491"/>
      <c r="X268" s="82" t="s">
        <v>603</v>
      </c>
      <c r="Y268" s="158">
        <v>1</v>
      </c>
      <c r="Z268" s="158">
        <v>220000</v>
      </c>
      <c r="AA268" s="259">
        <f t="shared" ref="AA268:AA274" si="9">Y268*Z268</f>
        <v>220000</v>
      </c>
      <c r="AC268" s="53">
        <v>8000</v>
      </c>
      <c r="AD268" s="53">
        <v>3200</v>
      </c>
    </row>
    <row r="269" spans="1:30" s="53" customFormat="1" ht="15" customHeight="1" x14ac:dyDescent="0.25">
      <c r="A269" s="53" t="s">
        <v>447</v>
      </c>
      <c r="B269" s="73" t="s">
        <v>356</v>
      </c>
      <c r="C269" s="73" t="s">
        <v>379</v>
      </c>
      <c r="D269" s="492" t="s">
        <v>808</v>
      </c>
      <c r="E269" s="493"/>
      <c r="F269" s="493"/>
      <c r="G269" s="493"/>
      <c r="H269" s="493"/>
      <c r="I269" s="493"/>
      <c r="J269" s="493"/>
      <c r="K269" s="493"/>
      <c r="L269" s="493"/>
      <c r="M269" s="493"/>
      <c r="N269" s="493"/>
      <c r="O269" s="493"/>
      <c r="P269" s="493"/>
      <c r="Q269" s="493"/>
      <c r="R269" s="493"/>
      <c r="S269" s="493"/>
      <c r="T269" s="493"/>
      <c r="U269" s="493"/>
      <c r="V269" s="493"/>
      <c r="W269" s="494"/>
      <c r="X269" s="82" t="s">
        <v>510</v>
      </c>
      <c r="Y269" s="153">
        <v>2</v>
      </c>
      <c r="Z269" s="158">
        <v>2500</v>
      </c>
      <c r="AA269" s="159">
        <f t="shared" si="9"/>
        <v>5000</v>
      </c>
      <c r="AC269" s="53">
        <v>1200</v>
      </c>
      <c r="AD269" s="53">
        <v>480</v>
      </c>
    </row>
    <row r="270" spans="1:30" s="53" customFormat="1" ht="15" customHeight="1" x14ac:dyDescent="0.25">
      <c r="A270" s="53" t="s">
        <v>316</v>
      </c>
      <c r="B270" s="73"/>
      <c r="C270" s="73" t="s">
        <v>380</v>
      </c>
      <c r="D270" s="492" t="s">
        <v>809</v>
      </c>
      <c r="E270" s="493"/>
      <c r="F270" s="493"/>
      <c r="G270" s="493"/>
      <c r="H270" s="493"/>
      <c r="I270" s="493"/>
      <c r="J270" s="493"/>
      <c r="K270" s="493"/>
      <c r="L270" s="493"/>
      <c r="M270" s="493"/>
      <c r="N270" s="493"/>
      <c r="O270" s="493"/>
      <c r="P270" s="493"/>
      <c r="Q270" s="493"/>
      <c r="R270" s="493"/>
      <c r="S270" s="493"/>
      <c r="T270" s="493"/>
      <c r="U270" s="493"/>
      <c r="V270" s="493"/>
      <c r="W270" s="494"/>
      <c r="X270" s="82" t="s">
        <v>441</v>
      </c>
      <c r="Y270" s="158">
        <v>50</v>
      </c>
      <c r="Z270" s="153">
        <v>500</v>
      </c>
      <c r="AA270" s="159">
        <f t="shared" si="9"/>
        <v>25000</v>
      </c>
      <c r="AC270" s="53">
        <v>15000</v>
      </c>
      <c r="AD270" s="53">
        <v>6000</v>
      </c>
    </row>
    <row r="271" spans="1:30" s="53" customFormat="1" ht="15" customHeight="1" x14ac:dyDescent="0.25">
      <c r="A271" s="53" t="s">
        <v>447</v>
      </c>
      <c r="B271" s="73" t="s">
        <v>359</v>
      </c>
      <c r="C271" s="73" t="s">
        <v>382</v>
      </c>
      <c r="D271" s="492" t="s">
        <v>810</v>
      </c>
      <c r="E271" s="493"/>
      <c r="F271" s="493"/>
      <c r="G271" s="493"/>
      <c r="H271" s="493"/>
      <c r="I271" s="493"/>
      <c r="J271" s="493"/>
      <c r="K271" s="493"/>
      <c r="L271" s="493"/>
      <c r="M271" s="493"/>
      <c r="N271" s="493"/>
      <c r="O271" s="493"/>
      <c r="P271" s="493"/>
      <c r="Q271" s="493"/>
      <c r="R271" s="493"/>
      <c r="S271" s="493"/>
      <c r="T271" s="493"/>
      <c r="U271" s="493"/>
      <c r="V271" s="493"/>
      <c r="W271" s="494"/>
      <c r="X271" s="82" t="s">
        <v>510</v>
      </c>
      <c r="Y271" s="153">
        <v>2</v>
      </c>
      <c r="Z271" s="158">
        <v>2500</v>
      </c>
      <c r="AA271" s="159">
        <f t="shared" si="9"/>
        <v>5000</v>
      </c>
      <c r="AC271" s="53">
        <v>16800</v>
      </c>
      <c r="AD271" s="53">
        <v>6720</v>
      </c>
    </row>
    <row r="272" spans="1:30" s="53" customFormat="1" ht="15" customHeight="1" x14ac:dyDescent="0.25">
      <c r="A272" s="53" t="s">
        <v>316</v>
      </c>
      <c r="B272" s="73"/>
      <c r="C272" s="73" t="s">
        <v>383</v>
      </c>
      <c r="D272" s="492" t="s">
        <v>811</v>
      </c>
      <c r="E272" s="493"/>
      <c r="F272" s="493"/>
      <c r="G272" s="493"/>
      <c r="H272" s="493"/>
      <c r="I272" s="493"/>
      <c r="J272" s="493"/>
      <c r="K272" s="493"/>
      <c r="L272" s="493"/>
      <c r="M272" s="493"/>
      <c r="N272" s="493"/>
      <c r="O272" s="493"/>
      <c r="P272" s="493"/>
      <c r="Q272" s="493"/>
      <c r="R272" s="493"/>
      <c r="S272" s="493"/>
      <c r="T272" s="493"/>
      <c r="U272" s="493"/>
      <c r="V272" s="493"/>
      <c r="W272" s="494"/>
      <c r="X272" s="82" t="s">
        <v>441</v>
      </c>
      <c r="Y272" s="153">
        <v>50</v>
      </c>
      <c r="Z272" s="153">
        <v>500</v>
      </c>
      <c r="AA272" s="159">
        <f t="shared" si="9"/>
        <v>25000</v>
      </c>
    </row>
    <row r="273" spans="1:39" s="53" customFormat="1" ht="15" customHeight="1" x14ac:dyDescent="0.25">
      <c r="B273" s="73" t="s">
        <v>360</v>
      </c>
      <c r="C273" s="73" t="s">
        <v>385</v>
      </c>
      <c r="D273" s="492" t="s">
        <v>812</v>
      </c>
      <c r="E273" s="493"/>
      <c r="F273" s="493"/>
      <c r="G273" s="493"/>
      <c r="H273" s="493"/>
      <c r="I273" s="493"/>
      <c r="J273" s="493"/>
      <c r="K273" s="493"/>
      <c r="L273" s="493"/>
      <c r="M273" s="493"/>
      <c r="N273" s="493"/>
      <c r="O273" s="493"/>
      <c r="P273" s="493"/>
      <c r="Q273" s="493"/>
      <c r="R273" s="493"/>
      <c r="S273" s="493"/>
      <c r="T273" s="493"/>
      <c r="U273" s="493"/>
      <c r="V273" s="493"/>
      <c r="W273" s="494"/>
      <c r="X273" s="82" t="s">
        <v>441</v>
      </c>
      <c r="Y273" s="153">
        <v>80</v>
      </c>
      <c r="Z273" s="153">
        <v>500</v>
      </c>
      <c r="AA273" s="159">
        <f t="shared" si="9"/>
        <v>40000</v>
      </c>
    </row>
    <row r="274" spans="1:39" s="53" customFormat="1" ht="15" customHeight="1" x14ac:dyDescent="0.25">
      <c r="B274" s="73" t="s">
        <v>362</v>
      </c>
      <c r="C274" s="73" t="s">
        <v>387</v>
      </c>
      <c r="D274" s="492" t="s">
        <v>663</v>
      </c>
      <c r="E274" s="493"/>
      <c r="F274" s="493"/>
      <c r="G274" s="493"/>
      <c r="H274" s="493"/>
      <c r="I274" s="493"/>
      <c r="J274" s="493"/>
      <c r="K274" s="493"/>
      <c r="L274" s="493"/>
      <c r="M274" s="493"/>
      <c r="N274" s="493"/>
      <c r="O274" s="493"/>
      <c r="P274" s="493"/>
      <c r="Q274" s="493"/>
      <c r="R274" s="493"/>
      <c r="S274" s="493"/>
      <c r="T274" s="493"/>
      <c r="U274" s="493"/>
      <c r="V274" s="493"/>
      <c r="W274" s="494"/>
      <c r="X274" s="82" t="s">
        <v>511</v>
      </c>
      <c r="Y274" s="158">
        <v>2</v>
      </c>
      <c r="Z274" s="153">
        <v>10000</v>
      </c>
      <c r="AA274" s="159">
        <f t="shared" si="9"/>
        <v>20000</v>
      </c>
    </row>
    <row r="275" spans="1:39" s="53" customFormat="1" ht="15" customHeight="1" x14ac:dyDescent="0.25">
      <c r="B275" s="72"/>
      <c r="C275" s="72"/>
      <c r="D275" s="492"/>
      <c r="E275" s="493"/>
      <c r="F275" s="493"/>
      <c r="G275" s="493"/>
      <c r="H275" s="493"/>
      <c r="I275" s="493"/>
      <c r="J275" s="493"/>
      <c r="K275" s="493"/>
      <c r="L275" s="493"/>
      <c r="M275" s="493"/>
      <c r="N275" s="493"/>
      <c r="O275" s="493"/>
      <c r="P275" s="493"/>
      <c r="Q275" s="493"/>
      <c r="R275" s="493"/>
      <c r="S275" s="493"/>
      <c r="T275" s="493"/>
      <c r="U275" s="493"/>
      <c r="V275" s="493"/>
      <c r="W275" s="494"/>
      <c r="X275" s="82"/>
      <c r="Y275" s="72"/>
      <c r="Z275" s="72"/>
      <c r="AA275" s="172"/>
    </row>
    <row r="276" spans="1:39" s="53" customFormat="1" ht="45" customHeight="1" x14ac:dyDescent="0.25">
      <c r="B276" t="s">
        <v>439</v>
      </c>
      <c r="C276" s="495" t="s">
        <v>14</v>
      </c>
      <c r="D276" s="496"/>
      <c r="E276" s="496"/>
      <c r="F276" s="496"/>
      <c r="G276" s="496"/>
      <c r="H276" s="496"/>
      <c r="I276" s="496"/>
      <c r="J276" s="496"/>
      <c r="K276" s="496"/>
      <c r="L276" s="496"/>
      <c r="M276" s="496"/>
      <c r="N276" s="496"/>
      <c r="O276" s="496"/>
      <c r="P276" s="496"/>
      <c r="Q276" s="496"/>
      <c r="R276" s="496"/>
      <c r="S276" s="496"/>
      <c r="T276" s="496"/>
      <c r="U276" s="496"/>
      <c r="V276" s="496"/>
      <c r="W276" s="497"/>
      <c r="X276" s="190"/>
      <c r="Y276" s="191"/>
      <c r="Z276" s="191"/>
      <c r="AA276" s="192"/>
      <c r="AB276" s="193">
        <f>+SUM(AA277:AA294)</f>
        <v>1158200</v>
      </c>
      <c r="AC276" s="194"/>
      <c r="AD276" s="194"/>
      <c r="AE276" s="194"/>
      <c r="AF276" s="194"/>
      <c r="AG276" s="194"/>
      <c r="AH276" s="194"/>
      <c r="AI276" s="194"/>
      <c r="AJ276" s="194"/>
      <c r="AK276" s="194"/>
      <c r="AL276" s="194"/>
      <c r="AM276" s="194"/>
    </row>
    <row r="277" spans="1:39" s="53" customFormat="1" ht="15" customHeight="1" x14ac:dyDescent="0.25">
      <c r="B277" s="73" t="s">
        <v>393</v>
      </c>
      <c r="C277" s="73" t="s">
        <v>393</v>
      </c>
      <c r="D277" s="492" t="s">
        <v>813</v>
      </c>
      <c r="E277" s="493"/>
      <c r="F277" s="493"/>
      <c r="G277" s="493"/>
      <c r="H277" s="493"/>
      <c r="I277" s="493"/>
      <c r="J277" s="493"/>
      <c r="K277" s="493"/>
      <c r="L277" s="493"/>
      <c r="M277" s="493"/>
      <c r="N277" s="493"/>
      <c r="O277" s="493"/>
      <c r="P277" s="493"/>
      <c r="Q277" s="493"/>
      <c r="R277" s="493"/>
      <c r="S277" s="493"/>
      <c r="T277" s="493"/>
      <c r="U277" s="493"/>
      <c r="V277" s="493"/>
      <c r="W277" s="494"/>
      <c r="X277" s="82" t="s">
        <v>443</v>
      </c>
      <c r="Y277" s="153">
        <v>72</v>
      </c>
      <c r="Z277" s="153">
        <v>1900</v>
      </c>
      <c r="AA277" s="159">
        <f>Y277*Z277</f>
        <v>136800</v>
      </c>
    </row>
    <row r="278" spans="1:39" s="53" customFormat="1" ht="15" customHeight="1" x14ac:dyDescent="0.25">
      <c r="B278" s="73" t="s">
        <v>395</v>
      </c>
      <c r="C278" s="73" t="s">
        <v>395</v>
      </c>
      <c r="D278" s="492" t="s">
        <v>814</v>
      </c>
      <c r="E278" s="493"/>
      <c r="F278" s="493"/>
      <c r="G278" s="493"/>
      <c r="H278" s="493"/>
      <c r="I278" s="493"/>
      <c r="J278" s="493"/>
      <c r="K278" s="493"/>
      <c r="L278" s="493"/>
      <c r="M278" s="493"/>
      <c r="N278" s="493"/>
      <c r="O278" s="493"/>
      <c r="P278" s="493"/>
      <c r="Q278" s="493"/>
      <c r="R278" s="493"/>
      <c r="S278" s="493"/>
      <c r="T278" s="493"/>
      <c r="U278" s="493"/>
      <c r="V278" s="493"/>
      <c r="W278" s="494"/>
      <c r="X278" s="82" t="s">
        <v>443</v>
      </c>
      <c r="Y278" s="153">
        <v>72</v>
      </c>
      <c r="Z278" s="153">
        <v>1700</v>
      </c>
      <c r="AA278" s="159">
        <f t="shared" ref="AA278:AA294" si="10">Y278*Z278</f>
        <v>122400</v>
      </c>
    </row>
    <row r="279" spans="1:39" s="53" customFormat="1" ht="15" customHeight="1" x14ac:dyDescent="0.25">
      <c r="B279" s="73" t="s">
        <v>397</v>
      </c>
      <c r="C279" s="73" t="s">
        <v>397</v>
      </c>
      <c r="D279" s="492" t="s">
        <v>815</v>
      </c>
      <c r="E279" s="493"/>
      <c r="F279" s="493"/>
      <c r="G279" s="493"/>
      <c r="H279" s="493"/>
      <c r="I279" s="493"/>
      <c r="J279" s="493"/>
      <c r="K279" s="493"/>
      <c r="L279" s="493"/>
      <c r="M279" s="493"/>
      <c r="N279" s="493"/>
      <c r="O279" s="493"/>
      <c r="P279" s="493"/>
      <c r="Q279" s="493"/>
      <c r="R279" s="493"/>
      <c r="S279" s="493"/>
      <c r="T279" s="493"/>
      <c r="U279" s="493"/>
      <c r="V279" s="493"/>
      <c r="W279" s="494"/>
      <c r="X279" s="82" t="s">
        <v>443</v>
      </c>
      <c r="Y279" s="153">
        <v>72</v>
      </c>
      <c r="Z279" s="153">
        <v>1500</v>
      </c>
      <c r="AA279" s="159">
        <f t="shared" si="10"/>
        <v>108000</v>
      </c>
    </row>
    <row r="280" spans="1:39" s="53" customFormat="1" ht="15" customHeight="1" x14ac:dyDescent="0.25">
      <c r="B280" s="73" t="s">
        <v>399</v>
      </c>
      <c r="C280" s="73" t="s">
        <v>399</v>
      </c>
      <c r="D280" s="492" t="s">
        <v>816</v>
      </c>
      <c r="E280" s="493"/>
      <c r="F280" s="493"/>
      <c r="G280" s="493"/>
      <c r="H280" s="493"/>
      <c r="I280" s="493"/>
      <c r="J280" s="493"/>
      <c r="K280" s="493"/>
      <c r="L280" s="493"/>
      <c r="M280" s="493"/>
      <c r="N280" s="493"/>
      <c r="O280" s="493"/>
      <c r="P280" s="493"/>
      <c r="Q280" s="493"/>
      <c r="R280" s="493"/>
      <c r="S280" s="493"/>
      <c r="T280" s="493"/>
      <c r="U280" s="493"/>
      <c r="V280" s="493"/>
      <c r="W280" s="494"/>
      <c r="X280" s="82" t="s">
        <v>443</v>
      </c>
      <c r="Y280" s="153">
        <v>72</v>
      </c>
      <c r="Z280" s="153">
        <v>1500</v>
      </c>
      <c r="AA280" s="159">
        <f t="shared" si="10"/>
        <v>108000</v>
      </c>
    </row>
    <row r="281" spans="1:39" s="53" customFormat="1" ht="15" customHeight="1" x14ac:dyDescent="0.25">
      <c r="B281" s="73" t="s">
        <v>401</v>
      </c>
      <c r="C281" s="73" t="s">
        <v>401</v>
      </c>
      <c r="D281" s="492" t="s">
        <v>664</v>
      </c>
      <c r="E281" s="493"/>
      <c r="F281" s="493"/>
      <c r="G281" s="493"/>
      <c r="H281" s="493"/>
      <c r="I281" s="493"/>
      <c r="J281" s="493"/>
      <c r="K281" s="493"/>
      <c r="L281" s="493"/>
      <c r="M281" s="493"/>
      <c r="N281" s="493"/>
      <c r="O281" s="493"/>
      <c r="P281" s="493"/>
      <c r="Q281" s="493"/>
      <c r="R281" s="493"/>
      <c r="S281" s="493"/>
      <c r="T281" s="493"/>
      <c r="U281" s="493"/>
      <c r="V281" s="493"/>
      <c r="W281" s="494"/>
      <c r="X281" s="82" t="s">
        <v>443</v>
      </c>
      <c r="Y281" s="153">
        <v>72</v>
      </c>
      <c r="Z281" s="153">
        <v>500</v>
      </c>
      <c r="AA281" s="159">
        <f t="shared" si="10"/>
        <v>36000</v>
      </c>
    </row>
    <row r="282" spans="1:39" s="53" customFormat="1" ht="15" customHeight="1" x14ac:dyDescent="0.25">
      <c r="B282" s="73" t="s">
        <v>403</v>
      </c>
      <c r="C282" s="73" t="s">
        <v>403</v>
      </c>
      <c r="D282" s="492" t="s">
        <v>665</v>
      </c>
      <c r="E282" s="493"/>
      <c r="F282" s="493"/>
      <c r="G282" s="493"/>
      <c r="H282" s="493"/>
      <c r="I282" s="493"/>
      <c r="J282" s="493"/>
      <c r="K282" s="493"/>
      <c r="L282" s="493"/>
      <c r="M282" s="493"/>
      <c r="N282" s="493"/>
      <c r="O282" s="493"/>
      <c r="P282" s="493"/>
      <c r="Q282" s="493"/>
      <c r="R282" s="493"/>
      <c r="S282" s="493"/>
      <c r="T282" s="493"/>
      <c r="U282" s="493"/>
      <c r="V282" s="493"/>
      <c r="W282" s="494"/>
      <c r="X282" s="82" t="s">
        <v>443</v>
      </c>
      <c r="Y282" s="153">
        <v>72</v>
      </c>
      <c r="Z282" s="153">
        <v>500</v>
      </c>
      <c r="AA282" s="159">
        <f t="shared" si="10"/>
        <v>36000</v>
      </c>
    </row>
    <row r="283" spans="1:39" s="53" customFormat="1" ht="15" customHeight="1" x14ac:dyDescent="0.25">
      <c r="B283" s="73" t="s">
        <v>405</v>
      </c>
      <c r="C283" s="73" t="s">
        <v>405</v>
      </c>
      <c r="D283" s="492" t="s">
        <v>666</v>
      </c>
      <c r="E283" s="493"/>
      <c r="F283" s="493"/>
      <c r="G283" s="493"/>
      <c r="H283" s="493"/>
      <c r="I283" s="493"/>
      <c r="J283" s="493"/>
      <c r="K283" s="493"/>
      <c r="L283" s="493"/>
      <c r="M283" s="493"/>
      <c r="N283" s="493"/>
      <c r="O283" s="493"/>
      <c r="P283" s="493"/>
      <c r="Q283" s="493"/>
      <c r="R283" s="493"/>
      <c r="S283" s="493"/>
      <c r="T283" s="493"/>
      <c r="U283" s="493"/>
      <c r="V283" s="493"/>
      <c r="W283" s="494"/>
      <c r="X283" s="82" t="s">
        <v>667</v>
      </c>
      <c r="Y283" s="72">
        <v>6</v>
      </c>
      <c r="Z283" s="153">
        <v>25000</v>
      </c>
      <c r="AA283" s="159">
        <f t="shared" si="10"/>
        <v>150000</v>
      </c>
    </row>
    <row r="284" spans="1:39" s="53" customFormat="1" ht="15" customHeight="1" x14ac:dyDescent="0.25">
      <c r="B284" s="73" t="s">
        <v>406</v>
      </c>
      <c r="C284" s="73" t="s">
        <v>406</v>
      </c>
      <c r="D284" s="492" t="s">
        <v>668</v>
      </c>
      <c r="E284" s="493"/>
      <c r="F284" s="493"/>
      <c r="G284" s="493"/>
      <c r="H284" s="493"/>
      <c r="I284" s="493"/>
      <c r="J284" s="493"/>
      <c r="K284" s="493"/>
      <c r="L284" s="493"/>
      <c r="M284" s="493"/>
      <c r="N284" s="493"/>
      <c r="O284" s="493"/>
      <c r="P284" s="493"/>
      <c r="Q284" s="493"/>
      <c r="R284" s="493"/>
      <c r="S284" s="493"/>
      <c r="T284" s="493"/>
      <c r="U284" s="493"/>
      <c r="V284" s="493"/>
      <c r="W284" s="494"/>
      <c r="X284" s="82" t="s">
        <v>603</v>
      </c>
      <c r="Y284" s="72">
        <v>6</v>
      </c>
      <c r="Z284" s="153">
        <v>15000</v>
      </c>
      <c r="AA284" s="159">
        <f t="shared" si="10"/>
        <v>90000</v>
      </c>
    </row>
    <row r="285" spans="1:39" s="53" customFormat="1" ht="15" customHeight="1" x14ac:dyDescent="0.25">
      <c r="B285" s="73" t="s">
        <v>406</v>
      </c>
      <c r="C285" s="73" t="s">
        <v>408</v>
      </c>
      <c r="D285" s="492" t="s">
        <v>669</v>
      </c>
      <c r="E285" s="493"/>
      <c r="F285" s="493"/>
      <c r="G285" s="493"/>
      <c r="H285" s="493"/>
      <c r="I285" s="493"/>
      <c r="J285" s="493"/>
      <c r="K285" s="493"/>
      <c r="L285" s="493"/>
      <c r="M285" s="493"/>
      <c r="N285" s="493"/>
      <c r="O285" s="493"/>
      <c r="P285" s="493"/>
      <c r="Q285" s="493"/>
      <c r="R285" s="493"/>
      <c r="S285" s="493"/>
      <c r="T285" s="493"/>
      <c r="U285" s="493"/>
      <c r="V285" s="493"/>
      <c r="W285" s="494"/>
      <c r="X285" s="82" t="s">
        <v>670</v>
      </c>
      <c r="Y285" s="72">
        <v>1</v>
      </c>
      <c r="Z285" s="153">
        <v>25000</v>
      </c>
      <c r="AA285" s="159">
        <f t="shared" si="10"/>
        <v>25000</v>
      </c>
    </row>
    <row r="286" spans="1:39" s="53" customFormat="1" ht="15" customHeight="1" x14ac:dyDescent="0.25">
      <c r="B286" s="73" t="s">
        <v>411</v>
      </c>
      <c r="C286" s="73" t="s">
        <v>411</v>
      </c>
      <c r="D286" s="492" t="s">
        <v>671</v>
      </c>
      <c r="E286" s="493"/>
      <c r="F286" s="493"/>
      <c r="G286" s="493"/>
      <c r="H286" s="493"/>
      <c r="I286" s="493"/>
      <c r="J286" s="493"/>
      <c r="K286" s="493"/>
      <c r="L286" s="493"/>
      <c r="M286" s="493"/>
      <c r="N286" s="493"/>
      <c r="O286" s="493"/>
      <c r="P286" s="493"/>
      <c r="Q286" s="493"/>
      <c r="R286" s="493"/>
      <c r="S286" s="493"/>
      <c r="T286" s="493"/>
      <c r="U286" s="493"/>
      <c r="V286" s="493"/>
      <c r="W286" s="494"/>
      <c r="X286" s="82" t="s">
        <v>672</v>
      </c>
      <c r="Y286" s="72">
        <v>1</v>
      </c>
      <c r="Z286" s="206">
        <v>30000</v>
      </c>
      <c r="AA286" s="159">
        <f t="shared" si="10"/>
        <v>30000</v>
      </c>
    </row>
    <row r="287" spans="1:39" s="53" customFormat="1" ht="15" customHeight="1" x14ac:dyDescent="0.25">
      <c r="A287" s="53" t="s">
        <v>447</v>
      </c>
      <c r="B287" s="73" t="s">
        <v>413</v>
      </c>
      <c r="C287" s="73" t="s">
        <v>413</v>
      </c>
      <c r="D287" s="492" t="s">
        <v>673</v>
      </c>
      <c r="E287" s="493"/>
      <c r="F287" s="493"/>
      <c r="G287" s="493"/>
      <c r="H287" s="493"/>
      <c r="I287" s="493"/>
      <c r="J287" s="493"/>
      <c r="K287" s="493"/>
      <c r="L287" s="493"/>
      <c r="M287" s="493"/>
      <c r="N287" s="493"/>
      <c r="O287" s="493"/>
      <c r="P287" s="493"/>
      <c r="Q287" s="493"/>
      <c r="R287" s="493"/>
      <c r="S287" s="493"/>
      <c r="T287" s="493"/>
      <c r="U287" s="493"/>
      <c r="V287" s="493"/>
      <c r="W287" s="494"/>
      <c r="X287" s="82" t="s">
        <v>458</v>
      </c>
      <c r="Y287" s="72">
        <v>1</v>
      </c>
      <c r="Z287" s="158">
        <v>15000</v>
      </c>
      <c r="AA287" s="159">
        <f t="shared" si="10"/>
        <v>15000</v>
      </c>
    </row>
    <row r="288" spans="1:39" s="53" customFormat="1" ht="15" customHeight="1" x14ac:dyDescent="0.25">
      <c r="A288" s="53" t="s">
        <v>447</v>
      </c>
      <c r="B288" s="73" t="s">
        <v>415</v>
      </c>
      <c r="C288" s="73" t="s">
        <v>415</v>
      </c>
      <c r="D288" s="492" t="s">
        <v>674</v>
      </c>
      <c r="E288" s="493"/>
      <c r="F288" s="493"/>
      <c r="G288" s="493"/>
      <c r="H288" s="493"/>
      <c r="I288" s="493"/>
      <c r="J288" s="493"/>
      <c r="K288" s="493"/>
      <c r="L288" s="493"/>
      <c r="M288" s="493"/>
      <c r="N288" s="493"/>
      <c r="O288" s="493"/>
      <c r="P288" s="493"/>
      <c r="Q288" s="493"/>
      <c r="R288" s="493"/>
      <c r="S288" s="493"/>
      <c r="T288" s="493"/>
      <c r="U288" s="493"/>
      <c r="V288" s="493"/>
      <c r="W288" s="494"/>
      <c r="X288" s="82" t="s">
        <v>458</v>
      </c>
      <c r="Y288" s="72">
        <v>1</v>
      </c>
      <c r="Z288" s="158">
        <v>28000</v>
      </c>
      <c r="AA288" s="159">
        <f t="shared" si="10"/>
        <v>28000</v>
      </c>
    </row>
    <row r="289" spans="2:39" s="53" customFormat="1" ht="15" customHeight="1" x14ac:dyDescent="0.25">
      <c r="B289" s="73"/>
      <c r="C289" s="73" t="s">
        <v>417</v>
      </c>
      <c r="D289" s="492" t="s">
        <v>675</v>
      </c>
      <c r="E289" s="493"/>
      <c r="F289" s="493"/>
      <c r="G289" s="493"/>
      <c r="H289" s="493"/>
      <c r="I289" s="493"/>
      <c r="J289" s="493"/>
      <c r="K289" s="493"/>
      <c r="L289" s="493"/>
      <c r="M289" s="493"/>
      <c r="N289" s="493"/>
      <c r="O289" s="493"/>
      <c r="P289" s="493"/>
      <c r="Q289" s="493"/>
      <c r="R289" s="493"/>
      <c r="S289" s="493"/>
      <c r="T289" s="493"/>
      <c r="U289" s="493"/>
      <c r="V289" s="493"/>
      <c r="W289" s="494"/>
      <c r="X289" s="82" t="s">
        <v>511</v>
      </c>
      <c r="Y289" s="72">
        <v>1</v>
      </c>
      <c r="Z289" s="158">
        <v>26000</v>
      </c>
      <c r="AA289" s="159">
        <f t="shared" si="10"/>
        <v>26000</v>
      </c>
    </row>
    <row r="290" spans="2:39" s="53" customFormat="1" ht="15" customHeight="1" x14ac:dyDescent="0.25">
      <c r="B290" s="73" t="s">
        <v>417</v>
      </c>
      <c r="C290" s="73" t="s">
        <v>421</v>
      </c>
      <c r="D290" s="492" t="s">
        <v>676</v>
      </c>
      <c r="E290" s="493"/>
      <c r="F290" s="493"/>
      <c r="G290" s="493"/>
      <c r="H290" s="493"/>
      <c r="I290" s="493"/>
      <c r="J290" s="493"/>
      <c r="K290" s="493"/>
      <c r="L290" s="493"/>
      <c r="M290" s="493"/>
      <c r="N290" s="493"/>
      <c r="O290" s="493"/>
      <c r="P290" s="493"/>
      <c r="Q290" s="493"/>
      <c r="R290" s="493"/>
      <c r="S290" s="493"/>
      <c r="T290" s="493"/>
      <c r="U290" s="493"/>
      <c r="V290" s="493"/>
      <c r="W290" s="494"/>
      <c r="X290" s="82" t="s">
        <v>603</v>
      </c>
      <c r="Y290" s="72">
        <v>6</v>
      </c>
      <c r="Z290" s="153">
        <v>5000</v>
      </c>
      <c r="AA290" s="159">
        <f t="shared" si="10"/>
        <v>30000</v>
      </c>
    </row>
    <row r="291" spans="2:39" s="53" customFormat="1" ht="15" customHeight="1" x14ac:dyDescent="0.25">
      <c r="B291" s="73" t="s">
        <v>421</v>
      </c>
      <c r="C291" s="73" t="s">
        <v>421</v>
      </c>
      <c r="D291" s="492" t="s">
        <v>677</v>
      </c>
      <c r="E291" s="493"/>
      <c r="F291" s="493"/>
      <c r="G291" s="493"/>
      <c r="H291" s="493"/>
      <c r="I291" s="493"/>
      <c r="J291" s="493"/>
      <c r="K291" s="493"/>
      <c r="L291" s="493"/>
      <c r="M291" s="493"/>
      <c r="N291" s="493"/>
      <c r="O291" s="493"/>
      <c r="P291" s="493"/>
      <c r="Q291" s="493"/>
      <c r="R291" s="493"/>
      <c r="S291" s="493"/>
      <c r="T291" s="493"/>
      <c r="U291" s="493"/>
      <c r="V291" s="493"/>
      <c r="W291" s="494"/>
      <c r="X291" s="82" t="s">
        <v>603</v>
      </c>
      <c r="Y291" s="72">
        <v>6</v>
      </c>
      <c r="Z291" s="153">
        <v>10000</v>
      </c>
      <c r="AA291" s="159">
        <f t="shared" si="10"/>
        <v>60000</v>
      </c>
    </row>
    <row r="292" spans="2:39" s="53" customFormat="1" ht="15" customHeight="1" x14ac:dyDescent="0.25">
      <c r="B292" s="73" t="s">
        <v>421</v>
      </c>
      <c r="C292" s="73" t="s">
        <v>424</v>
      </c>
      <c r="D292" s="492" t="s">
        <v>678</v>
      </c>
      <c r="E292" s="493"/>
      <c r="F292" s="493"/>
      <c r="G292" s="493"/>
      <c r="H292" s="493"/>
      <c r="I292" s="493"/>
      <c r="J292" s="493"/>
      <c r="K292" s="493"/>
      <c r="L292" s="493"/>
      <c r="M292" s="493"/>
      <c r="N292" s="493"/>
      <c r="O292" s="493"/>
      <c r="P292" s="493"/>
      <c r="Q292" s="493"/>
      <c r="R292" s="493"/>
      <c r="S292" s="493"/>
      <c r="T292" s="493"/>
      <c r="U292" s="493"/>
      <c r="V292" s="493"/>
      <c r="W292" s="494"/>
      <c r="X292" s="82" t="s">
        <v>603</v>
      </c>
      <c r="Y292" s="72">
        <v>6</v>
      </c>
      <c r="Z292" s="153">
        <v>2000</v>
      </c>
      <c r="AA292" s="159">
        <f t="shared" si="10"/>
        <v>12000</v>
      </c>
    </row>
    <row r="293" spans="2:39" s="53" customFormat="1" ht="15" customHeight="1" x14ac:dyDescent="0.25">
      <c r="B293" s="73" t="s">
        <v>424</v>
      </c>
      <c r="C293" s="73" t="s">
        <v>426</v>
      </c>
      <c r="D293" s="492" t="s">
        <v>679</v>
      </c>
      <c r="E293" s="493"/>
      <c r="F293" s="493"/>
      <c r="G293" s="493"/>
      <c r="H293" s="493"/>
      <c r="I293" s="493"/>
      <c r="J293" s="493"/>
      <c r="K293" s="493"/>
      <c r="L293" s="493"/>
      <c r="M293" s="493"/>
      <c r="N293" s="493"/>
      <c r="O293" s="493"/>
      <c r="P293" s="493"/>
      <c r="Q293" s="493"/>
      <c r="R293" s="493"/>
      <c r="S293" s="493"/>
      <c r="T293" s="493"/>
      <c r="U293" s="493"/>
      <c r="V293" s="493"/>
      <c r="W293" s="494"/>
      <c r="X293" s="82" t="s">
        <v>680</v>
      </c>
      <c r="Y293" s="72">
        <v>72</v>
      </c>
      <c r="Z293" s="153">
        <v>1000</v>
      </c>
      <c r="AA293" s="159">
        <f t="shared" si="10"/>
        <v>72000</v>
      </c>
    </row>
    <row r="294" spans="2:39" s="53" customFormat="1" ht="15" customHeight="1" x14ac:dyDescent="0.25">
      <c r="B294" s="73" t="s">
        <v>426</v>
      </c>
      <c r="C294" s="73" t="s">
        <v>681</v>
      </c>
      <c r="D294" s="492" t="s">
        <v>682</v>
      </c>
      <c r="E294" s="493"/>
      <c r="F294" s="493"/>
      <c r="G294" s="493"/>
      <c r="H294" s="493"/>
      <c r="I294" s="493"/>
      <c r="J294" s="493"/>
      <c r="K294" s="493"/>
      <c r="L294" s="493"/>
      <c r="M294" s="493"/>
      <c r="N294" s="493"/>
      <c r="O294" s="493"/>
      <c r="P294" s="493"/>
      <c r="Q294" s="493"/>
      <c r="R294" s="493"/>
      <c r="S294" s="493"/>
      <c r="T294" s="493"/>
      <c r="U294" s="493"/>
      <c r="V294" s="493"/>
      <c r="W294" s="494"/>
      <c r="X294" s="82" t="s">
        <v>683</v>
      </c>
      <c r="Y294" s="72">
        <v>1</v>
      </c>
      <c r="Z294" s="189">
        <v>73000</v>
      </c>
      <c r="AA294" s="159">
        <f t="shared" si="10"/>
        <v>73000</v>
      </c>
    </row>
    <row r="295" spans="2:39" s="53" customFormat="1" x14ac:dyDescent="0.25">
      <c r="B295" s="72"/>
      <c r="C295" s="72"/>
      <c r="D295" s="72"/>
      <c r="E295" s="72"/>
      <c r="F295" s="195"/>
      <c r="G295" s="195"/>
      <c r="H295" s="195"/>
      <c r="I295" s="195"/>
      <c r="J295" s="195"/>
      <c r="K295" s="195"/>
      <c r="L295" s="195"/>
      <c r="M295" s="195"/>
      <c r="N295" s="195"/>
      <c r="O295" s="195"/>
      <c r="P295" s="195"/>
      <c r="Q295" s="195"/>
      <c r="R295" s="195"/>
      <c r="S295" s="195"/>
      <c r="T295" s="195"/>
      <c r="U295" s="195"/>
      <c r="V295" s="195"/>
      <c r="W295" s="195"/>
      <c r="X295" s="195"/>
      <c r="Y295" s="195"/>
      <c r="Z295" s="195"/>
      <c r="AA295" s="196"/>
    </row>
    <row r="296" spans="2:39" s="53" customFormat="1" ht="45" customHeight="1" x14ac:dyDescent="0.25">
      <c r="B296" t="s">
        <v>439</v>
      </c>
      <c r="C296" s="495" t="s">
        <v>1</v>
      </c>
      <c r="D296" s="496"/>
      <c r="E296" s="496"/>
      <c r="F296" s="496"/>
      <c r="G296" s="496"/>
      <c r="H296" s="496"/>
      <c r="I296" s="496"/>
      <c r="J296" s="496"/>
      <c r="K296" s="496"/>
      <c r="L296" s="496"/>
      <c r="M296" s="496"/>
      <c r="N296" s="496"/>
      <c r="O296" s="496"/>
      <c r="P296" s="496"/>
      <c r="Q296" s="496"/>
      <c r="R296" s="496"/>
      <c r="S296" s="496"/>
      <c r="T296" s="496"/>
      <c r="U296" s="496"/>
      <c r="V296" s="496"/>
      <c r="W296" s="497"/>
      <c r="X296" s="190"/>
      <c r="Y296" s="191"/>
      <c r="Z296" s="191"/>
      <c r="AA296" s="192"/>
      <c r="AB296" s="193">
        <f>+AB2+AB33+AB198+AB276</f>
        <v>25000000</v>
      </c>
      <c r="AC296" s="194"/>
      <c r="AD296" s="194"/>
      <c r="AE296" s="194"/>
      <c r="AF296" s="194"/>
      <c r="AG296" s="194"/>
      <c r="AH296" s="194"/>
      <c r="AI296" s="194"/>
      <c r="AJ296" s="194"/>
      <c r="AK296" s="194"/>
      <c r="AL296" s="194"/>
      <c r="AM296" s="194"/>
    </row>
    <row r="297" spans="2:39" x14ac:dyDescent="0.25">
      <c r="C297" s="53"/>
      <c r="D297" s="53"/>
      <c r="E297" s="53"/>
      <c r="F297" s="53"/>
      <c r="G297" s="53"/>
      <c r="H297" s="53"/>
      <c r="I297" s="53"/>
      <c r="J297" s="53"/>
      <c r="K297" s="53"/>
      <c r="L297" s="53"/>
      <c r="M297" s="53"/>
      <c r="N297" s="53"/>
      <c r="O297" s="53"/>
      <c r="P297" s="53"/>
      <c r="Q297" s="53"/>
      <c r="R297" s="53"/>
      <c r="S297" s="53"/>
      <c r="T297" s="53"/>
      <c r="U297" s="53"/>
      <c r="V297" s="53"/>
      <c r="W297" s="53"/>
      <c r="X297" s="53"/>
      <c r="Y297" s="53"/>
      <c r="Z297" s="53"/>
      <c r="AA297" s="404"/>
      <c r="AB297" s="53"/>
      <c r="AC297" s="53"/>
    </row>
    <row r="298" spans="2:39" x14ac:dyDescent="0.25">
      <c r="C298" s="53"/>
      <c r="D298" s="53"/>
      <c r="E298" s="53"/>
      <c r="F298" s="53"/>
      <c r="G298" s="53"/>
      <c r="H298" s="53"/>
      <c r="I298" s="53"/>
      <c r="J298" s="53"/>
      <c r="K298" s="53"/>
      <c r="L298" s="53"/>
      <c r="M298" s="53"/>
      <c r="N298" s="53"/>
      <c r="O298" s="53"/>
      <c r="P298" s="53"/>
      <c r="Q298" s="53"/>
      <c r="R298" s="53"/>
      <c r="S298" s="53"/>
      <c r="T298" s="53"/>
      <c r="U298" s="53"/>
      <c r="V298" s="53"/>
      <c r="W298" s="53"/>
      <c r="X298" s="53"/>
      <c r="Y298" s="53"/>
      <c r="Z298" s="53"/>
      <c r="AA298" s="404"/>
      <c r="AB298" s="53"/>
      <c r="AC298" s="53"/>
    </row>
    <row r="299" spans="2:39" x14ac:dyDescent="0.25">
      <c r="C299" s="53"/>
      <c r="D299" s="53"/>
      <c r="E299" s="53"/>
      <c r="F299" s="53"/>
      <c r="G299" s="53"/>
      <c r="H299" s="53"/>
      <c r="I299" s="53"/>
      <c r="J299" s="53"/>
      <c r="K299" s="53"/>
      <c r="L299" s="53"/>
      <c r="M299" s="53"/>
      <c r="N299" s="53"/>
      <c r="O299" s="53"/>
      <c r="P299" s="53"/>
      <c r="Q299" s="53"/>
      <c r="R299" s="53"/>
      <c r="S299" s="53"/>
      <c r="T299" s="53"/>
      <c r="U299" s="53"/>
      <c r="V299" s="53"/>
      <c r="W299" s="53"/>
      <c r="X299" s="53"/>
      <c r="Y299" s="53"/>
      <c r="Z299" s="53"/>
      <c r="AA299" s="404"/>
      <c r="AB299" s="53"/>
      <c r="AC299" s="53"/>
    </row>
    <row r="300" spans="2:39" x14ac:dyDescent="0.25">
      <c r="C300" s="53"/>
      <c r="D300" s="53"/>
      <c r="E300" s="53"/>
      <c r="F300" s="53"/>
      <c r="G300" s="53"/>
      <c r="H300" s="53"/>
      <c r="I300" s="53"/>
      <c r="J300" s="53"/>
      <c r="K300" s="53"/>
      <c r="L300" s="53"/>
      <c r="M300" s="53"/>
      <c r="N300" s="53"/>
      <c r="O300" s="53"/>
      <c r="P300" s="53"/>
      <c r="Q300" s="53"/>
      <c r="R300" s="53"/>
      <c r="S300" s="53"/>
      <c r="T300" s="53"/>
      <c r="U300" s="53"/>
      <c r="V300" s="53"/>
      <c r="W300" s="53"/>
      <c r="X300" s="53"/>
      <c r="Y300" s="53"/>
      <c r="Z300" s="53"/>
      <c r="AA300" s="404"/>
      <c r="AB300" s="53"/>
      <c r="AC300" s="53"/>
    </row>
    <row r="301" spans="2:39" x14ac:dyDescent="0.25">
      <c r="C301" s="53"/>
      <c r="D301" s="53"/>
      <c r="E301" s="53"/>
      <c r="F301" s="53"/>
      <c r="G301" s="53"/>
      <c r="H301" s="53"/>
      <c r="I301" s="53"/>
      <c r="J301" s="53"/>
      <c r="K301" s="53"/>
      <c r="L301" s="53"/>
      <c r="M301" s="53"/>
      <c r="N301" s="53"/>
      <c r="O301" s="53"/>
      <c r="P301" s="53"/>
      <c r="Q301" s="53"/>
      <c r="R301" s="53"/>
      <c r="S301" s="53"/>
      <c r="T301" s="53"/>
      <c r="U301" s="53"/>
      <c r="V301" s="53"/>
      <c r="W301" s="53"/>
      <c r="X301" s="53"/>
      <c r="Y301" s="53"/>
      <c r="Z301" s="53"/>
      <c r="AA301" s="404"/>
      <c r="AB301" s="53"/>
      <c r="AC301" s="53"/>
    </row>
    <row r="302" spans="2:39" x14ac:dyDescent="0.25">
      <c r="C302" s="53"/>
      <c r="D302" s="53"/>
      <c r="E302" s="53"/>
      <c r="F302" s="53"/>
      <c r="G302" s="53"/>
      <c r="H302" s="53"/>
      <c r="I302" s="53"/>
      <c r="J302" s="53"/>
      <c r="K302" s="53"/>
      <c r="L302" s="53"/>
      <c r="M302" s="53"/>
      <c r="N302" s="53"/>
      <c r="O302" s="53"/>
      <c r="P302" s="53"/>
      <c r="Q302" s="53"/>
      <c r="R302" s="53"/>
      <c r="S302" s="53"/>
      <c r="T302" s="53"/>
      <c r="U302" s="53"/>
      <c r="V302" s="53"/>
      <c r="W302" s="53"/>
      <c r="X302" s="53"/>
      <c r="Y302" s="53"/>
      <c r="Z302" s="53"/>
      <c r="AA302" s="404"/>
      <c r="AB302" s="53"/>
      <c r="AC302" s="53"/>
    </row>
    <row r="303" spans="2:39" x14ac:dyDescent="0.25">
      <c r="C303" s="53"/>
      <c r="D303" s="53"/>
      <c r="E303" s="53"/>
      <c r="F303" s="53"/>
      <c r="G303" s="53"/>
      <c r="H303" s="53"/>
      <c r="I303" s="53"/>
      <c r="J303" s="53"/>
      <c r="K303" s="53"/>
      <c r="L303" s="53"/>
      <c r="M303" s="53"/>
      <c r="N303" s="53"/>
      <c r="O303" s="53"/>
      <c r="P303" s="53"/>
      <c r="Q303" s="53"/>
      <c r="R303" s="53"/>
      <c r="S303" s="53"/>
      <c r="T303" s="53"/>
      <c r="U303" s="53"/>
      <c r="V303" s="53"/>
      <c r="W303" s="53"/>
      <c r="X303" s="53"/>
      <c r="Y303" s="53"/>
      <c r="Z303" s="53"/>
      <c r="AA303" s="404"/>
      <c r="AB303" s="53"/>
      <c r="AC303" s="53"/>
    </row>
    <row r="304" spans="2:39" x14ac:dyDescent="0.25">
      <c r="C304" s="53"/>
      <c r="D304" s="53"/>
      <c r="E304" s="53"/>
      <c r="F304" s="53"/>
      <c r="G304" s="53"/>
      <c r="H304" s="53"/>
      <c r="I304" s="53"/>
      <c r="J304" s="53"/>
      <c r="K304" s="53"/>
      <c r="L304" s="53"/>
      <c r="M304" s="53"/>
      <c r="N304" s="53"/>
      <c r="O304" s="53"/>
      <c r="P304" s="53"/>
      <c r="Q304" s="53"/>
      <c r="R304" s="53"/>
      <c r="S304" s="53"/>
      <c r="T304" s="53"/>
      <c r="U304" s="53"/>
      <c r="V304" s="53"/>
      <c r="W304" s="53"/>
      <c r="X304" s="53"/>
      <c r="Y304" s="53"/>
      <c r="Z304" s="53"/>
      <c r="AA304" s="404"/>
      <c r="AB304" s="53"/>
      <c r="AC304" s="53"/>
    </row>
    <row r="305" spans="3:29" x14ac:dyDescent="0.25">
      <c r="C305" s="53"/>
      <c r="D305" s="53"/>
      <c r="E305" s="53"/>
      <c r="F305" s="53"/>
      <c r="G305" s="53"/>
      <c r="H305" s="53"/>
      <c r="I305" s="53"/>
      <c r="J305" s="53"/>
      <c r="K305" s="53"/>
      <c r="L305" s="53"/>
      <c r="M305" s="53"/>
      <c r="N305" s="53"/>
      <c r="O305" s="53"/>
      <c r="P305" s="53"/>
      <c r="Q305" s="53"/>
      <c r="R305" s="53"/>
      <c r="S305" s="53"/>
      <c r="T305" s="53"/>
      <c r="U305" s="53"/>
      <c r="V305" s="53"/>
      <c r="W305" s="53"/>
      <c r="X305" s="53"/>
      <c r="Y305" s="53"/>
      <c r="Z305" s="53"/>
      <c r="AA305" s="404"/>
      <c r="AB305" s="53"/>
      <c r="AC305" s="53"/>
    </row>
    <row r="306" spans="3:29" x14ac:dyDescent="0.25">
      <c r="C306" s="53"/>
      <c r="D306" s="53"/>
      <c r="E306" s="53"/>
      <c r="F306" s="53"/>
      <c r="G306" s="53"/>
      <c r="H306" s="53"/>
      <c r="I306" s="53"/>
      <c r="J306" s="53"/>
      <c r="K306" s="53"/>
      <c r="L306" s="53"/>
      <c r="M306" s="53"/>
      <c r="N306" s="53"/>
      <c r="O306" s="53"/>
      <c r="P306" s="53"/>
      <c r="Q306" s="53"/>
      <c r="R306" s="53"/>
      <c r="S306" s="53"/>
      <c r="T306" s="53"/>
      <c r="U306" s="53"/>
      <c r="V306" s="53"/>
      <c r="W306" s="53"/>
      <c r="X306" s="53"/>
      <c r="Y306" s="53"/>
      <c r="Z306" s="53"/>
      <c r="AA306" s="404"/>
      <c r="AB306" s="53"/>
      <c r="AC306" s="53"/>
    </row>
    <row r="307" spans="3:29" x14ac:dyDescent="0.25">
      <c r="C307" s="53"/>
      <c r="D307" s="53"/>
      <c r="E307" s="53"/>
      <c r="F307" s="53"/>
      <c r="G307" s="53"/>
      <c r="H307" s="53"/>
      <c r="I307" s="53"/>
      <c r="J307" s="53"/>
      <c r="K307" s="53"/>
      <c r="L307" s="53"/>
      <c r="M307" s="53"/>
      <c r="N307" s="53"/>
      <c r="O307" s="53"/>
      <c r="P307" s="53"/>
      <c r="Q307" s="53"/>
      <c r="R307" s="53"/>
      <c r="S307" s="53"/>
      <c r="T307" s="53"/>
      <c r="U307" s="53"/>
      <c r="V307" s="53"/>
      <c r="W307" s="53"/>
      <c r="X307" s="53"/>
      <c r="Y307" s="53"/>
      <c r="Z307" s="53"/>
      <c r="AA307" s="404"/>
      <c r="AB307" s="53"/>
      <c r="AC307" s="53"/>
    </row>
    <row r="308" spans="3:29" x14ac:dyDescent="0.25">
      <c r="C308" s="53"/>
      <c r="D308" s="53"/>
      <c r="E308" s="53"/>
      <c r="F308" s="53"/>
      <c r="G308" s="53"/>
      <c r="H308" s="53"/>
      <c r="I308" s="53"/>
      <c r="J308" s="53"/>
      <c r="K308" s="53"/>
      <c r="L308" s="53"/>
      <c r="M308" s="53"/>
      <c r="N308" s="53"/>
      <c r="O308" s="53"/>
      <c r="P308" s="53"/>
      <c r="Q308" s="53"/>
      <c r="R308" s="53"/>
      <c r="S308" s="53"/>
      <c r="T308" s="53"/>
      <c r="U308" s="53"/>
      <c r="V308" s="53"/>
      <c r="W308" s="53"/>
      <c r="X308" s="53"/>
      <c r="Y308" s="53"/>
      <c r="Z308" s="53"/>
      <c r="AA308" s="404"/>
      <c r="AB308" s="53"/>
      <c r="AC308" s="53"/>
    </row>
    <row r="309" spans="3:29" x14ac:dyDescent="0.25">
      <c r="C309" s="53"/>
      <c r="D309" s="53"/>
      <c r="E309" s="53"/>
      <c r="F309" s="53"/>
      <c r="G309" s="53"/>
      <c r="H309" s="53"/>
      <c r="I309" s="53"/>
      <c r="J309" s="53"/>
      <c r="K309" s="53"/>
      <c r="L309" s="53"/>
      <c r="M309" s="53"/>
      <c r="N309" s="53"/>
      <c r="O309" s="53"/>
      <c r="P309" s="53"/>
      <c r="Q309" s="53"/>
      <c r="R309" s="53"/>
      <c r="S309" s="53"/>
      <c r="T309" s="53"/>
      <c r="U309" s="53"/>
      <c r="V309" s="53"/>
      <c r="W309" s="53"/>
      <c r="X309" s="53"/>
      <c r="Y309" s="53"/>
      <c r="Z309" s="53"/>
      <c r="AA309" s="404"/>
      <c r="AB309" s="53"/>
      <c r="AC309" s="53"/>
    </row>
    <row r="310" spans="3:29" x14ac:dyDescent="0.25">
      <c r="C310" s="53"/>
      <c r="D310" s="53"/>
      <c r="E310" s="53"/>
      <c r="F310" s="53"/>
      <c r="G310" s="53"/>
      <c r="H310" s="53"/>
      <c r="I310" s="53"/>
      <c r="J310" s="53"/>
      <c r="K310" s="53"/>
      <c r="L310" s="53"/>
      <c r="M310" s="53"/>
      <c r="N310" s="53"/>
      <c r="O310" s="53"/>
      <c r="P310" s="53"/>
      <c r="Q310" s="53"/>
      <c r="R310" s="53"/>
      <c r="S310" s="53"/>
      <c r="T310" s="53"/>
      <c r="U310" s="53"/>
      <c r="V310" s="53"/>
      <c r="W310" s="53"/>
      <c r="X310" s="53"/>
      <c r="Y310" s="53"/>
      <c r="Z310" s="53"/>
      <c r="AA310" s="404"/>
      <c r="AB310" s="53"/>
      <c r="AC310" s="53"/>
    </row>
    <row r="311" spans="3:29" x14ac:dyDescent="0.25">
      <c r="C311" s="53"/>
      <c r="D311" s="53"/>
      <c r="E311" s="53"/>
      <c r="F311" s="53"/>
      <c r="G311" s="53"/>
      <c r="H311" s="53"/>
      <c r="I311" s="53"/>
      <c r="J311" s="53"/>
      <c r="K311" s="53"/>
      <c r="L311" s="53"/>
      <c r="M311" s="53"/>
      <c r="N311" s="53"/>
      <c r="O311" s="53"/>
      <c r="P311" s="53"/>
      <c r="Q311" s="53"/>
      <c r="R311" s="53"/>
      <c r="S311" s="53"/>
      <c r="T311" s="53"/>
      <c r="U311" s="53"/>
      <c r="V311" s="53"/>
      <c r="W311" s="53"/>
      <c r="X311" s="53"/>
      <c r="Y311" s="53"/>
      <c r="Z311" s="53"/>
      <c r="AA311" s="404"/>
      <c r="AB311" s="53"/>
      <c r="AC311" s="53"/>
    </row>
    <row r="312" spans="3:29" x14ac:dyDescent="0.25">
      <c r="C312" s="53"/>
      <c r="D312" s="53"/>
      <c r="E312" s="53"/>
      <c r="F312" s="53"/>
      <c r="G312" s="53"/>
      <c r="H312" s="53"/>
      <c r="I312" s="53"/>
      <c r="J312" s="53"/>
      <c r="K312" s="53"/>
      <c r="L312" s="53"/>
      <c r="M312" s="53"/>
      <c r="N312" s="53"/>
      <c r="O312" s="53"/>
      <c r="P312" s="53"/>
      <c r="Q312" s="53"/>
      <c r="R312" s="53"/>
      <c r="S312" s="53"/>
      <c r="T312" s="53"/>
      <c r="U312" s="53"/>
      <c r="V312" s="53"/>
      <c r="W312" s="53"/>
      <c r="X312" s="53"/>
      <c r="Y312" s="53"/>
      <c r="Z312" s="53"/>
      <c r="AA312" s="404"/>
      <c r="AB312" s="53"/>
      <c r="AC312" s="53"/>
    </row>
    <row r="340" spans="7:7" s="31" customFormat="1" x14ac:dyDescent="0.25">
      <c r="G340" s="205"/>
    </row>
  </sheetData>
  <autoFilter ref="A1:AP296">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autoFilter>
  <mergeCells count="402">
    <mergeCell ref="O189:P189"/>
    <mergeCell ref="O171:P171"/>
    <mergeCell ref="O172:P172"/>
    <mergeCell ref="O173:P173"/>
    <mergeCell ref="O174:P174"/>
    <mergeCell ref="O175:P175"/>
    <mergeCell ref="O176:P176"/>
    <mergeCell ref="O177:P177"/>
    <mergeCell ref="O178:P178"/>
    <mergeCell ref="D87:W87"/>
    <mergeCell ref="D88:W88"/>
    <mergeCell ref="D89:W89"/>
    <mergeCell ref="D90:W90"/>
    <mergeCell ref="D94:W94"/>
    <mergeCell ref="D95:W95"/>
    <mergeCell ref="D96:W96"/>
    <mergeCell ref="D97:W97"/>
    <mergeCell ref="O187:P187"/>
    <mergeCell ref="O182:P182"/>
    <mergeCell ref="W151:W152"/>
    <mergeCell ref="D153:F153"/>
    <mergeCell ref="O153:P153"/>
    <mergeCell ref="E148:F148"/>
    <mergeCell ref="O148:P148"/>
    <mergeCell ref="O149:P149"/>
    <mergeCell ref="O151:P152"/>
    <mergeCell ref="O154:P154"/>
    <mergeCell ref="O155:P155"/>
    <mergeCell ref="O156:P156"/>
    <mergeCell ref="O157:P157"/>
    <mergeCell ref="O158:P158"/>
    <mergeCell ref="O159:P159"/>
    <mergeCell ref="O160:P160"/>
    <mergeCell ref="B34:B39"/>
    <mergeCell ref="B41:B50"/>
    <mergeCell ref="B51:B65"/>
    <mergeCell ref="B66:B76"/>
    <mergeCell ref="B77:B84"/>
    <mergeCell ref="B107:B136"/>
    <mergeCell ref="B138:B149"/>
    <mergeCell ref="B150:B178"/>
    <mergeCell ref="B179:B194"/>
    <mergeCell ref="D86:W86"/>
    <mergeCell ref="D99:W99"/>
    <mergeCell ref="C51:C65"/>
    <mergeCell ref="D8:W8"/>
    <mergeCell ref="D17:W17"/>
    <mergeCell ref="D23:W23"/>
    <mergeCell ref="D28:W28"/>
    <mergeCell ref="O186:P186"/>
    <mergeCell ref="O165:P165"/>
    <mergeCell ref="O166:P166"/>
    <mergeCell ref="O167:P167"/>
    <mergeCell ref="D169:F169"/>
    <mergeCell ref="O169:P169"/>
    <mergeCell ref="U180:U181"/>
    <mergeCell ref="V180:V181"/>
    <mergeCell ref="W180:W181"/>
    <mergeCell ref="D182:F182"/>
    <mergeCell ref="Q151:Q152"/>
    <mergeCell ref="R151:R152"/>
    <mergeCell ref="S151:S152"/>
    <mergeCell ref="T151:T152"/>
    <mergeCell ref="U151:U152"/>
    <mergeCell ref="V151:V152"/>
    <mergeCell ref="O170:P170"/>
    <mergeCell ref="O190:P190"/>
    <mergeCell ref="O191:P191"/>
    <mergeCell ref="O192:P192"/>
    <mergeCell ref="O193:P193"/>
    <mergeCell ref="O194:P194"/>
    <mergeCell ref="C179:C194"/>
    <mergeCell ref="D179:W179"/>
    <mergeCell ref="D180:F181"/>
    <mergeCell ref="G180:G181"/>
    <mergeCell ref="H180:H181"/>
    <mergeCell ref="I180:I181"/>
    <mergeCell ref="J180:J181"/>
    <mergeCell ref="K180:K181"/>
    <mergeCell ref="L180:L181"/>
    <mergeCell ref="M180:M181"/>
    <mergeCell ref="N180:N181"/>
    <mergeCell ref="O180:P181"/>
    <mergeCell ref="Q180:Q181"/>
    <mergeCell ref="R180:R181"/>
    <mergeCell ref="S180:S181"/>
    <mergeCell ref="T180:T181"/>
    <mergeCell ref="O183:P183"/>
    <mergeCell ref="O184:P184"/>
    <mergeCell ref="O185:P185"/>
    <mergeCell ref="C150:C178"/>
    <mergeCell ref="G151:G152"/>
    <mergeCell ref="H151:H152"/>
    <mergeCell ref="I151:I152"/>
    <mergeCell ref="J151:J152"/>
    <mergeCell ref="K151:K152"/>
    <mergeCell ref="L151:L152"/>
    <mergeCell ref="M151:M152"/>
    <mergeCell ref="N151:N152"/>
    <mergeCell ref="O161:P161"/>
    <mergeCell ref="O162:P162"/>
    <mergeCell ref="O163:P163"/>
    <mergeCell ref="O164:P164"/>
    <mergeCell ref="O141:P141"/>
    <mergeCell ref="E142:F142"/>
    <mergeCell ref="O142:P142"/>
    <mergeCell ref="O143:P143"/>
    <mergeCell ref="E144:F144"/>
    <mergeCell ref="O144:P144"/>
    <mergeCell ref="O145:P145"/>
    <mergeCell ref="O146:P146"/>
    <mergeCell ref="O147:P147"/>
    <mergeCell ref="C138:C149"/>
    <mergeCell ref="D138:W138"/>
    <mergeCell ref="D139:F140"/>
    <mergeCell ref="G139:G140"/>
    <mergeCell ref="H139:H140"/>
    <mergeCell ref="I139:I140"/>
    <mergeCell ref="J139:J140"/>
    <mergeCell ref="K139:K140"/>
    <mergeCell ref="L139:L140"/>
    <mergeCell ref="M139:M140"/>
    <mergeCell ref="N139:N140"/>
    <mergeCell ref="O139:P140"/>
    <mergeCell ref="Q139:Q140"/>
    <mergeCell ref="R139:R140"/>
    <mergeCell ref="S139:S140"/>
    <mergeCell ref="T139:T140"/>
    <mergeCell ref="U139:U140"/>
    <mergeCell ref="V139:V140"/>
    <mergeCell ref="W139:W140"/>
    <mergeCell ref="D141:F141"/>
    <mergeCell ref="E130:F130"/>
    <mergeCell ref="O130:P130"/>
    <mergeCell ref="O131:P131"/>
    <mergeCell ref="O132:P132"/>
    <mergeCell ref="O133:P133"/>
    <mergeCell ref="E134:F134"/>
    <mergeCell ref="O134:P134"/>
    <mergeCell ref="O135:P135"/>
    <mergeCell ref="O136:P136"/>
    <mergeCell ref="O122:P122"/>
    <mergeCell ref="D124:F124"/>
    <mergeCell ref="O124:P124"/>
    <mergeCell ref="E125:F125"/>
    <mergeCell ref="O125:P125"/>
    <mergeCell ref="O126:P126"/>
    <mergeCell ref="O127:P127"/>
    <mergeCell ref="O128:P128"/>
    <mergeCell ref="O129:P129"/>
    <mergeCell ref="O115:P115"/>
    <mergeCell ref="E116:F116"/>
    <mergeCell ref="O116:P116"/>
    <mergeCell ref="O117:P117"/>
    <mergeCell ref="O118:P118"/>
    <mergeCell ref="O119:P119"/>
    <mergeCell ref="E120:F120"/>
    <mergeCell ref="O120:P120"/>
    <mergeCell ref="O121:P121"/>
    <mergeCell ref="V108:V109"/>
    <mergeCell ref="W108:W109"/>
    <mergeCell ref="D110:F110"/>
    <mergeCell ref="O110:P110"/>
    <mergeCell ref="E111:F111"/>
    <mergeCell ref="O111:P111"/>
    <mergeCell ref="O112:P112"/>
    <mergeCell ref="O113:P113"/>
    <mergeCell ref="O114:P114"/>
    <mergeCell ref="E71:K71"/>
    <mergeCell ref="E72:K72"/>
    <mergeCell ref="E73:K73"/>
    <mergeCell ref="E65:K65"/>
    <mergeCell ref="E74:K74"/>
    <mergeCell ref="E75:K75"/>
    <mergeCell ref="E76:K76"/>
    <mergeCell ref="C107:C136"/>
    <mergeCell ref="D107:W107"/>
    <mergeCell ref="D108:F109"/>
    <mergeCell ref="G108:G109"/>
    <mergeCell ref="H108:H109"/>
    <mergeCell ref="I108:I109"/>
    <mergeCell ref="J108:J109"/>
    <mergeCell ref="K108:K109"/>
    <mergeCell ref="L108:L109"/>
    <mergeCell ref="M108:M109"/>
    <mergeCell ref="N108:N109"/>
    <mergeCell ref="O108:P109"/>
    <mergeCell ref="Q108:Q109"/>
    <mergeCell ref="R108:R109"/>
    <mergeCell ref="S108:S109"/>
    <mergeCell ref="T108:T109"/>
    <mergeCell ref="U108:U109"/>
    <mergeCell ref="D292:W292"/>
    <mergeCell ref="D293:W293"/>
    <mergeCell ref="D294:W294"/>
    <mergeCell ref="D277:W277"/>
    <mergeCell ref="D278:W278"/>
    <mergeCell ref="D279:W279"/>
    <mergeCell ref="D280:W280"/>
    <mergeCell ref="D281:W281"/>
    <mergeCell ref="D282:W282"/>
    <mergeCell ref="D283:W283"/>
    <mergeCell ref="D285:W285"/>
    <mergeCell ref="D286:W286"/>
    <mergeCell ref="D289:W289"/>
    <mergeCell ref="D265:W265"/>
    <mergeCell ref="D266:W266"/>
    <mergeCell ref="D268:W268"/>
    <mergeCell ref="D275:W275"/>
    <mergeCell ref="D258:W258"/>
    <mergeCell ref="D287:W287"/>
    <mergeCell ref="D288:W288"/>
    <mergeCell ref="D290:W290"/>
    <mergeCell ref="D291:W291"/>
    <mergeCell ref="D260:W260"/>
    <mergeCell ref="D267:W267"/>
    <mergeCell ref="D270:W270"/>
    <mergeCell ref="D272:W272"/>
    <mergeCell ref="C276:W276"/>
    <mergeCell ref="D284:W284"/>
    <mergeCell ref="D269:W269"/>
    <mergeCell ref="D271:W271"/>
    <mergeCell ref="D273:W273"/>
    <mergeCell ref="D274:W274"/>
    <mergeCell ref="D261:W261"/>
    <mergeCell ref="D262:W262"/>
    <mergeCell ref="D245:W245"/>
    <mergeCell ref="D246:W246"/>
    <mergeCell ref="D247:W247"/>
    <mergeCell ref="D248:W248"/>
    <mergeCell ref="D249:W249"/>
    <mergeCell ref="D250:W250"/>
    <mergeCell ref="D259:W259"/>
    <mergeCell ref="D263:W263"/>
    <mergeCell ref="D264:W264"/>
    <mergeCell ref="D255:W255"/>
    <mergeCell ref="D257:W257"/>
    <mergeCell ref="D253:W253"/>
    <mergeCell ref="D256:W256"/>
    <mergeCell ref="D251:W251"/>
    <mergeCell ref="D221:W221"/>
    <mergeCell ref="D222:W222"/>
    <mergeCell ref="D223:W223"/>
    <mergeCell ref="D224:W224"/>
    <mergeCell ref="D225:W225"/>
    <mergeCell ref="D242:W242"/>
    <mergeCell ref="D243:W243"/>
    <mergeCell ref="D244:W244"/>
    <mergeCell ref="D231:W231"/>
    <mergeCell ref="D235:W235"/>
    <mergeCell ref="D236:W236"/>
    <mergeCell ref="D232:W232"/>
    <mergeCell ref="D201:W201"/>
    <mergeCell ref="D202:W202"/>
    <mergeCell ref="D7:W7"/>
    <mergeCell ref="D98:W98"/>
    <mergeCell ref="D40:W40"/>
    <mergeCell ref="D100:W100"/>
    <mergeCell ref="D101:W101"/>
    <mergeCell ref="D102:W102"/>
    <mergeCell ref="D104:W104"/>
    <mergeCell ref="D105:W105"/>
    <mergeCell ref="D199:W199"/>
    <mergeCell ref="D200:W200"/>
    <mergeCell ref="D91:W91"/>
    <mergeCell ref="D85:W85"/>
    <mergeCell ref="D92:W92"/>
    <mergeCell ref="E44:K44"/>
    <mergeCell ref="E80:K80"/>
    <mergeCell ref="E81:K81"/>
    <mergeCell ref="E82:K82"/>
    <mergeCell ref="E83:K83"/>
    <mergeCell ref="E84:K84"/>
    <mergeCell ref="E69:K69"/>
    <mergeCell ref="E70:K70"/>
    <mergeCell ref="D93:W93"/>
    <mergeCell ref="E60:K60"/>
    <mergeCell ref="E61:K61"/>
    <mergeCell ref="E62:K62"/>
    <mergeCell ref="E63:K63"/>
    <mergeCell ref="E64:K64"/>
    <mergeCell ref="E55:K55"/>
    <mergeCell ref="E56:K56"/>
    <mergeCell ref="E57:K57"/>
    <mergeCell ref="E58:K58"/>
    <mergeCell ref="E59:K59"/>
    <mergeCell ref="N52:Q52"/>
    <mergeCell ref="C41:C50"/>
    <mergeCell ref="N42:Q42"/>
    <mergeCell ref="R42:U42"/>
    <mergeCell ref="V42:W42"/>
    <mergeCell ref="D42:K43"/>
    <mergeCell ref="D52:K53"/>
    <mergeCell ref="E45:K45"/>
    <mergeCell ref="E46:K46"/>
    <mergeCell ref="D103:W103"/>
    <mergeCell ref="N35:Q35"/>
    <mergeCell ref="R35:U35"/>
    <mergeCell ref="V35:W35"/>
    <mergeCell ref="D27:W27"/>
    <mergeCell ref="D26:W26"/>
    <mergeCell ref="D25:W25"/>
    <mergeCell ref="D16:W16"/>
    <mergeCell ref="C1:W1"/>
    <mergeCell ref="L42:M42"/>
    <mergeCell ref="D12:W12"/>
    <mergeCell ref="D11:W11"/>
    <mergeCell ref="D10:W10"/>
    <mergeCell ref="D9:W9"/>
    <mergeCell ref="D35:K36"/>
    <mergeCell ref="D29:W29"/>
    <mergeCell ref="D4:W4"/>
    <mergeCell ref="D5:W5"/>
    <mergeCell ref="D6:W6"/>
    <mergeCell ref="D13:W13"/>
    <mergeCell ref="D14:W14"/>
    <mergeCell ref="D15:W15"/>
    <mergeCell ref="C2:W2"/>
    <mergeCell ref="D51:W51"/>
    <mergeCell ref="D3:W3"/>
    <mergeCell ref="C34:C39"/>
    <mergeCell ref="D69:D76"/>
    <mergeCell ref="C77:C84"/>
    <mergeCell ref="C66:C76"/>
    <mergeCell ref="D24:W24"/>
    <mergeCell ref="D22:W22"/>
    <mergeCell ref="D21:W21"/>
    <mergeCell ref="D20:W20"/>
    <mergeCell ref="D19:W19"/>
    <mergeCell ref="D18:W18"/>
    <mergeCell ref="N78:Q78"/>
    <mergeCell ref="R78:U78"/>
    <mergeCell ref="V78:W78"/>
    <mergeCell ref="R67:U67"/>
    <mergeCell ref="V67:W67"/>
    <mergeCell ref="L35:M35"/>
    <mergeCell ref="D37:K37"/>
    <mergeCell ref="D38:K38"/>
    <mergeCell ref="D39:K39"/>
    <mergeCell ref="D54:D57"/>
    <mergeCell ref="D58:D61"/>
    <mergeCell ref="D62:D64"/>
    <mergeCell ref="L52:M52"/>
    <mergeCell ref="D220:W220"/>
    <mergeCell ref="D216:W216"/>
    <mergeCell ref="D30:W30"/>
    <mergeCell ref="D31:W31"/>
    <mergeCell ref="D106:W106"/>
    <mergeCell ref="D80:D84"/>
    <mergeCell ref="D44:D50"/>
    <mergeCell ref="D34:W34"/>
    <mergeCell ref="D41:W41"/>
    <mergeCell ref="R52:U52"/>
    <mergeCell ref="V52:W52"/>
    <mergeCell ref="L78:M78"/>
    <mergeCell ref="D78:K79"/>
    <mergeCell ref="D67:K68"/>
    <mergeCell ref="D77:W77"/>
    <mergeCell ref="D66:W66"/>
    <mergeCell ref="E47:K47"/>
    <mergeCell ref="E48:K48"/>
    <mergeCell ref="E49:K49"/>
    <mergeCell ref="E50:K50"/>
    <mergeCell ref="E54:K54"/>
    <mergeCell ref="C33:W33"/>
    <mergeCell ref="D137:W137"/>
    <mergeCell ref="D150:W150"/>
    <mergeCell ref="D205:W205"/>
    <mergeCell ref="D207:W207"/>
    <mergeCell ref="D211:W211"/>
    <mergeCell ref="D208:W208"/>
    <mergeCell ref="D209:W209"/>
    <mergeCell ref="D206:W206"/>
    <mergeCell ref="D215:W215"/>
    <mergeCell ref="D218:W218"/>
    <mergeCell ref="D217:W217"/>
    <mergeCell ref="D214:W214"/>
    <mergeCell ref="D213:W213"/>
    <mergeCell ref="D219:W219"/>
    <mergeCell ref="D252:W252"/>
    <mergeCell ref="C296:W296"/>
    <mergeCell ref="D195:W195"/>
    <mergeCell ref="D196:W196"/>
    <mergeCell ref="D197:W197"/>
    <mergeCell ref="C198:W198"/>
    <mergeCell ref="D254:W254"/>
    <mergeCell ref="D237:W237"/>
    <mergeCell ref="D238:W238"/>
    <mergeCell ref="D239:W239"/>
    <mergeCell ref="D240:W240"/>
    <mergeCell ref="D241:W241"/>
    <mergeCell ref="D226:W226"/>
    <mergeCell ref="D227:W227"/>
    <mergeCell ref="D228:W228"/>
    <mergeCell ref="D230:W230"/>
    <mergeCell ref="D229:W229"/>
    <mergeCell ref="D233:W233"/>
    <mergeCell ref="D234:W234"/>
    <mergeCell ref="D210:W210"/>
    <mergeCell ref="D212:W212"/>
    <mergeCell ref="D203:W203"/>
    <mergeCell ref="D204:W204"/>
  </mergeCells>
  <pageMargins left="0.7" right="0.7" top="0.75" bottom="0.75" header="0.3" footer="0.3"/>
  <pageSetup paperSize="8" scale="45" orientation="landscape" cellComments="asDisplayed" r:id="rId1"/>
  <headerFooter>
    <oddHeader>&amp;CDetailed budget notes</oddHeader>
  </headerFooter>
  <rowBreaks count="1" manualBreakCount="1">
    <brk id="197" min="2" max="4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Z44"/>
  <sheetViews>
    <sheetView zoomScale="70" zoomScaleNormal="70" workbookViewId="0"/>
  </sheetViews>
  <sheetFormatPr defaultColWidth="8.7109375" defaultRowHeight="15" x14ac:dyDescent="0.25"/>
  <cols>
    <col min="1" max="1" width="11.28515625" bestFit="1" customWidth="1"/>
    <col min="2" max="2" width="48.42578125" bestFit="1" customWidth="1"/>
    <col min="3" max="3" width="8.42578125" bestFit="1" customWidth="1"/>
    <col min="4" max="26" width="7" customWidth="1"/>
  </cols>
  <sheetData>
    <row r="1" spans="1:26" x14ac:dyDescent="0.25">
      <c r="B1" t="s">
        <v>684</v>
      </c>
      <c r="C1" s="620">
        <v>2022</v>
      </c>
      <c r="D1" s="620"/>
      <c r="E1" s="620"/>
      <c r="F1" s="620"/>
      <c r="G1" s="619">
        <v>2023</v>
      </c>
      <c r="H1" s="619"/>
      <c r="I1" s="619"/>
      <c r="J1" s="619"/>
      <c r="K1" s="620">
        <v>2024</v>
      </c>
      <c r="L1" s="620"/>
      <c r="M1" s="620"/>
      <c r="N1" s="620"/>
      <c r="O1" s="619">
        <v>2025</v>
      </c>
      <c r="P1" s="619"/>
      <c r="Q1" s="619"/>
      <c r="R1" s="619"/>
      <c r="S1" s="620">
        <v>2026</v>
      </c>
      <c r="T1" s="620"/>
      <c r="U1" s="620"/>
      <c r="V1" s="620"/>
      <c r="W1" s="619">
        <v>2027</v>
      </c>
      <c r="X1" s="619"/>
      <c r="Y1" s="619"/>
      <c r="Z1" s="619"/>
    </row>
    <row r="2" spans="1:26" x14ac:dyDescent="0.25">
      <c r="A2" s="4" t="s">
        <v>685</v>
      </c>
      <c r="B2" s="5" t="s">
        <v>686</v>
      </c>
      <c r="C2" s="5" t="s">
        <v>463</v>
      </c>
      <c r="D2" s="5" t="s">
        <v>464</v>
      </c>
      <c r="E2" s="5" t="s">
        <v>461</v>
      </c>
      <c r="F2" s="5" t="s">
        <v>462</v>
      </c>
      <c r="G2" s="5" t="s">
        <v>463</v>
      </c>
      <c r="H2" s="5" t="s">
        <v>464</v>
      </c>
      <c r="I2" s="5" t="s">
        <v>461</v>
      </c>
      <c r="J2" s="5" t="s">
        <v>462</v>
      </c>
      <c r="K2" s="5" t="s">
        <v>463</v>
      </c>
      <c r="L2" s="5" t="s">
        <v>464</v>
      </c>
      <c r="M2" s="5" t="s">
        <v>461</v>
      </c>
      <c r="N2" s="5" t="s">
        <v>462</v>
      </c>
      <c r="O2" s="5" t="s">
        <v>463</v>
      </c>
      <c r="P2" s="5" t="s">
        <v>464</v>
      </c>
      <c r="Q2" s="5" t="s">
        <v>461</v>
      </c>
      <c r="R2" s="5" t="s">
        <v>462</v>
      </c>
      <c r="S2" s="5" t="s">
        <v>463</v>
      </c>
      <c r="T2" s="5" t="s">
        <v>464</v>
      </c>
      <c r="U2" s="5" t="s">
        <v>461</v>
      </c>
      <c r="V2" s="5" t="s">
        <v>462</v>
      </c>
      <c r="W2" s="6" t="s">
        <v>463</v>
      </c>
      <c r="X2" s="6" t="s">
        <v>464</v>
      </c>
      <c r="Y2" s="6" t="s">
        <v>461</v>
      </c>
      <c r="Z2" s="6" t="s">
        <v>462</v>
      </c>
    </row>
    <row r="3" spans="1:26" x14ac:dyDescent="0.25">
      <c r="B3" s="7" t="s">
        <v>687</v>
      </c>
      <c r="C3" s="8"/>
      <c r="D3" s="8"/>
      <c r="E3" s="8">
        <v>20</v>
      </c>
      <c r="F3" s="8">
        <v>20</v>
      </c>
      <c r="G3" s="8">
        <v>20</v>
      </c>
      <c r="H3" s="8">
        <v>20</v>
      </c>
      <c r="I3" s="8">
        <v>20</v>
      </c>
      <c r="J3" s="6"/>
      <c r="K3" s="8"/>
      <c r="L3" s="8"/>
      <c r="M3" s="8"/>
      <c r="N3" s="8"/>
      <c r="O3" s="6"/>
      <c r="P3" s="6"/>
      <c r="Q3" s="6"/>
      <c r="R3" s="6"/>
      <c r="S3" s="8"/>
      <c r="T3" s="8"/>
      <c r="U3" s="8"/>
      <c r="V3" s="8"/>
      <c r="W3" s="6"/>
      <c r="X3" s="6"/>
      <c r="Y3" s="6"/>
      <c r="Z3" s="6"/>
    </row>
    <row r="4" spans="1:26" x14ac:dyDescent="0.25">
      <c r="B4" s="7" t="s">
        <v>688</v>
      </c>
      <c r="C4" s="8"/>
      <c r="D4" s="9"/>
      <c r="E4" s="8">
        <v>40</v>
      </c>
      <c r="F4" s="8">
        <v>40</v>
      </c>
      <c r="G4" s="8">
        <v>40</v>
      </c>
      <c r="H4" s="6"/>
      <c r="I4" s="6"/>
      <c r="J4" s="6"/>
      <c r="K4" s="8"/>
      <c r="L4" s="8"/>
      <c r="M4" s="8"/>
      <c r="N4" s="8"/>
      <c r="O4" s="6"/>
      <c r="P4" s="6"/>
      <c r="Q4" s="6"/>
      <c r="R4" s="6"/>
      <c r="S4" s="8"/>
      <c r="T4" s="8"/>
      <c r="U4" s="8"/>
      <c r="V4" s="8"/>
      <c r="W4" s="6"/>
      <c r="X4" s="6"/>
      <c r="Y4" s="6"/>
      <c r="Z4" s="6"/>
    </row>
    <row r="5" spans="1:26" x14ac:dyDescent="0.25">
      <c r="B5" s="7" t="s">
        <v>689</v>
      </c>
      <c r="C5" s="8"/>
      <c r="D5" s="8"/>
      <c r="E5" s="8"/>
      <c r="F5" s="8"/>
      <c r="G5" s="6">
        <v>36</v>
      </c>
      <c r="H5" s="6">
        <v>36</v>
      </c>
      <c r="I5" s="6">
        <v>36</v>
      </c>
      <c r="J5" s="6">
        <v>36</v>
      </c>
      <c r="K5" s="6">
        <v>36</v>
      </c>
      <c r="L5" s="6">
        <v>36</v>
      </c>
      <c r="M5" s="6">
        <v>36</v>
      </c>
      <c r="N5" s="6">
        <v>36</v>
      </c>
      <c r="O5" s="6">
        <v>36</v>
      </c>
      <c r="P5" s="6">
        <v>36</v>
      </c>
      <c r="Q5" s="6"/>
      <c r="R5" s="6"/>
      <c r="S5" s="8"/>
      <c r="T5" s="8"/>
      <c r="U5" s="8"/>
      <c r="V5" s="8"/>
      <c r="W5" s="6"/>
      <c r="X5" s="6"/>
      <c r="Y5" s="6"/>
      <c r="Z5" s="6"/>
    </row>
    <row r="6" spans="1:26" x14ac:dyDescent="0.25">
      <c r="B6" s="10"/>
      <c r="C6" s="8"/>
      <c r="D6" s="8"/>
      <c r="E6" s="8"/>
      <c r="F6" s="8"/>
      <c r="G6" s="6"/>
      <c r="H6" s="6"/>
      <c r="I6" s="618">
        <v>2023</v>
      </c>
      <c r="J6" s="617"/>
      <c r="K6" s="616">
        <v>2024</v>
      </c>
      <c r="L6" s="616"/>
      <c r="M6" s="616"/>
      <c r="N6" s="617"/>
      <c r="O6" s="6"/>
      <c r="P6" s="6"/>
      <c r="Q6" s="6"/>
      <c r="R6" s="6"/>
      <c r="S6" s="8"/>
      <c r="T6" s="8"/>
      <c r="U6" s="8"/>
      <c r="V6" s="8"/>
      <c r="W6" s="6"/>
      <c r="X6" s="6"/>
      <c r="Y6" s="6"/>
      <c r="Z6" s="6"/>
    </row>
    <row r="7" spans="1:26" x14ac:dyDescent="0.25">
      <c r="A7" s="236"/>
      <c r="B7" s="10"/>
      <c r="C7" s="8"/>
      <c r="D7" s="8"/>
      <c r="E7" s="8"/>
      <c r="F7" s="8"/>
      <c r="G7" s="6"/>
      <c r="H7" s="6"/>
      <c r="I7" s="5" t="s">
        <v>461</v>
      </c>
      <c r="J7" s="5" t="s">
        <v>462</v>
      </c>
      <c r="K7" s="5" t="s">
        <v>463</v>
      </c>
      <c r="L7" s="5" t="s">
        <v>464</v>
      </c>
      <c r="M7" s="5" t="s">
        <v>461</v>
      </c>
      <c r="N7" s="5" t="s">
        <v>462</v>
      </c>
      <c r="O7" s="6"/>
      <c r="P7" s="6"/>
      <c r="Q7" s="6"/>
      <c r="R7" s="6"/>
      <c r="S7" s="8"/>
      <c r="T7" s="8"/>
      <c r="U7" s="8"/>
      <c r="V7" s="8"/>
      <c r="W7" s="6"/>
      <c r="X7" s="6"/>
      <c r="Y7" s="6"/>
      <c r="Z7" s="6"/>
    </row>
    <row r="8" spans="1:26" x14ac:dyDescent="0.25">
      <c r="A8" s="11" t="s">
        <v>690</v>
      </c>
      <c r="B8" s="12" t="s">
        <v>691</v>
      </c>
      <c r="C8" s="13"/>
      <c r="D8" s="13"/>
      <c r="E8" s="13"/>
      <c r="F8" s="13"/>
      <c r="G8" s="1"/>
      <c r="H8" s="1"/>
      <c r="I8" s="1"/>
      <c r="J8" s="6">
        <v>398</v>
      </c>
      <c r="K8" s="8"/>
      <c r="L8" s="8"/>
      <c r="M8" s="13"/>
      <c r="N8" s="13"/>
      <c r="O8" s="1"/>
      <c r="P8" s="1"/>
      <c r="Q8" s="1"/>
      <c r="R8" s="1"/>
      <c r="S8" s="13"/>
      <c r="T8" s="13"/>
      <c r="U8" s="13"/>
      <c r="V8" s="13"/>
      <c r="W8" s="1"/>
      <c r="X8" s="1"/>
      <c r="Y8" s="1"/>
      <c r="Z8" s="1"/>
    </row>
    <row r="9" spans="1:26" x14ac:dyDescent="0.25">
      <c r="A9" s="11"/>
      <c r="B9" s="12" t="s">
        <v>692</v>
      </c>
      <c r="C9" s="13"/>
      <c r="D9" s="13"/>
      <c r="E9" s="13"/>
      <c r="F9" s="13"/>
      <c r="G9" s="1"/>
      <c r="H9" s="1"/>
      <c r="I9" s="1"/>
      <c r="J9" s="6"/>
      <c r="K9" s="8">
        <v>73</v>
      </c>
      <c r="L9" s="8"/>
      <c r="M9" s="13"/>
      <c r="N9" s="13"/>
      <c r="O9" s="1"/>
      <c r="P9" s="1"/>
      <c r="Q9" s="1"/>
      <c r="R9" s="1"/>
      <c r="S9" s="13"/>
      <c r="T9" s="13"/>
      <c r="U9" s="13"/>
      <c r="V9" s="13"/>
      <c r="W9" s="1"/>
      <c r="X9" s="1"/>
      <c r="Y9" s="1"/>
      <c r="Z9" s="1"/>
    </row>
    <row r="10" spans="1:26" x14ac:dyDescent="0.25">
      <c r="A10" s="11"/>
      <c r="B10" s="12" t="s">
        <v>693</v>
      </c>
      <c r="C10" s="13"/>
      <c r="D10" s="13"/>
      <c r="E10" s="13"/>
      <c r="F10" s="13"/>
      <c r="G10" s="1"/>
      <c r="H10" s="1"/>
      <c r="I10" s="1"/>
      <c r="J10" s="6"/>
      <c r="K10" s="8">
        <v>500</v>
      </c>
      <c r="L10" s="8">
        <v>501</v>
      </c>
      <c r="M10" s="13"/>
      <c r="N10" s="13"/>
      <c r="O10" s="1"/>
      <c r="P10" s="1"/>
      <c r="Q10" s="1"/>
      <c r="R10" s="1"/>
      <c r="S10" s="13"/>
      <c r="T10" s="13"/>
      <c r="U10" s="13"/>
      <c r="V10" s="13"/>
      <c r="W10" s="1"/>
      <c r="X10" s="1"/>
      <c r="Y10" s="1"/>
      <c r="Z10" s="1"/>
    </row>
    <row r="11" spans="1:26" x14ac:dyDescent="0.25">
      <c r="A11" s="11"/>
      <c r="B11" s="12" t="s">
        <v>694</v>
      </c>
      <c r="C11" s="13"/>
      <c r="D11" s="13"/>
      <c r="E11" s="13"/>
      <c r="F11" s="13"/>
      <c r="G11" s="1"/>
      <c r="H11" s="1"/>
      <c r="I11" s="1"/>
      <c r="J11" s="6">
        <v>185</v>
      </c>
      <c r="K11" s="8">
        <v>185</v>
      </c>
      <c r="L11" s="8">
        <v>185</v>
      </c>
      <c r="M11" s="13"/>
      <c r="N11" s="13"/>
      <c r="O11" s="1"/>
      <c r="P11" s="1"/>
      <c r="Q11" s="1"/>
      <c r="R11" s="1"/>
      <c r="S11" s="13"/>
      <c r="T11" s="13"/>
      <c r="U11" s="13"/>
      <c r="V11" s="13"/>
      <c r="W11" s="1"/>
      <c r="X11" s="1"/>
      <c r="Y11" s="1"/>
      <c r="Z11" s="1"/>
    </row>
    <row r="12" spans="1:26" x14ac:dyDescent="0.25">
      <c r="A12" s="11"/>
      <c r="B12" s="12" t="s">
        <v>695</v>
      </c>
      <c r="C12" s="13"/>
      <c r="D12" s="13"/>
      <c r="E12" s="13"/>
      <c r="F12" s="13"/>
      <c r="G12" s="1"/>
      <c r="H12" s="1"/>
      <c r="I12" s="1"/>
      <c r="J12" s="1"/>
      <c r="K12" s="13"/>
      <c r="L12" s="8">
        <v>75</v>
      </c>
      <c r="M12" s="13"/>
      <c r="N12" s="13"/>
      <c r="O12" s="1"/>
      <c r="P12" s="1"/>
      <c r="Q12" s="1"/>
      <c r="R12" s="1"/>
      <c r="S12" s="13"/>
      <c r="T12" s="13"/>
      <c r="U12" s="13"/>
      <c r="V12" s="13"/>
      <c r="W12" s="1"/>
      <c r="X12" s="1"/>
      <c r="Y12" s="1"/>
      <c r="Z12" s="1"/>
    </row>
    <row r="13" spans="1:26" x14ac:dyDescent="0.25">
      <c r="A13" s="11"/>
      <c r="B13" s="12" t="s">
        <v>696</v>
      </c>
      <c r="C13" s="13"/>
      <c r="D13" s="13"/>
      <c r="E13" s="13"/>
      <c r="F13" s="13"/>
      <c r="G13" s="1"/>
      <c r="H13" s="1"/>
      <c r="I13" s="1"/>
      <c r="J13" s="1"/>
      <c r="K13" s="8"/>
      <c r="L13" s="8" t="s">
        <v>480</v>
      </c>
      <c r="M13" s="8">
        <v>443</v>
      </c>
      <c r="N13" s="13"/>
      <c r="O13" s="1"/>
      <c r="P13" s="1"/>
      <c r="Q13" s="1"/>
      <c r="R13" s="1"/>
      <c r="S13" s="13"/>
      <c r="T13" s="13"/>
      <c r="U13" s="13"/>
      <c r="V13" s="13"/>
      <c r="W13" s="1"/>
      <c r="X13" s="1"/>
      <c r="Y13" s="1"/>
      <c r="Z13" s="1"/>
    </row>
    <row r="14" spans="1:26" x14ac:dyDescent="0.25">
      <c r="A14" s="233"/>
      <c r="B14" s="14" t="s">
        <v>697</v>
      </c>
      <c r="C14" s="15"/>
      <c r="D14" s="13"/>
      <c r="E14" s="13"/>
      <c r="F14" s="13"/>
      <c r="G14" s="1"/>
      <c r="H14" s="1"/>
      <c r="I14" s="1"/>
      <c r="J14" s="1"/>
      <c r="K14" s="8"/>
      <c r="L14" s="8"/>
      <c r="M14" s="8"/>
      <c r="N14" s="16">
        <v>150</v>
      </c>
      <c r="O14" s="1"/>
      <c r="P14" s="1"/>
      <c r="Q14" s="1"/>
      <c r="R14" s="1"/>
      <c r="S14" s="13"/>
      <c r="T14" s="13"/>
      <c r="U14" s="13"/>
      <c r="V14" s="13"/>
      <c r="W14" s="1"/>
      <c r="X14" s="1"/>
      <c r="Y14" s="1"/>
      <c r="Z14" s="1"/>
    </row>
    <row r="15" spans="1:26" x14ac:dyDescent="0.25">
      <c r="A15" s="236"/>
      <c r="C15" s="9"/>
      <c r="D15" s="9"/>
      <c r="E15" s="9"/>
      <c r="F15" s="9"/>
      <c r="K15" s="9"/>
      <c r="L15" s="9"/>
      <c r="M15" s="9"/>
      <c r="N15" s="9"/>
      <c r="S15" s="9"/>
      <c r="T15" s="9"/>
      <c r="U15" s="9"/>
      <c r="V15" s="9"/>
    </row>
    <row r="16" spans="1:26" x14ac:dyDescent="0.25">
      <c r="A16" s="17" t="s">
        <v>698</v>
      </c>
      <c r="B16" s="18" t="s">
        <v>699</v>
      </c>
      <c r="C16" s="13"/>
      <c r="D16" s="13"/>
      <c r="E16" s="13"/>
      <c r="F16" s="13"/>
      <c r="G16" s="1"/>
      <c r="H16" s="1"/>
      <c r="I16" s="6">
        <v>334</v>
      </c>
      <c r="J16" s="6"/>
      <c r="K16" s="8"/>
      <c r="L16" s="8"/>
      <c r="M16" s="8"/>
      <c r="N16" s="13"/>
      <c r="O16" s="1"/>
      <c r="P16" s="1"/>
      <c r="Q16" s="1"/>
      <c r="R16" s="1"/>
      <c r="S16" s="13"/>
      <c r="T16" s="13"/>
      <c r="U16" s="13"/>
      <c r="V16" s="13"/>
      <c r="W16" s="1"/>
      <c r="X16" s="1"/>
      <c r="Y16" s="1"/>
      <c r="Z16" s="1"/>
    </row>
    <row r="17" spans="1:26" x14ac:dyDescent="0.25">
      <c r="A17" s="17"/>
      <c r="B17" s="18" t="s">
        <v>700</v>
      </c>
      <c r="C17" s="13"/>
      <c r="D17" s="13"/>
      <c r="E17" s="13"/>
      <c r="F17" s="13"/>
      <c r="G17" s="1"/>
      <c r="H17" s="1"/>
      <c r="I17" s="6"/>
      <c r="J17" s="6"/>
      <c r="K17" s="8">
        <v>87.5</v>
      </c>
      <c r="L17" s="8"/>
      <c r="M17" s="8"/>
      <c r="N17" s="13"/>
      <c r="O17" s="1"/>
      <c r="P17" s="1"/>
      <c r="Q17" s="1"/>
      <c r="R17" s="1"/>
      <c r="S17" s="13"/>
      <c r="T17" s="13"/>
      <c r="U17" s="13"/>
      <c r="V17" s="13"/>
      <c r="W17" s="1"/>
      <c r="X17" s="1"/>
      <c r="Y17" s="1"/>
      <c r="Z17" s="1"/>
    </row>
    <row r="18" spans="1:26" x14ac:dyDescent="0.25">
      <c r="A18" s="17"/>
      <c r="B18" s="18" t="s">
        <v>701</v>
      </c>
      <c r="C18" s="13"/>
      <c r="D18" s="13"/>
      <c r="E18" s="13"/>
      <c r="F18" s="13"/>
      <c r="G18" s="1"/>
      <c r="H18" s="1"/>
      <c r="I18" s="6"/>
      <c r="J18" s="6">
        <v>216.2</v>
      </c>
      <c r="K18" s="8"/>
      <c r="L18" s="8"/>
      <c r="M18" s="8"/>
      <c r="N18" s="13"/>
      <c r="O18" s="1"/>
      <c r="P18" s="1"/>
      <c r="Q18" s="1"/>
      <c r="R18" s="1"/>
      <c r="S18" s="13"/>
      <c r="T18" s="13"/>
      <c r="U18" s="13"/>
      <c r="V18" s="13"/>
      <c r="W18" s="1"/>
      <c r="X18" s="1"/>
      <c r="Y18" s="1"/>
      <c r="Z18" s="1"/>
    </row>
    <row r="19" spans="1:26" x14ac:dyDescent="0.25">
      <c r="A19" s="231"/>
      <c r="B19" s="19" t="s">
        <v>697</v>
      </c>
      <c r="C19" s="13"/>
      <c r="D19" s="13"/>
      <c r="E19" s="13"/>
      <c r="F19" s="13"/>
      <c r="G19" s="1"/>
      <c r="H19" s="1"/>
      <c r="I19" s="6"/>
      <c r="J19" s="6"/>
      <c r="K19" s="8"/>
      <c r="L19" s="16">
        <v>35</v>
      </c>
      <c r="M19" s="8"/>
      <c r="N19" s="13"/>
      <c r="O19" s="1"/>
      <c r="P19" s="1"/>
      <c r="Q19" s="1"/>
      <c r="R19" s="1"/>
      <c r="S19" s="13"/>
      <c r="T19" s="13"/>
      <c r="U19" s="13"/>
      <c r="V19" s="13"/>
    </row>
    <row r="20" spans="1:26" x14ac:dyDescent="0.25">
      <c r="A20" s="17" t="s">
        <v>489</v>
      </c>
      <c r="B20" s="20" t="s">
        <v>702</v>
      </c>
      <c r="C20" s="13"/>
      <c r="D20" s="13"/>
      <c r="E20" s="13"/>
      <c r="F20" s="13"/>
      <c r="G20" s="1"/>
      <c r="H20" s="1"/>
      <c r="I20" s="6" t="s">
        <v>480</v>
      </c>
      <c r="J20" s="6"/>
      <c r="K20" s="8">
        <v>334</v>
      </c>
      <c r="L20" s="8"/>
      <c r="M20" s="8"/>
      <c r="N20" s="13"/>
      <c r="O20" s="1"/>
      <c r="P20" s="1"/>
      <c r="Q20" s="1"/>
      <c r="R20" s="1"/>
      <c r="S20" s="13"/>
      <c r="T20" s="13"/>
      <c r="U20" s="13"/>
      <c r="V20" s="13"/>
      <c r="W20" s="1"/>
      <c r="X20" s="1"/>
      <c r="Y20" s="1"/>
      <c r="Z20" s="1"/>
    </row>
    <row r="21" spans="1:26" x14ac:dyDescent="0.25">
      <c r="A21" s="17"/>
      <c r="B21" s="20" t="s">
        <v>700</v>
      </c>
      <c r="C21" s="13"/>
      <c r="D21" s="13"/>
      <c r="E21" s="13"/>
      <c r="F21" s="13"/>
      <c r="G21" s="1"/>
      <c r="H21" s="1"/>
      <c r="I21" s="6"/>
      <c r="J21" s="6"/>
      <c r="K21" s="8"/>
      <c r="L21" s="8">
        <v>87.5</v>
      </c>
      <c r="M21" s="8"/>
      <c r="N21" s="13"/>
      <c r="O21" s="1"/>
      <c r="P21" s="1"/>
      <c r="Q21" s="1"/>
      <c r="R21" s="1"/>
      <c r="S21" s="13"/>
      <c r="T21" s="13"/>
      <c r="U21" s="13"/>
      <c r="V21" s="13"/>
      <c r="W21" s="1"/>
      <c r="X21" s="1"/>
      <c r="Y21" s="1"/>
      <c r="Z21" s="1"/>
    </row>
    <row r="22" spans="1:26" x14ac:dyDescent="0.25">
      <c r="A22" s="17"/>
      <c r="B22" s="20" t="s">
        <v>701</v>
      </c>
      <c r="C22" s="13"/>
      <c r="D22" s="13"/>
      <c r="E22" s="13"/>
      <c r="F22" s="13"/>
      <c r="G22" s="1"/>
      <c r="H22" s="1"/>
      <c r="I22" s="6"/>
      <c r="J22" s="6"/>
      <c r="K22" s="8"/>
      <c r="L22" s="8">
        <v>216.2</v>
      </c>
      <c r="M22" s="8"/>
      <c r="N22" s="13"/>
      <c r="O22" s="1"/>
      <c r="P22" s="1"/>
      <c r="Q22" s="1"/>
      <c r="R22" s="1"/>
      <c r="S22" s="13"/>
      <c r="T22" s="13"/>
      <c r="U22" s="13"/>
      <c r="V22" s="13"/>
      <c r="W22" s="1"/>
      <c r="X22" s="1"/>
      <c r="Y22" s="1"/>
      <c r="Z22" s="1"/>
    </row>
    <row r="23" spans="1:26" x14ac:dyDescent="0.25">
      <c r="A23" s="17"/>
      <c r="B23" s="19" t="s">
        <v>697</v>
      </c>
      <c r="C23" s="13"/>
      <c r="D23" s="13"/>
      <c r="E23" s="13"/>
      <c r="F23" s="13"/>
      <c r="G23" s="1"/>
      <c r="H23" s="1"/>
      <c r="I23" s="6"/>
      <c r="J23" s="6"/>
      <c r="K23" s="8"/>
      <c r="L23" s="8"/>
      <c r="M23" s="16">
        <v>35</v>
      </c>
      <c r="N23" s="13"/>
      <c r="O23" s="1"/>
      <c r="P23" s="1"/>
      <c r="Q23" s="1"/>
      <c r="R23" s="1"/>
      <c r="S23" s="13"/>
      <c r="T23" s="13"/>
      <c r="U23" s="13"/>
      <c r="V23" s="21"/>
      <c r="W23" s="1"/>
      <c r="X23" s="1"/>
      <c r="Y23" s="1"/>
      <c r="Z23" s="1"/>
    </row>
    <row r="24" spans="1:26" x14ac:dyDescent="0.25">
      <c r="A24" s="231"/>
      <c r="B24" s="19"/>
      <c r="C24" s="13"/>
      <c r="D24" s="13"/>
      <c r="E24" s="13"/>
      <c r="F24" s="13"/>
      <c r="G24" s="1"/>
      <c r="H24" s="1"/>
      <c r="I24" s="6"/>
      <c r="J24" s="6"/>
      <c r="K24" s="8"/>
      <c r="L24" s="8"/>
      <c r="M24" s="16"/>
      <c r="N24" s="13"/>
      <c r="O24" s="1"/>
      <c r="P24" s="1"/>
      <c r="Q24" s="1"/>
      <c r="R24" s="1"/>
      <c r="S24" s="13"/>
      <c r="T24" s="13"/>
      <c r="U24" s="13"/>
      <c r="V24" s="21"/>
      <c r="W24" s="1"/>
      <c r="X24" s="1"/>
      <c r="Y24" s="1"/>
      <c r="Z24" s="1"/>
    </row>
    <row r="25" spans="1:26" x14ac:dyDescent="0.25">
      <c r="A25" s="230" t="s">
        <v>492</v>
      </c>
      <c r="B25" s="20" t="s">
        <v>703</v>
      </c>
      <c r="C25" s="22"/>
      <c r="D25" s="13"/>
      <c r="E25" s="13"/>
      <c r="F25" s="13"/>
      <c r="G25" s="1"/>
      <c r="H25" s="1"/>
      <c r="I25" s="6"/>
      <c r="J25" s="6"/>
      <c r="K25" s="8"/>
      <c r="L25" s="8"/>
      <c r="M25" s="8">
        <v>216.2</v>
      </c>
      <c r="N25" s="13"/>
      <c r="O25" s="1"/>
      <c r="P25" s="1"/>
      <c r="Q25" s="1"/>
      <c r="R25" s="1"/>
      <c r="S25" s="13"/>
      <c r="T25" s="13"/>
      <c r="U25" s="13"/>
      <c r="V25" s="21"/>
      <c r="W25" s="1"/>
      <c r="X25" s="1"/>
      <c r="Y25" s="1"/>
      <c r="Z25" s="1"/>
    </row>
    <row r="26" spans="1:26" x14ac:dyDescent="0.25">
      <c r="A26" s="230"/>
      <c r="B26" s="20" t="s">
        <v>700</v>
      </c>
      <c r="C26" s="22"/>
      <c r="D26" s="13"/>
      <c r="E26" s="13"/>
      <c r="F26" s="13"/>
      <c r="G26" s="1"/>
      <c r="H26" s="1"/>
      <c r="I26" s="6"/>
      <c r="J26" s="6"/>
      <c r="K26" s="8"/>
      <c r="L26" s="8"/>
      <c r="M26" s="8">
        <v>87.5</v>
      </c>
      <c r="N26" s="13"/>
      <c r="O26" s="1"/>
      <c r="P26" s="1"/>
      <c r="Q26" s="1"/>
      <c r="R26" s="1"/>
      <c r="S26" s="13"/>
      <c r="T26" s="13"/>
      <c r="U26" s="13"/>
      <c r="V26" s="21"/>
      <c r="W26" s="1"/>
      <c r="X26" s="1"/>
      <c r="Y26" s="1"/>
      <c r="Z26" s="1"/>
    </row>
    <row r="27" spans="1:26" x14ac:dyDescent="0.25">
      <c r="A27" s="231"/>
      <c r="B27" s="23" t="s">
        <v>697</v>
      </c>
      <c r="C27" s="22"/>
      <c r="D27" s="13"/>
      <c r="E27" s="13"/>
      <c r="F27" s="13"/>
      <c r="G27" s="1"/>
      <c r="H27" s="1"/>
      <c r="I27" s="6"/>
      <c r="J27" s="6"/>
      <c r="K27" s="8"/>
      <c r="L27" s="8"/>
      <c r="M27" s="8"/>
      <c r="N27" s="16">
        <v>25</v>
      </c>
      <c r="O27" s="1"/>
      <c r="P27" s="1"/>
      <c r="Q27" s="1"/>
      <c r="R27" s="1"/>
      <c r="S27" s="13"/>
      <c r="T27" s="13"/>
      <c r="U27" s="13"/>
      <c r="V27" s="21"/>
      <c r="W27" s="1"/>
      <c r="X27" s="1"/>
      <c r="Y27" s="1"/>
      <c r="Z27" s="1"/>
    </row>
    <row r="28" spans="1:26" x14ac:dyDescent="0.25">
      <c r="A28" s="234" t="s">
        <v>495</v>
      </c>
      <c r="B28" s="20" t="s">
        <v>704</v>
      </c>
      <c r="C28" s="22"/>
      <c r="D28" s="13"/>
      <c r="E28" s="13"/>
      <c r="F28" s="13"/>
      <c r="G28" s="1"/>
      <c r="H28" s="1"/>
      <c r="I28" s="6"/>
      <c r="J28" s="6"/>
      <c r="K28" s="8"/>
      <c r="L28" s="8"/>
      <c r="M28" s="8">
        <v>50</v>
      </c>
      <c r="N28" s="13"/>
      <c r="O28" s="1"/>
      <c r="P28" s="1"/>
      <c r="Q28" s="1"/>
      <c r="R28" s="1"/>
      <c r="S28" s="13"/>
      <c r="T28" s="13"/>
      <c r="U28" s="13"/>
      <c r="V28" s="21"/>
      <c r="W28" s="1"/>
      <c r="X28" s="1"/>
      <c r="Y28" s="1"/>
      <c r="Z28" s="1"/>
    </row>
    <row r="29" spans="1:26" x14ac:dyDescent="0.25">
      <c r="A29" s="236"/>
      <c r="C29" s="9"/>
      <c r="D29" s="9"/>
      <c r="E29" s="9"/>
      <c r="F29" s="9"/>
      <c r="K29" s="9"/>
      <c r="L29" s="9"/>
      <c r="M29" s="9"/>
      <c r="N29" s="9"/>
      <c r="S29" s="9"/>
      <c r="T29" s="9"/>
      <c r="U29" s="9"/>
      <c r="V29" s="9"/>
      <c r="W29" s="1"/>
      <c r="X29" s="1"/>
      <c r="Y29" s="1"/>
      <c r="Z29" s="1"/>
    </row>
    <row r="30" spans="1:26" x14ac:dyDescent="0.25">
      <c r="A30" s="24" t="s">
        <v>506</v>
      </c>
      <c r="B30" s="25" t="s">
        <v>705</v>
      </c>
      <c r="C30" s="22"/>
      <c r="D30" s="13"/>
      <c r="E30" s="13"/>
      <c r="F30" s="13"/>
      <c r="G30" s="1"/>
      <c r="H30" s="1"/>
      <c r="I30" s="1"/>
      <c r="J30" s="1"/>
      <c r="K30" s="8">
        <v>80</v>
      </c>
      <c r="L30" s="8"/>
      <c r="M30" s="8"/>
      <c r="N30" s="8"/>
      <c r="O30" s="6"/>
      <c r="P30" s="1"/>
      <c r="Q30" s="1"/>
      <c r="R30" s="1"/>
      <c r="S30" s="13"/>
      <c r="T30" s="13"/>
      <c r="U30" s="13"/>
      <c r="V30" s="21"/>
      <c r="W30" s="1"/>
      <c r="X30" s="1"/>
      <c r="Y30" s="1"/>
      <c r="Z30" s="1"/>
    </row>
    <row r="31" spans="1:26" x14ac:dyDescent="0.25">
      <c r="A31" s="24"/>
      <c r="B31" s="25" t="s">
        <v>692</v>
      </c>
      <c r="C31" s="22"/>
      <c r="D31" s="13"/>
      <c r="E31" s="13"/>
      <c r="F31" s="13"/>
      <c r="G31" s="1"/>
      <c r="H31" s="1"/>
      <c r="I31" s="1"/>
      <c r="J31" s="1"/>
      <c r="K31" s="8"/>
      <c r="L31" s="8">
        <v>57</v>
      </c>
      <c r="M31" s="8"/>
      <c r="N31" s="8"/>
      <c r="O31" s="6"/>
      <c r="P31" s="1"/>
      <c r="Q31" s="1"/>
      <c r="R31" s="1"/>
      <c r="S31" s="13"/>
      <c r="T31" s="13"/>
      <c r="U31" s="13"/>
      <c r="V31" s="21"/>
      <c r="W31" s="1"/>
      <c r="X31" s="1"/>
      <c r="Y31" s="1"/>
      <c r="Z31" s="1"/>
    </row>
    <row r="32" spans="1:26" x14ac:dyDescent="0.25">
      <c r="A32" s="24"/>
      <c r="B32" s="25" t="s">
        <v>706</v>
      </c>
      <c r="C32" s="22"/>
      <c r="D32" s="13"/>
      <c r="E32" s="13"/>
      <c r="F32" s="13"/>
      <c r="G32" s="1"/>
      <c r="H32" s="1"/>
      <c r="I32" s="1"/>
      <c r="J32" s="1"/>
      <c r="K32" s="8"/>
      <c r="L32" s="8"/>
      <c r="M32" s="8">
        <v>119.3</v>
      </c>
      <c r="N32" s="8"/>
      <c r="O32" s="6"/>
      <c r="P32" s="1"/>
      <c r="Q32" s="1"/>
      <c r="R32" s="1"/>
      <c r="S32" s="13"/>
      <c r="T32" s="13"/>
      <c r="U32" s="13"/>
      <c r="V32" s="21"/>
      <c r="W32" s="1"/>
      <c r="X32" s="1"/>
      <c r="Y32" s="1"/>
      <c r="Z32" s="1"/>
    </row>
    <row r="33" spans="1:26" x14ac:dyDescent="0.25">
      <c r="A33" s="24"/>
      <c r="B33" s="25" t="s">
        <v>707</v>
      </c>
      <c r="C33" s="22"/>
      <c r="D33" s="13"/>
      <c r="E33" s="13"/>
      <c r="F33" s="13"/>
      <c r="G33" s="1"/>
      <c r="H33" s="1"/>
      <c r="I33" s="1"/>
      <c r="J33" s="1"/>
      <c r="K33" s="8">
        <v>137.1</v>
      </c>
      <c r="L33" s="8">
        <v>137.1</v>
      </c>
      <c r="M33" s="8">
        <v>137.1</v>
      </c>
      <c r="N33" s="8"/>
      <c r="O33" s="6"/>
      <c r="P33" s="1"/>
      <c r="Q33" s="1"/>
      <c r="R33" s="1"/>
      <c r="S33" s="13"/>
      <c r="T33" s="13"/>
      <c r="U33" s="13"/>
      <c r="V33" s="21"/>
      <c r="W33" s="1"/>
      <c r="X33" s="1"/>
      <c r="Y33" s="1"/>
      <c r="Z33" s="1"/>
    </row>
    <row r="34" spans="1:26" x14ac:dyDescent="0.25">
      <c r="A34" s="232"/>
      <c r="B34" s="26" t="s">
        <v>697</v>
      </c>
      <c r="C34" s="13"/>
      <c r="D34" s="13"/>
      <c r="E34" s="13"/>
      <c r="F34" s="13"/>
      <c r="G34" s="1"/>
      <c r="H34" s="1"/>
      <c r="I34" s="1"/>
      <c r="J34" s="1"/>
      <c r="K34" s="8"/>
      <c r="L34" s="8"/>
      <c r="M34" s="8"/>
      <c r="N34" s="16">
        <v>30</v>
      </c>
      <c r="O34" s="6"/>
      <c r="P34" s="1"/>
      <c r="Q34" s="1"/>
      <c r="R34" s="1"/>
      <c r="S34" s="13"/>
      <c r="T34" s="13"/>
      <c r="U34" s="13"/>
      <c r="V34" s="21"/>
      <c r="W34" s="1"/>
      <c r="X34" s="1"/>
      <c r="Y34" s="1"/>
      <c r="Z34" s="1"/>
    </row>
    <row r="35" spans="1:26" x14ac:dyDescent="0.25">
      <c r="A35" s="24" t="s">
        <v>499</v>
      </c>
      <c r="B35" s="25" t="s">
        <v>708</v>
      </c>
      <c r="C35" s="13"/>
      <c r="D35" s="13"/>
      <c r="E35" s="13"/>
      <c r="F35" s="13"/>
      <c r="G35" s="1"/>
      <c r="H35" s="1"/>
      <c r="I35" s="1"/>
      <c r="J35" s="1"/>
      <c r="K35" s="8">
        <v>90</v>
      </c>
      <c r="L35" s="8"/>
      <c r="M35" s="8"/>
      <c r="N35" s="8"/>
      <c r="O35" s="6"/>
      <c r="P35" s="1"/>
      <c r="Q35" s="1"/>
      <c r="R35" s="1"/>
      <c r="S35" s="13"/>
      <c r="T35" s="13"/>
      <c r="U35" s="13"/>
      <c r="V35" s="21"/>
      <c r="W35" s="1"/>
      <c r="X35" s="1"/>
      <c r="Y35" s="1"/>
      <c r="Z35" s="1"/>
    </row>
    <row r="36" spans="1:26" x14ac:dyDescent="0.25">
      <c r="A36" s="24"/>
      <c r="B36" s="25" t="s">
        <v>692</v>
      </c>
      <c r="C36" s="13"/>
      <c r="D36" s="13"/>
      <c r="E36" s="13"/>
      <c r="F36" s="13"/>
      <c r="G36" s="1"/>
      <c r="H36" s="1"/>
      <c r="I36" s="1"/>
      <c r="J36" s="1"/>
      <c r="K36" s="8"/>
      <c r="L36" s="8">
        <v>47</v>
      </c>
      <c r="M36" s="8"/>
      <c r="N36" s="8"/>
      <c r="O36" s="6"/>
      <c r="P36" s="1"/>
      <c r="Q36" s="1"/>
      <c r="R36" s="1"/>
      <c r="S36" s="13"/>
      <c r="T36" s="13"/>
      <c r="U36" s="13"/>
      <c r="V36" s="21"/>
      <c r="W36" s="1"/>
      <c r="X36" s="1"/>
      <c r="Y36" s="1"/>
      <c r="Z36" s="1"/>
    </row>
    <row r="37" spans="1:26" x14ac:dyDescent="0.25">
      <c r="A37" s="24"/>
      <c r="B37" s="25" t="s">
        <v>706</v>
      </c>
      <c r="C37" s="13"/>
      <c r="D37" s="13"/>
      <c r="E37" s="13"/>
      <c r="F37" s="13"/>
      <c r="G37" s="1"/>
      <c r="H37" s="1"/>
      <c r="I37" s="1"/>
      <c r="J37" s="1"/>
      <c r="K37" s="8"/>
      <c r="L37" s="8"/>
      <c r="M37" s="8">
        <v>119.3</v>
      </c>
      <c r="N37" s="8"/>
      <c r="O37" s="6"/>
      <c r="P37" s="1"/>
      <c r="Q37" s="1"/>
      <c r="R37" s="1"/>
      <c r="S37" s="13"/>
      <c r="T37" s="13"/>
      <c r="U37" s="13"/>
      <c r="V37" s="21"/>
      <c r="W37" s="1"/>
      <c r="X37" s="1"/>
      <c r="Y37" s="1"/>
      <c r="Z37" s="1"/>
    </row>
    <row r="38" spans="1:26" x14ac:dyDescent="0.25">
      <c r="A38" s="24"/>
      <c r="B38" s="25" t="s">
        <v>709</v>
      </c>
      <c r="C38" s="13"/>
      <c r="D38" s="13"/>
      <c r="E38" s="13"/>
      <c r="F38" s="13"/>
      <c r="G38" s="1"/>
      <c r="H38" s="1"/>
      <c r="I38" s="1"/>
      <c r="J38" s="1"/>
      <c r="K38" s="8">
        <v>136.5</v>
      </c>
      <c r="L38" s="8">
        <v>136.5</v>
      </c>
      <c r="M38" s="8">
        <v>136.5</v>
      </c>
      <c r="N38" s="8"/>
      <c r="O38" s="6"/>
      <c r="P38" s="1"/>
      <c r="Q38" s="1"/>
      <c r="R38" s="1"/>
      <c r="S38" s="13"/>
      <c r="T38" s="13"/>
      <c r="U38" s="13"/>
      <c r="V38" s="21"/>
      <c r="W38" s="1"/>
      <c r="X38" s="1"/>
      <c r="Y38" s="1"/>
      <c r="Z38" s="1"/>
    </row>
    <row r="39" spans="1:26" x14ac:dyDescent="0.25">
      <c r="A39" s="24"/>
      <c r="B39" s="25" t="s">
        <v>702</v>
      </c>
      <c r="C39" s="13"/>
      <c r="D39" s="13"/>
      <c r="E39" s="13"/>
      <c r="F39" s="13"/>
      <c r="G39" s="1"/>
      <c r="H39" s="1"/>
      <c r="I39" s="1"/>
      <c r="J39" s="1"/>
      <c r="K39" s="8"/>
      <c r="L39" s="8"/>
      <c r="M39" s="8">
        <v>113.7</v>
      </c>
      <c r="N39" s="8">
        <v>113.7</v>
      </c>
      <c r="O39" s="6"/>
      <c r="P39" s="1"/>
      <c r="Q39" s="1"/>
      <c r="R39" s="1"/>
      <c r="S39" s="13"/>
      <c r="T39" s="13"/>
      <c r="U39" s="13"/>
      <c r="V39" s="21"/>
      <c r="W39" s="1"/>
      <c r="X39" s="1"/>
      <c r="Y39" s="1"/>
      <c r="Z39" s="1"/>
    </row>
    <row r="40" spans="1:26" x14ac:dyDescent="0.25">
      <c r="A40" s="24"/>
      <c r="B40" s="25" t="s">
        <v>701</v>
      </c>
      <c r="C40" s="13"/>
      <c r="D40" s="13"/>
      <c r="E40" s="13"/>
      <c r="F40" s="13"/>
      <c r="G40" s="1"/>
      <c r="H40" s="1"/>
      <c r="I40" s="1"/>
      <c r="J40" s="1"/>
      <c r="K40" s="8"/>
      <c r="L40" s="8"/>
      <c r="M40" s="8">
        <v>108.1</v>
      </c>
      <c r="N40" s="8">
        <v>108.1</v>
      </c>
      <c r="O40" s="6"/>
      <c r="P40" s="1"/>
      <c r="Q40" s="1"/>
      <c r="R40" s="1"/>
      <c r="S40" s="13"/>
      <c r="T40" s="13"/>
      <c r="U40" s="13"/>
      <c r="V40" s="21"/>
      <c r="W40" s="1"/>
      <c r="X40" s="1"/>
      <c r="Y40" s="1"/>
      <c r="Z40" s="1"/>
    </row>
    <row r="41" spans="1:26" x14ac:dyDescent="0.25">
      <c r="A41" s="24"/>
      <c r="B41" s="25" t="s">
        <v>710</v>
      </c>
      <c r="C41" s="13"/>
      <c r="D41" s="13"/>
      <c r="E41" s="13"/>
      <c r="F41" s="13"/>
      <c r="G41" s="1"/>
      <c r="H41" s="1"/>
      <c r="I41" s="1"/>
      <c r="J41" s="1"/>
      <c r="K41" s="8"/>
      <c r="L41" s="8"/>
      <c r="M41" s="8"/>
      <c r="N41" s="8"/>
      <c r="O41" s="6">
        <v>87</v>
      </c>
      <c r="P41" s="1"/>
      <c r="Q41" s="1"/>
      <c r="R41" s="1"/>
      <c r="S41" s="13"/>
      <c r="T41" s="13"/>
      <c r="U41" s="13"/>
      <c r="V41" s="21"/>
      <c r="W41" s="1"/>
      <c r="X41" s="1"/>
      <c r="Y41" s="1"/>
      <c r="Z41" s="1"/>
    </row>
    <row r="42" spans="1:26" x14ac:dyDescent="0.25">
      <c r="A42" s="235"/>
      <c r="B42" s="27" t="s">
        <v>697</v>
      </c>
      <c r="C42" s="13"/>
      <c r="D42" s="13"/>
      <c r="E42" s="13"/>
      <c r="F42" s="13"/>
      <c r="G42" s="1"/>
      <c r="H42" s="1"/>
      <c r="I42" s="1"/>
      <c r="J42" s="1"/>
      <c r="K42" s="8"/>
      <c r="L42" s="8"/>
      <c r="M42" s="8"/>
      <c r="N42" s="8"/>
      <c r="O42" s="6"/>
      <c r="P42" s="28">
        <v>56.9</v>
      </c>
      <c r="Q42" s="1"/>
      <c r="R42" s="1"/>
      <c r="S42" s="13"/>
      <c r="T42" s="13"/>
      <c r="U42" s="13"/>
      <c r="V42" s="21"/>
      <c r="W42" s="1"/>
      <c r="X42" s="1"/>
      <c r="Y42" s="1"/>
      <c r="Z42" s="1"/>
    </row>
    <row r="43" spans="1:26" x14ac:dyDescent="0.25">
      <c r="B43" s="1"/>
      <c r="C43" s="13"/>
      <c r="D43" s="13"/>
      <c r="E43" s="13"/>
      <c r="F43" s="13"/>
      <c r="G43" s="1"/>
      <c r="H43" s="1"/>
      <c r="I43" s="1"/>
      <c r="J43" s="1"/>
      <c r="K43" s="13"/>
      <c r="L43" s="13"/>
      <c r="M43" s="13"/>
      <c r="N43" s="13"/>
      <c r="O43" s="1"/>
      <c r="P43" s="1"/>
      <c r="Q43" s="1"/>
      <c r="R43" s="1"/>
      <c r="S43" s="13"/>
      <c r="T43" s="13"/>
      <c r="U43" s="13"/>
      <c r="V43" s="21"/>
      <c r="W43" s="1"/>
      <c r="X43" s="1"/>
      <c r="Y43" s="1"/>
      <c r="Z43" s="1"/>
    </row>
    <row r="44" spans="1:26" x14ac:dyDescent="0.25">
      <c r="B44" s="29" t="s">
        <v>711</v>
      </c>
      <c r="C44" s="13"/>
      <c r="D44" s="13"/>
      <c r="E44" s="13"/>
      <c r="F44" s="13"/>
      <c r="G44" s="1"/>
      <c r="H44" s="1"/>
      <c r="I44" s="1"/>
      <c r="J44" s="1"/>
      <c r="K44" s="13"/>
      <c r="L44" s="13"/>
      <c r="M44" s="13"/>
      <c r="N44" s="13"/>
      <c r="O44" s="1"/>
      <c r="P44" s="6">
        <v>500</v>
      </c>
      <c r="Q44" s="1"/>
      <c r="R44" s="1"/>
      <c r="S44" s="13"/>
      <c r="T44" s="13"/>
      <c r="U44" s="13"/>
      <c r="V44" s="21"/>
      <c r="W44" s="1"/>
      <c r="X44" s="1"/>
      <c r="Y44" s="1"/>
      <c r="Z44" s="1"/>
    </row>
  </sheetData>
  <mergeCells count="8">
    <mergeCell ref="K6:N6"/>
    <mergeCell ref="I6:J6"/>
    <mergeCell ref="W1:Z1"/>
    <mergeCell ref="C1:F1"/>
    <mergeCell ref="G1:J1"/>
    <mergeCell ref="K1:N1"/>
    <mergeCell ref="O1:R1"/>
    <mergeCell ref="S1:V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T91"/>
  <sheetViews>
    <sheetView topLeftCell="A31" zoomScale="70" zoomScaleNormal="70" workbookViewId="0"/>
  </sheetViews>
  <sheetFormatPr defaultColWidth="8.7109375" defaultRowHeight="15" x14ac:dyDescent="0.25"/>
  <cols>
    <col min="1" max="2" width="17.28515625" customWidth="1"/>
    <col min="3" max="3" width="58" bestFit="1" customWidth="1"/>
    <col min="4" max="10" width="9.140625" style="3"/>
    <col min="12" max="12" width="14" customWidth="1"/>
    <col min="19" max="19" width="9.42578125" bestFit="1" customWidth="1"/>
  </cols>
  <sheetData>
    <row r="1" spans="1:19" x14ac:dyDescent="0.25">
      <c r="D1" s="30" t="s">
        <v>434</v>
      </c>
      <c r="E1" s="30">
        <v>2022</v>
      </c>
      <c r="F1" s="30">
        <v>2023</v>
      </c>
      <c r="G1" s="30">
        <v>2024</v>
      </c>
      <c r="H1" s="30">
        <v>2025</v>
      </c>
      <c r="I1" s="30">
        <v>2026</v>
      </c>
      <c r="J1" s="30">
        <v>2027</v>
      </c>
      <c r="K1" s="30" t="s">
        <v>429</v>
      </c>
      <c r="L1" s="30" t="s">
        <v>712</v>
      </c>
      <c r="M1" s="30">
        <v>2022</v>
      </c>
      <c r="N1" s="30">
        <v>2023</v>
      </c>
      <c r="O1" s="30">
        <v>2024</v>
      </c>
      <c r="P1" s="30">
        <v>2025</v>
      </c>
      <c r="Q1" s="30">
        <v>2026</v>
      </c>
      <c r="R1" s="30">
        <v>2027</v>
      </c>
      <c r="S1" s="30" t="s">
        <v>429</v>
      </c>
    </row>
    <row r="2" spans="1:19" x14ac:dyDescent="0.25">
      <c r="A2" s="77" t="s">
        <v>713</v>
      </c>
    </row>
    <row r="3" spans="1:19" ht="15.75" thickBot="1" x14ac:dyDescent="0.3">
      <c r="A3" s="31" t="s">
        <v>527</v>
      </c>
    </row>
    <row r="4" spans="1:19" ht="15.75" thickBot="1" x14ac:dyDescent="0.3">
      <c r="A4" s="32" t="s">
        <v>714</v>
      </c>
      <c r="B4" s="33"/>
      <c r="C4" s="33"/>
      <c r="D4" s="34" t="s">
        <v>530</v>
      </c>
      <c r="E4" s="35"/>
      <c r="F4" s="35">
        <v>5</v>
      </c>
      <c r="G4" s="35">
        <v>5</v>
      </c>
      <c r="H4" s="35">
        <v>5</v>
      </c>
      <c r="I4" s="35"/>
      <c r="J4" s="35"/>
      <c r="K4" s="35">
        <f>SUM(E4:J4)</f>
        <v>15</v>
      </c>
      <c r="L4" s="35"/>
      <c r="M4" s="36">
        <f t="shared" ref="M4:R4" si="0">SUM(M6:M9,M11:M13,M15,M16)</f>
        <v>0</v>
      </c>
      <c r="N4" s="37">
        <f>SUM(N6:N9,N11:N13,N15,N16)</f>
        <v>134150</v>
      </c>
      <c r="O4" s="37">
        <f t="shared" si="0"/>
        <v>134150</v>
      </c>
      <c r="P4" s="37">
        <f t="shared" si="0"/>
        <v>134150</v>
      </c>
      <c r="Q4" s="37">
        <f t="shared" si="0"/>
        <v>0</v>
      </c>
      <c r="R4" s="37">
        <f t="shared" si="0"/>
        <v>0</v>
      </c>
      <c r="S4" s="38">
        <f>SUM(S6:S9,S11:S13,S15,S16)</f>
        <v>402450</v>
      </c>
    </row>
    <row r="5" spans="1:19" x14ac:dyDescent="0.25">
      <c r="A5" s="39"/>
      <c r="B5" t="s">
        <v>531</v>
      </c>
      <c r="E5" s="40"/>
      <c r="F5" s="40"/>
      <c r="G5" s="40"/>
      <c r="H5" s="40"/>
      <c r="I5" s="40"/>
      <c r="J5" s="40"/>
      <c r="K5" s="40"/>
      <c r="L5" s="40"/>
      <c r="M5" s="3"/>
      <c r="N5" s="3"/>
      <c r="O5" s="3"/>
      <c r="P5" s="3"/>
      <c r="Q5" s="3"/>
      <c r="R5" s="3"/>
      <c r="S5" s="41"/>
    </row>
    <row r="6" spans="1:19" x14ac:dyDescent="0.25">
      <c r="A6" s="39"/>
      <c r="C6" t="s">
        <v>532</v>
      </c>
      <c r="D6" s="3" t="s">
        <v>533</v>
      </c>
      <c r="E6" s="40">
        <v>0</v>
      </c>
      <c r="F6" s="40">
        <f>F4*10</f>
        <v>50</v>
      </c>
      <c r="G6" s="40">
        <f>G4*10</f>
        <v>50</v>
      </c>
      <c r="H6" s="40">
        <f>H4*10</f>
        <v>50</v>
      </c>
      <c r="I6" s="40">
        <v>0</v>
      </c>
      <c r="J6" s="40">
        <v>0</v>
      </c>
      <c r="K6" s="40">
        <f>SUM(E6:J6)</f>
        <v>150</v>
      </c>
      <c r="L6" s="40">
        <v>500</v>
      </c>
      <c r="M6" s="40">
        <f>E6*$L6</f>
        <v>0</v>
      </c>
      <c r="N6" s="40">
        <f t="shared" ref="N6:R9" si="1">F6*$L6</f>
        <v>25000</v>
      </c>
      <c r="O6" s="40">
        <f t="shared" si="1"/>
        <v>25000</v>
      </c>
      <c r="P6" s="40">
        <f t="shared" si="1"/>
        <v>25000</v>
      </c>
      <c r="Q6" s="40">
        <f t="shared" si="1"/>
        <v>0</v>
      </c>
      <c r="R6" s="40">
        <f t="shared" si="1"/>
        <v>0</v>
      </c>
      <c r="S6" s="42">
        <f>SUM(M6:R6)</f>
        <v>75000</v>
      </c>
    </row>
    <row r="7" spans="1:19" x14ac:dyDescent="0.25">
      <c r="A7" s="39"/>
      <c r="C7" t="s">
        <v>534</v>
      </c>
      <c r="D7" s="3" t="s">
        <v>535</v>
      </c>
      <c r="E7" s="40">
        <v>0</v>
      </c>
      <c r="F7" s="40">
        <v>5</v>
      </c>
      <c r="G7" s="40">
        <v>5</v>
      </c>
      <c r="H7" s="40">
        <v>5</v>
      </c>
      <c r="I7" s="40">
        <v>0</v>
      </c>
      <c r="J7" s="40">
        <v>0</v>
      </c>
      <c r="K7" s="40">
        <f>SUM(E7:J7)</f>
        <v>15</v>
      </c>
      <c r="L7" s="40">
        <v>1000</v>
      </c>
      <c r="M7" s="40">
        <f>E7*$L7</f>
        <v>0</v>
      </c>
      <c r="N7" s="40">
        <f t="shared" si="1"/>
        <v>5000</v>
      </c>
      <c r="O7" s="40">
        <f t="shared" si="1"/>
        <v>5000</v>
      </c>
      <c r="P7" s="40">
        <f t="shared" si="1"/>
        <v>5000</v>
      </c>
      <c r="Q7" s="40">
        <f t="shared" si="1"/>
        <v>0</v>
      </c>
      <c r="R7" s="40">
        <f t="shared" si="1"/>
        <v>0</v>
      </c>
      <c r="S7" s="42">
        <f>SUM(M7:R7)</f>
        <v>15000</v>
      </c>
    </row>
    <row r="8" spans="1:19" x14ac:dyDescent="0.25">
      <c r="A8" s="39"/>
      <c r="C8" t="s">
        <v>536</v>
      </c>
      <c r="D8" s="3" t="s">
        <v>537</v>
      </c>
      <c r="E8" s="40">
        <v>0</v>
      </c>
      <c r="F8" s="40">
        <f>2*F4</f>
        <v>10</v>
      </c>
      <c r="G8" s="40">
        <f>2*G4</f>
        <v>10</v>
      </c>
      <c r="H8" s="40">
        <f>2*H4</f>
        <v>10</v>
      </c>
      <c r="I8" s="40">
        <v>0</v>
      </c>
      <c r="J8" s="40">
        <v>0</v>
      </c>
      <c r="K8" s="40">
        <f>SUM(E8:J8)</f>
        <v>30</v>
      </c>
      <c r="L8" s="40">
        <v>1500</v>
      </c>
      <c r="M8" s="40">
        <f>E8*$L8</f>
        <v>0</v>
      </c>
      <c r="N8" s="40">
        <f t="shared" si="1"/>
        <v>15000</v>
      </c>
      <c r="O8" s="40">
        <f t="shared" si="1"/>
        <v>15000</v>
      </c>
      <c r="P8" s="40">
        <f t="shared" si="1"/>
        <v>15000</v>
      </c>
      <c r="Q8" s="40">
        <f t="shared" si="1"/>
        <v>0</v>
      </c>
      <c r="R8" s="40">
        <f t="shared" si="1"/>
        <v>0</v>
      </c>
      <c r="S8" s="42">
        <f>SUM(M8:R8)</f>
        <v>45000</v>
      </c>
    </row>
    <row r="9" spans="1:19" x14ac:dyDescent="0.25">
      <c r="A9" s="39"/>
      <c r="C9" t="s">
        <v>538</v>
      </c>
      <c r="D9" s="3" t="s">
        <v>535</v>
      </c>
      <c r="E9" s="40">
        <v>0</v>
      </c>
      <c r="F9" s="40">
        <v>5</v>
      </c>
      <c r="G9" s="40">
        <v>5</v>
      </c>
      <c r="H9" s="40">
        <v>5</v>
      </c>
      <c r="I9" s="40">
        <v>0</v>
      </c>
      <c r="J9" s="40">
        <v>0</v>
      </c>
      <c r="K9" s="40">
        <f>SUM(E9:J9)</f>
        <v>15</v>
      </c>
      <c r="L9" s="40">
        <v>2000</v>
      </c>
      <c r="M9" s="40">
        <f>E9*$L9</f>
        <v>0</v>
      </c>
      <c r="N9" s="40">
        <f t="shared" si="1"/>
        <v>10000</v>
      </c>
      <c r="O9" s="40">
        <f t="shared" si="1"/>
        <v>10000</v>
      </c>
      <c r="P9" s="40">
        <f t="shared" si="1"/>
        <v>10000</v>
      </c>
      <c r="Q9" s="40">
        <f t="shared" si="1"/>
        <v>0</v>
      </c>
      <c r="R9" s="40">
        <f t="shared" si="1"/>
        <v>0</v>
      </c>
      <c r="S9" s="42">
        <f>SUM(M9:R9)</f>
        <v>30000</v>
      </c>
    </row>
    <row r="10" spans="1:19" x14ac:dyDescent="0.25">
      <c r="A10" s="39"/>
      <c r="B10" t="s">
        <v>715</v>
      </c>
      <c r="S10" s="43"/>
    </row>
    <row r="11" spans="1:19" x14ac:dyDescent="0.25">
      <c r="A11" s="39"/>
      <c r="C11" t="s">
        <v>540</v>
      </c>
      <c r="D11" s="3" t="s">
        <v>541</v>
      </c>
      <c r="E11" s="3">
        <v>0</v>
      </c>
      <c r="F11" s="40">
        <f>2*5000*F4</f>
        <v>50000</v>
      </c>
      <c r="G11" s="40">
        <f>2*5000*G4</f>
        <v>50000</v>
      </c>
      <c r="H11" s="40">
        <f>2*5000*H4</f>
        <v>50000</v>
      </c>
      <c r="I11" s="3">
        <v>0</v>
      </c>
      <c r="J11" s="3">
        <v>0</v>
      </c>
      <c r="K11" s="40">
        <f>SUM(E11:J11)</f>
        <v>150000</v>
      </c>
      <c r="L11" s="44">
        <v>0.15</v>
      </c>
      <c r="M11" s="40">
        <f>E11*$L11</f>
        <v>0</v>
      </c>
      <c r="N11" s="40">
        <f t="shared" ref="N11:R13" si="2">F11*$L11</f>
        <v>7500</v>
      </c>
      <c r="O11" s="40">
        <f t="shared" si="2"/>
        <v>7500</v>
      </c>
      <c r="P11" s="40">
        <f t="shared" si="2"/>
        <v>7500</v>
      </c>
      <c r="Q11" s="40">
        <f t="shared" si="2"/>
        <v>0</v>
      </c>
      <c r="R11" s="40">
        <f t="shared" si="2"/>
        <v>0</v>
      </c>
      <c r="S11" s="42">
        <f>SUM(M11:R11)</f>
        <v>22500</v>
      </c>
    </row>
    <row r="12" spans="1:19" x14ac:dyDescent="0.25">
      <c r="A12" s="39"/>
      <c r="C12" t="s">
        <v>716</v>
      </c>
      <c r="D12" s="3" t="s">
        <v>543</v>
      </c>
      <c r="E12" s="3">
        <v>0</v>
      </c>
      <c r="F12" s="40">
        <f>F11*0.7*1.2</f>
        <v>42000</v>
      </c>
      <c r="G12" s="40">
        <f>G11*0.7*1.2</f>
        <v>42000</v>
      </c>
      <c r="H12" s="40">
        <f>H11*0.7*1.2</f>
        <v>42000</v>
      </c>
      <c r="I12" s="3">
        <v>0</v>
      </c>
      <c r="J12" s="3">
        <v>0</v>
      </c>
      <c r="K12" s="40">
        <f>SUM(E12:J12)</f>
        <v>126000</v>
      </c>
      <c r="L12" s="44">
        <v>1.2</v>
      </c>
      <c r="M12" s="40">
        <f>E12*$L12</f>
        <v>0</v>
      </c>
      <c r="N12" s="40">
        <f t="shared" si="2"/>
        <v>50400</v>
      </c>
      <c r="O12" s="40">
        <f t="shared" si="2"/>
        <v>50400</v>
      </c>
      <c r="P12" s="40">
        <f t="shared" si="2"/>
        <v>50400</v>
      </c>
      <c r="Q12" s="40">
        <f t="shared" si="2"/>
        <v>0</v>
      </c>
      <c r="R12" s="40">
        <f t="shared" si="2"/>
        <v>0</v>
      </c>
      <c r="S12" s="42">
        <f>SUM(M12:R12)</f>
        <v>151200</v>
      </c>
    </row>
    <row r="13" spans="1:19" x14ac:dyDescent="0.25">
      <c r="A13" s="39"/>
      <c r="C13" t="s">
        <v>544</v>
      </c>
      <c r="D13" s="3" t="s">
        <v>545</v>
      </c>
      <c r="E13" s="3">
        <v>0</v>
      </c>
      <c r="F13" s="40">
        <v>5</v>
      </c>
      <c r="G13" s="40">
        <v>5</v>
      </c>
      <c r="H13" s="40">
        <v>5</v>
      </c>
      <c r="I13" s="3">
        <v>0</v>
      </c>
      <c r="J13" s="3">
        <v>0</v>
      </c>
      <c r="K13" s="40">
        <f>SUM(E13:J13)</f>
        <v>15</v>
      </c>
      <c r="L13" s="3">
        <v>250</v>
      </c>
      <c r="M13" s="40">
        <f>E13*$L13</f>
        <v>0</v>
      </c>
      <c r="N13" s="40">
        <f t="shared" si="2"/>
        <v>1250</v>
      </c>
      <c r="O13" s="40">
        <f t="shared" si="2"/>
        <v>1250</v>
      </c>
      <c r="P13" s="40">
        <f t="shared" si="2"/>
        <v>1250</v>
      </c>
      <c r="Q13" s="40">
        <f t="shared" si="2"/>
        <v>0</v>
      </c>
      <c r="R13" s="40">
        <f t="shared" si="2"/>
        <v>0</v>
      </c>
      <c r="S13" s="42">
        <f>SUM(M13:R13)</f>
        <v>3750</v>
      </c>
    </row>
    <row r="14" spans="1:19" x14ac:dyDescent="0.25">
      <c r="A14" s="39"/>
      <c r="B14" t="s">
        <v>546</v>
      </c>
      <c r="S14" s="43"/>
    </row>
    <row r="15" spans="1:19" x14ac:dyDescent="0.25">
      <c r="A15" s="39"/>
      <c r="C15" t="s">
        <v>547</v>
      </c>
      <c r="D15" s="3" t="s">
        <v>548</v>
      </c>
      <c r="F15" s="3">
        <f>2*F4</f>
        <v>10</v>
      </c>
      <c r="G15" s="3">
        <f>2*G4</f>
        <v>10</v>
      </c>
      <c r="H15" s="3">
        <f>2*H4</f>
        <v>10</v>
      </c>
      <c r="K15" s="40">
        <f>SUM(E15:J15)</f>
        <v>30</v>
      </c>
      <c r="L15" s="40">
        <v>1000</v>
      </c>
      <c r="M15" s="40">
        <f>E15*$L15</f>
        <v>0</v>
      </c>
      <c r="N15" s="40">
        <f t="shared" ref="N15:R16" si="3">F15*$L15</f>
        <v>10000</v>
      </c>
      <c r="O15" s="40">
        <f t="shared" si="3"/>
        <v>10000</v>
      </c>
      <c r="P15" s="40">
        <f t="shared" si="3"/>
        <v>10000</v>
      </c>
      <c r="Q15" s="40">
        <f t="shared" si="3"/>
        <v>0</v>
      </c>
      <c r="R15" s="40">
        <f t="shared" si="3"/>
        <v>0</v>
      </c>
      <c r="S15" s="42">
        <f>SUM(M15:R15)</f>
        <v>30000</v>
      </c>
    </row>
    <row r="16" spans="1:19" ht="15.75" thickBot="1" x14ac:dyDescent="0.3">
      <c r="A16" s="45"/>
      <c r="B16" s="46"/>
      <c r="C16" s="46" t="s">
        <v>549</v>
      </c>
      <c r="D16" s="47" t="s">
        <v>548</v>
      </c>
      <c r="E16" s="47"/>
      <c r="F16" s="47">
        <f>2*F4</f>
        <v>10</v>
      </c>
      <c r="G16" s="47">
        <f>2*G4</f>
        <v>10</v>
      </c>
      <c r="H16" s="47">
        <f>2*H4</f>
        <v>10</v>
      </c>
      <c r="I16" s="47"/>
      <c r="J16" s="47"/>
      <c r="K16" s="48">
        <f>SUM(E16:J16)</f>
        <v>30</v>
      </c>
      <c r="L16" s="48">
        <v>1000</v>
      </c>
      <c r="M16" s="48">
        <f>E16*$L16</f>
        <v>0</v>
      </c>
      <c r="N16" s="48">
        <f t="shared" si="3"/>
        <v>10000</v>
      </c>
      <c r="O16" s="48">
        <f t="shared" si="3"/>
        <v>10000</v>
      </c>
      <c r="P16" s="48">
        <f t="shared" si="3"/>
        <v>10000</v>
      </c>
      <c r="Q16" s="48">
        <f t="shared" si="3"/>
        <v>0</v>
      </c>
      <c r="R16" s="48">
        <f t="shared" si="3"/>
        <v>0</v>
      </c>
      <c r="S16" s="49">
        <f>SUM(M16:R16)</f>
        <v>30000</v>
      </c>
    </row>
    <row r="17" spans="1:19" ht="15.75" thickBot="1" x14ac:dyDescent="0.3"/>
    <row r="18" spans="1:19" ht="15.75" thickBot="1" x14ac:dyDescent="0.3">
      <c r="A18" s="32" t="s">
        <v>717</v>
      </c>
      <c r="B18" s="33"/>
      <c r="C18" s="33"/>
      <c r="D18" s="34" t="s">
        <v>530</v>
      </c>
      <c r="E18" s="35"/>
      <c r="F18" s="35"/>
      <c r="G18" s="35">
        <v>5</v>
      </c>
      <c r="H18" s="35">
        <v>5</v>
      </c>
      <c r="I18" s="35">
        <v>5</v>
      </c>
      <c r="J18" s="35"/>
      <c r="K18" s="35">
        <f>SUM(E18:J18)</f>
        <v>15</v>
      </c>
      <c r="L18" s="35"/>
      <c r="M18" s="36">
        <f t="shared" ref="M18:R18" si="4">SUM(M20:M23,M25:M27,M29,M30)</f>
        <v>0</v>
      </c>
      <c r="N18" s="37">
        <f t="shared" si="4"/>
        <v>0</v>
      </c>
      <c r="O18" s="37">
        <f t="shared" si="4"/>
        <v>134150</v>
      </c>
      <c r="P18" s="37">
        <f t="shared" si="4"/>
        <v>134150</v>
      </c>
      <c r="Q18" s="37">
        <f t="shared" si="4"/>
        <v>134150</v>
      </c>
      <c r="R18" s="37">
        <f t="shared" si="4"/>
        <v>0</v>
      </c>
      <c r="S18" s="38">
        <f>SUM(S20:S23,S25:S27,S29,S30)</f>
        <v>402450</v>
      </c>
    </row>
    <row r="19" spans="1:19" x14ac:dyDescent="0.25">
      <c r="A19" s="39"/>
      <c r="B19" t="s">
        <v>531</v>
      </c>
      <c r="E19" s="40"/>
      <c r="F19" s="40"/>
      <c r="G19" s="40"/>
      <c r="H19" s="40"/>
      <c r="I19" s="40"/>
      <c r="J19" s="40"/>
      <c r="K19" s="40"/>
      <c r="L19" s="40"/>
      <c r="M19" s="3"/>
      <c r="N19" s="3"/>
      <c r="O19" s="3"/>
      <c r="P19" s="3"/>
      <c r="Q19" s="3"/>
      <c r="R19" s="3"/>
      <c r="S19" s="41"/>
    </row>
    <row r="20" spans="1:19" x14ac:dyDescent="0.25">
      <c r="A20" s="39"/>
      <c r="C20" t="s">
        <v>532</v>
      </c>
      <c r="D20" s="3" t="s">
        <v>533</v>
      </c>
      <c r="E20" s="40">
        <v>0</v>
      </c>
      <c r="F20" s="40">
        <f>F18*10</f>
        <v>0</v>
      </c>
      <c r="G20" s="40">
        <f>G18*10</f>
        <v>50</v>
      </c>
      <c r="H20" s="40">
        <f>H18*10</f>
        <v>50</v>
      </c>
      <c r="I20" s="40">
        <f>I18*10</f>
        <v>50</v>
      </c>
      <c r="J20" s="40">
        <v>0</v>
      </c>
      <c r="K20" s="40">
        <f>SUM(E20:J20)</f>
        <v>150</v>
      </c>
      <c r="L20" s="40">
        <v>500</v>
      </c>
      <c r="M20" s="40">
        <f>E20*$L20</f>
        <v>0</v>
      </c>
      <c r="N20" s="40">
        <f t="shared" ref="N20:R23" si="5">F20*$L20</f>
        <v>0</v>
      </c>
      <c r="O20" s="40">
        <f t="shared" si="5"/>
        <v>25000</v>
      </c>
      <c r="P20" s="40">
        <f t="shared" si="5"/>
        <v>25000</v>
      </c>
      <c r="Q20" s="40">
        <f t="shared" si="5"/>
        <v>25000</v>
      </c>
      <c r="R20" s="40">
        <f t="shared" si="5"/>
        <v>0</v>
      </c>
      <c r="S20" s="42">
        <f>SUM(M20:R20)</f>
        <v>75000</v>
      </c>
    </row>
    <row r="21" spans="1:19" x14ac:dyDescent="0.25">
      <c r="A21" s="39"/>
      <c r="C21" t="s">
        <v>534</v>
      </c>
      <c r="D21" s="3" t="s">
        <v>535</v>
      </c>
      <c r="E21" s="40">
        <v>0</v>
      </c>
      <c r="F21" s="40">
        <v>0</v>
      </c>
      <c r="G21" s="40">
        <v>5</v>
      </c>
      <c r="H21" s="40">
        <v>5</v>
      </c>
      <c r="I21" s="40">
        <v>5</v>
      </c>
      <c r="J21" s="40">
        <v>0</v>
      </c>
      <c r="K21" s="40">
        <f>SUM(E21:J21)</f>
        <v>15</v>
      </c>
      <c r="L21" s="40">
        <v>1000</v>
      </c>
      <c r="M21" s="40">
        <f>E21*$L21</f>
        <v>0</v>
      </c>
      <c r="N21" s="40">
        <f t="shared" si="5"/>
        <v>0</v>
      </c>
      <c r="O21" s="40">
        <f t="shared" si="5"/>
        <v>5000</v>
      </c>
      <c r="P21" s="40">
        <f t="shared" si="5"/>
        <v>5000</v>
      </c>
      <c r="Q21" s="40">
        <f t="shared" si="5"/>
        <v>5000</v>
      </c>
      <c r="R21" s="40">
        <f t="shared" si="5"/>
        <v>0</v>
      </c>
      <c r="S21" s="42">
        <f>SUM(M21:R21)</f>
        <v>15000</v>
      </c>
    </row>
    <row r="22" spans="1:19" x14ac:dyDescent="0.25">
      <c r="A22" s="39"/>
      <c r="C22" t="s">
        <v>536</v>
      </c>
      <c r="D22" s="3" t="s">
        <v>537</v>
      </c>
      <c r="E22" s="40">
        <v>0</v>
      </c>
      <c r="F22" s="40">
        <f>2*F18</f>
        <v>0</v>
      </c>
      <c r="G22" s="40">
        <f>2*G18</f>
        <v>10</v>
      </c>
      <c r="H22" s="40">
        <f>2*H18</f>
        <v>10</v>
      </c>
      <c r="I22" s="40">
        <f>2*I18</f>
        <v>10</v>
      </c>
      <c r="J22" s="40">
        <v>0</v>
      </c>
      <c r="K22" s="40">
        <f>SUM(E22:J22)</f>
        <v>30</v>
      </c>
      <c r="L22" s="40">
        <v>1500</v>
      </c>
      <c r="M22" s="40">
        <f>E22*$L22</f>
        <v>0</v>
      </c>
      <c r="N22" s="40">
        <f t="shared" si="5"/>
        <v>0</v>
      </c>
      <c r="O22" s="40">
        <f t="shared" si="5"/>
        <v>15000</v>
      </c>
      <c r="P22" s="40">
        <f t="shared" si="5"/>
        <v>15000</v>
      </c>
      <c r="Q22" s="40">
        <f t="shared" si="5"/>
        <v>15000</v>
      </c>
      <c r="R22" s="40">
        <f t="shared" si="5"/>
        <v>0</v>
      </c>
      <c r="S22" s="42">
        <f>SUM(M22:R22)</f>
        <v>45000</v>
      </c>
    </row>
    <row r="23" spans="1:19" x14ac:dyDescent="0.25">
      <c r="A23" s="39"/>
      <c r="C23" t="s">
        <v>538</v>
      </c>
      <c r="D23" s="3" t="s">
        <v>535</v>
      </c>
      <c r="E23" s="40">
        <v>0</v>
      </c>
      <c r="F23" s="40">
        <v>0</v>
      </c>
      <c r="G23" s="40">
        <v>5</v>
      </c>
      <c r="H23" s="40">
        <v>5</v>
      </c>
      <c r="I23" s="40">
        <v>5</v>
      </c>
      <c r="J23" s="40">
        <v>0</v>
      </c>
      <c r="K23" s="40">
        <f>SUM(E23:J23)</f>
        <v>15</v>
      </c>
      <c r="L23" s="40">
        <v>2000</v>
      </c>
      <c r="M23" s="40">
        <f>E23*$L23</f>
        <v>0</v>
      </c>
      <c r="N23" s="40">
        <f t="shared" si="5"/>
        <v>0</v>
      </c>
      <c r="O23" s="40">
        <f t="shared" si="5"/>
        <v>10000</v>
      </c>
      <c r="P23" s="40">
        <f t="shared" si="5"/>
        <v>10000</v>
      </c>
      <c r="Q23" s="40">
        <f t="shared" si="5"/>
        <v>10000</v>
      </c>
      <c r="R23" s="40">
        <f t="shared" si="5"/>
        <v>0</v>
      </c>
      <c r="S23" s="42">
        <f>SUM(M23:R23)</f>
        <v>30000</v>
      </c>
    </row>
    <row r="24" spans="1:19" x14ac:dyDescent="0.25">
      <c r="A24" s="39"/>
      <c r="B24" t="s">
        <v>715</v>
      </c>
      <c r="S24" s="43"/>
    </row>
    <row r="25" spans="1:19" x14ac:dyDescent="0.25">
      <c r="A25" s="39"/>
      <c r="C25" t="s">
        <v>540</v>
      </c>
      <c r="D25" s="3" t="s">
        <v>541</v>
      </c>
      <c r="E25" s="3">
        <v>0</v>
      </c>
      <c r="F25" s="40">
        <f>2*5000*F18</f>
        <v>0</v>
      </c>
      <c r="G25" s="40">
        <f>G20*500*2</f>
        <v>50000</v>
      </c>
      <c r="H25" s="40">
        <f>H20*500*2</f>
        <v>50000</v>
      </c>
      <c r="I25" s="40">
        <f>I20*500*2</f>
        <v>50000</v>
      </c>
      <c r="J25" s="3">
        <v>0</v>
      </c>
      <c r="K25" s="40">
        <f>SUM(E25:J25)</f>
        <v>150000</v>
      </c>
      <c r="L25" s="44">
        <v>0.15</v>
      </c>
      <c r="M25" s="40">
        <f>E25*$L25</f>
        <v>0</v>
      </c>
      <c r="N25" s="40">
        <f t="shared" ref="N25:R27" si="6">F25*$L25</f>
        <v>0</v>
      </c>
      <c r="O25" s="40">
        <f t="shared" si="6"/>
        <v>7500</v>
      </c>
      <c r="P25" s="40">
        <f t="shared" si="6"/>
        <v>7500</v>
      </c>
      <c r="Q25" s="40">
        <f t="shared" si="6"/>
        <v>7500</v>
      </c>
      <c r="R25" s="40">
        <f t="shared" si="6"/>
        <v>0</v>
      </c>
      <c r="S25" s="42">
        <f>SUM(M25:R25)</f>
        <v>22500</v>
      </c>
    </row>
    <row r="26" spans="1:19" x14ac:dyDescent="0.25">
      <c r="A26" s="39"/>
      <c r="C26" t="s">
        <v>716</v>
      </c>
      <c r="D26" s="3" t="s">
        <v>543</v>
      </c>
      <c r="E26" s="3">
        <v>0</v>
      </c>
      <c r="F26" s="40">
        <f>F25*0.7*1.2</f>
        <v>0</v>
      </c>
      <c r="G26" s="40">
        <f>G25*0.7*1.2</f>
        <v>42000</v>
      </c>
      <c r="H26" s="40">
        <f>H25*0.7*1.2</f>
        <v>42000</v>
      </c>
      <c r="I26" s="40">
        <f>I25*0.7*1.2</f>
        <v>42000</v>
      </c>
      <c r="J26" s="3">
        <v>0</v>
      </c>
      <c r="K26" s="40">
        <f>SUM(E26:J26)</f>
        <v>126000</v>
      </c>
      <c r="L26" s="44">
        <v>1.2</v>
      </c>
      <c r="M26" s="40">
        <f>E26*$L26</f>
        <v>0</v>
      </c>
      <c r="N26" s="40">
        <f t="shared" si="6"/>
        <v>0</v>
      </c>
      <c r="O26" s="40">
        <f t="shared" si="6"/>
        <v>50400</v>
      </c>
      <c r="P26" s="40">
        <f t="shared" si="6"/>
        <v>50400</v>
      </c>
      <c r="Q26" s="40">
        <f t="shared" si="6"/>
        <v>50400</v>
      </c>
      <c r="R26" s="40">
        <f t="shared" si="6"/>
        <v>0</v>
      </c>
      <c r="S26" s="42">
        <f>SUM(M26:R26)</f>
        <v>151200</v>
      </c>
    </row>
    <row r="27" spans="1:19" x14ac:dyDescent="0.25">
      <c r="A27" s="39"/>
      <c r="C27" t="s">
        <v>544</v>
      </c>
      <c r="D27" s="3" t="s">
        <v>545</v>
      </c>
      <c r="E27" s="3">
        <v>0</v>
      </c>
      <c r="F27" s="40">
        <v>0</v>
      </c>
      <c r="G27" s="40">
        <v>5</v>
      </c>
      <c r="H27" s="40">
        <v>5</v>
      </c>
      <c r="I27" s="40">
        <v>5</v>
      </c>
      <c r="J27" s="3">
        <v>0</v>
      </c>
      <c r="K27" s="40">
        <f>SUM(E27:J27)</f>
        <v>15</v>
      </c>
      <c r="L27" s="3">
        <v>250</v>
      </c>
      <c r="M27" s="40">
        <f>E27*$L27</f>
        <v>0</v>
      </c>
      <c r="N27" s="40">
        <f t="shared" si="6"/>
        <v>0</v>
      </c>
      <c r="O27" s="40">
        <f t="shared" si="6"/>
        <v>1250</v>
      </c>
      <c r="P27" s="40">
        <f t="shared" si="6"/>
        <v>1250</v>
      </c>
      <c r="Q27" s="40">
        <f t="shared" si="6"/>
        <v>1250</v>
      </c>
      <c r="R27" s="40">
        <f t="shared" si="6"/>
        <v>0</v>
      </c>
      <c r="S27" s="42">
        <f>SUM(M27:R27)</f>
        <v>3750</v>
      </c>
    </row>
    <row r="28" spans="1:19" x14ac:dyDescent="0.25">
      <c r="A28" s="39"/>
      <c r="B28" t="s">
        <v>546</v>
      </c>
      <c r="S28" s="43"/>
    </row>
    <row r="29" spans="1:19" x14ac:dyDescent="0.25">
      <c r="A29" s="39"/>
      <c r="C29" t="s">
        <v>547</v>
      </c>
      <c r="D29" s="3" t="s">
        <v>548</v>
      </c>
      <c r="E29" s="3">
        <v>0</v>
      </c>
      <c r="F29" s="3">
        <f>2*F18</f>
        <v>0</v>
      </c>
      <c r="G29" s="3">
        <f>2*G18</f>
        <v>10</v>
      </c>
      <c r="H29" s="3">
        <f>2*H18</f>
        <v>10</v>
      </c>
      <c r="I29" s="3">
        <f>2*I18</f>
        <v>10</v>
      </c>
      <c r="J29" s="3">
        <v>0</v>
      </c>
      <c r="K29" s="40">
        <f>SUM(E29:J29)</f>
        <v>30</v>
      </c>
      <c r="L29" s="40">
        <v>1000</v>
      </c>
      <c r="M29" s="40">
        <f>E29*$L29</f>
        <v>0</v>
      </c>
      <c r="N29" s="40">
        <f t="shared" ref="N29:R30" si="7">F29*$L29</f>
        <v>0</v>
      </c>
      <c r="O29" s="40">
        <f t="shared" si="7"/>
        <v>10000</v>
      </c>
      <c r="P29" s="40">
        <f t="shared" si="7"/>
        <v>10000</v>
      </c>
      <c r="Q29" s="40">
        <f t="shared" si="7"/>
        <v>10000</v>
      </c>
      <c r="R29" s="40">
        <f t="shared" si="7"/>
        <v>0</v>
      </c>
      <c r="S29" s="42">
        <f>SUM(M29:R29)</f>
        <v>30000</v>
      </c>
    </row>
    <row r="30" spans="1:19" ht="15.75" thickBot="1" x14ac:dyDescent="0.3">
      <c r="A30" s="45"/>
      <c r="B30" s="46"/>
      <c r="C30" s="46" t="s">
        <v>549</v>
      </c>
      <c r="D30" s="47" t="s">
        <v>548</v>
      </c>
      <c r="E30" s="47">
        <v>0</v>
      </c>
      <c r="F30" s="47">
        <f>2*F18</f>
        <v>0</v>
      </c>
      <c r="G30" s="47">
        <f>2*G18</f>
        <v>10</v>
      </c>
      <c r="H30" s="47">
        <f>2*H18</f>
        <v>10</v>
      </c>
      <c r="I30" s="47">
        <f>2*I18</f>
        <v>10</v>
      </c>
      <c r="J30" s="47">
        <v>0</v>
      </c>
      <c r="K30" s="48">
        <f>SUM(E30:J30)</f>
        <v>30</v>
      </c>
      <c r="L30" s="48">
        <v>1000</v>
      </c>
      <c r="M30" s="48">
        <f>E30*$L30</f>
        <v>0</v>
      </c>
      <c r="N30" s="48">
        <f t="shared" si="7"/>
        <v>0</v>
      </c>
      <c r="O30" s="48">
        <f t="shared" si="7"/>
        <v>10000</v>
      </c>
      <c r="P30" s="48">
        <f t="shared" si="7"/>
        <v>10000</v>
      </c>
      <c r="Q30" s="48">
        <f t="shared" si="7"/>
        <v>10000</v>
      </c>
      <c r="R30" s="48">
        <f t="shared" si="7"/>
        <v>0</v>
      </c>
      <c r="S30" s="49">
        <f>SUM(M30:R30)</f>
        <v>30000</v>
      </c>
    </row>
    <row r="32" spans="1:19" ht="15.75" thickBot="1" x14ac:dyDescent="0.3">
      <c r="A32" s="31" t="s">
        <v>553</v>
      </c>
    </row>
    <row r="33" spans="1:20" ht="15.75" thickBot="1" x14ac:dyDescent="0.3">
      <c r="A33" s="32" t="s">
        <v>555</v>
      </c>
      <c r="B33" s="33"/>
      <c r="C33" s="33"/>
      <c r="D33" s="34" t="s">
        <v>449</v>
      </c>
      <c r="E33" s="34">
        <v>50</v>
      </c>
      <c r="F33" s="34">
        <v>150</v>
      </c>
      <c r="G33" s="34">
        <v>100</v>
      </c>
      <c r="H33" s="34"/>
      <c r="I33" s="34"/>
      <c r="J33" s="34"/>
      <c r="K33" s="35">
        <f>SUM(E33:J33)</f>
        <v>300</v>
      </c>
      <c r="L33" s="33"/>
      <c r="M33" s="36">
        <f t="shared" ref="M33:R33" si="8">SUM(M35,M37:M39,M41)</f>
        <v>182850</v>
      </c>
      <c r="N33" s="37">
        <f t="shared" si="8"/>
        <v>548550</v>
      </c>
      <c r="O33" s="37">
        <f t="shared" si="8"/>
        <v>365700</v>
      </c>
      <c r="P33" s="37">
        <f t="shared" si="8"/>
        <v>0</v>
      </c>
      <c r="Q33" s="37">
        <f t="shared" si="8"/>
        <v>0</v>
      </c>
      <c r="R33" s="37">
        <f t="shared" si="8"/>
        <v>0</v>
      </c>
      <c r="S33" s="38">
        <f>SUM(S35,S37:S39,S41)</f>
        <v>1097100</v>
      </c>
    </row>
    <row r="34" spans="1:20" x14ac:dyDescent="0.25">
      <c r="A34" s="39"/>
      <c r="B34" t="s">
        <v>556</v>
      </c>
      <c r="S34" s="43"/>
    </row>
    <row r="35" spans="1:20" x14ac:dyDescent="0.25">
      <c r="A35" s="39"/>
      <c r="C35" t="s">
        <v>718</v>
      </c>
      <c r="D35" s="3" t="s">
        <v>449</v>
      </c>
      <c r="E35" s="3">
        <f>E33</f>
        <v>50</v>
      </c>
      <c r="F35" s="3">
        <f>F33</f>
        <v>150</v>
      </c>
      <c r="G35" s="3">
        <f>G33</f>
        <v>100</v>
      </c>
      <c r="H35" s="3">
        <v>0</v>
      </c>
      <c r="I35" s="3">
        <v>0</v>
      </c>
      <c r="J35" s="3">
        <v>0</v>
      </c>
      <c r="K35" s="3">
        <f>SUM(E35:J35)</f>
        <v>300</v>
      </c>
      <c r="L35" s="3">
        <v>750</v>
      </c>
      <c r="M35" s="40">
        <f t="shared" ref="M35:R35" si="9">E35*$L35</f>
        <v>37500</v>
      </c>
      <c r="N35" s="40">
        <f t="shared" si="9"/>
        <v>112500</v>
      </c>
      <c r="O35" s="40">
        <f t="shared" si="9"/>
        <v>75000</v>
      </c>
      <c r="P35" s="40">
        <f t="shared" si="9"/>
        <v>0</v>
      </c>
      <c r="Q35" s="40">
        <f t="shared" si="9"/>
        <v>0</v>
      </c>
      <c r="R35" s="40">
        <f t="shared" si="9"/>
        <v>0</v>
      </c>
      <c r="S35" s="42">
        <f>SUM(M35:R35)</f>
        <v>225000</v>
      </c>
    </row>
    <row r="36" spans="1:20" x14ac:dyDescent="0.25">
      <c r="A36" s="39"/>
      <c r="B36" t="s">
        <v>715</v>
      </c>
      <c r="S36" s="43"/>
    </row>
    <row r="37" spans="1:20" x14ac:dyDescent="0.25">
      <c r="A37" s="39"/>
      <c r="C37" t="s">
        <v>719</v>
      </c>
      <c r="D37" s="3" t="s">
        <v>541</v>
      </c>
      <c r="E37" s="40">
        <f t="shared" ref="E37:J37" si="10">E35*3000*2</f>
        <v>300000</v>
      </c>
      <c r="F37" s="40">
        <f t="shared" si="10"/>
        <v>900000</v>
      </c>
      <c r="G37" s="40">
        <f t="shared" si="10"/>
        <v>600000</v>
      </c>
      <c r="H37" s="40">
        <f t="shared" si="10"/>
        <v>0</v>
      </c>
      <c r="I37" s="40">
        <f t="shared" si="10"/>
        <v>0</v>
      </c>
      <c r="J37" s="40">
        <f t="shared" si="10"/>
        <v>0</v>
      </c>
      <c r="K37" s="40">
        <f>SUM(E37:J37)</f>
        <v>1800000</v>
      </c>
      <c r="L37" s="44">
        <v>0.15</v>
      </c>
      <c r="M37" s="40">
        <f>E37*$L37</f>
        <v>45000</v>
      </c>
      <c r="N37" s="40">
        <f t="shared" ref="N37:R39" si="11">F37*$L37</f>
        <v>135000</v>
      </c>
      <c r="O37" s="40">
        <f t="shared" si="11"/>
        <v>90000</v>
      </c>
      <c r="P37" s="40">
        <f t="shared" si="11"/>
        <v>0</v>
      </c>
      <c r="Q37" s="40">
        <f t="shared" si="11"/>
        <v>0</v>
      </c>
      <c r="R37" s="40">
        <f t="shared" si="11"/>
        <v>0</v>
      </c>
      <c r="S37" s="42">
        <f>SUM(M37:R37)</f>
        <v>270000</v>
      </c>
    </row>
    <row r="38" spans="1:20" x14ac:dyDescent="0.25">
      <c r="A38" s="39"/>
      <c r="C38" t="s">
        <v>720</v>
      </c>
      <c r="D38" s="3" t="s">
        <v>543</v>
      </c>
      <c r="E38" s="40">
        <f t="shared" ref="E38:J38" si="12">E37*0.33*1.5/2</f>
        <v>74250</v>
      </c>
      <c r="F38" s="40">
        <f t="shared" si="12"/>
        <v>222750</v>
      </c>
      <c r="G38" s="40">
        <f t="shared" si="12"/>
        <v>148500</v>
      </c>
      <c r="H38" s="40">
        <f t="shared" si="12"/>
        <v>0</v>
      </c>
      <c r="I38" s="40">
        <f t="shared" si="12"/>
        <v>0</v>
      </c>
      <c r="J38" s="40">
        <f t="shared" si="12"/>
        <v>0</v>
      </c>
      <c r="K38" s="40">
        <f>SUM(E38:J38)</f>
        <v>445500</v>
      </c>
      <c r="L38" s="44">
        <v>1.2</v>
      </c>
      <c r="M38" s="40">
        <f>E38*$L38</f>
        <v>89100</v>
      </c>
      <c r="N38" s="40">
        <f t="shared" si="11"/>
        <v>267300</v>
      </c>
      <c r="O38" s="40">
        <f t="shared" si="11"/>
        <v>178200</v>
      </c>
      <c r="P38" s="40">
        <f t="shared" si="11"/>
        <v>0</v>
      </c>
      <c r="Q38" s="40">
        <f t="shared" si="11"/>
        <v>0</v>
      </c>
      <c r="R38" s="40">
        <f t="shared" si="11"/>
        <v>0</v>
      </c>
      <c r="S38" s="42">
        <f>SUM(M38:R38)</f>
        <v>534600</v>
      </c>
    </row>
    <row r="39" spans="1:20" x14ac:dyDescent="0.25">
      <c r="A39" s="39"/>
      <c r="C39" t="s">
        <v>544</v>
      </c>
      <c r="D39" s="3" t="s">
        <v>545</v>
      </c>
      <c r="E39" s="40">
        <f t="shared" ref="E39:J39" si="13">E35</f>
        <v>50</v>
      </c>
      <c r="F39" s="40">
        <f t="shared" si="13"/>
        <v>150</v>
      </c>
      <c r="G39" s="40">
        <f t="shared" si="13"/>
        <v>100</v>
      </c>
      <c r="H39" s="40">
        <f t="shared" si="13"/>
        <v>0</v>
      </c>
      <c r="I39" s="40">
        <f t="shared" si="13"/>
        <v>0</v>
      </c>
      <c r="J39" s="40">
        <f t="shared" si="13"/>
        <v>0</v>
      </c>
      <c r="K39" s="40">
        <f>SUM(E39:J39)</f>
        <v>300</v>
      </c>
      <c r="L39" s="3">
        <v>25</v>
      </c>
      <c r="M39" s="40">
        <f>E39*$L39</f>
        <v>1250</v>
      </c>
      <c r="N39" s="40">
        <f t="shared" si="11"/>
        <v>3750</v>
      </c>
      <c r="O39" s="40">
        <f t="shared" si="11"/>
        <v>2500</v>
      </c>
      <c r="P39" s="40">
        <f t="shared" si="11"/>
        <v>0</v>
      </c>
      <c r="Q39" s="40">
        <f t="shared" si="11"/>
        <v>0</v>
      </c>
      <c r="R39" s="40">
        <f t="shared" si="11"/>
        <v>0</v>
      </c>
      <c r="S39" s="42">
        <f>SUM(M39:R39)</f>
        <v>7500</v>
      </c>
    </row>
    <row r="40" spans="1:20" x14ac:dyDescent="0.25">
      <c r="A40" s="39"/>
      <c r="B40" t="s">
        <v>546</v>
      </c>
      <c r="S40" s="43"/>
    </row>
    <row r="41" spans="1:20" ht="15.75" thickBot="1" x14ac:dyDescent="0.3">
      <c r="A41" s="45"/>
      <c r="B41" s="46"/>
      <c r="C41" s="46" t="s">
        <v>547</v>
      </c>
      <c r="D41" s="47" t="s">
        <v>548</v>
      </c>
      <c r="E41" s="47">
        <f t="shared" ref="E41:J41" si="14">E35*2/20*2</f>
        <v>10</v>
      </c>
      <c r="F41" s="47">
        <f t="shared" si="14"/>
        <v>30</v>
      </c>
      <c r="G41" s="47">
        <f t="shared" si="14"/>
        <v>20</v>
      </c>
      <c r="H41" s="47">
        <f t="shared" si="14"/>
        <v>0</v>
      </c>
      <c r="I41" s="47">
        <f t="shared" si="14"/>
        <v>0</v>
      </c>
      <c r="J41" s="47">
        <f t="shared" si="14"/>
        <v>0</v>
      </c>
      <c r="K41" s="48">
        <f>SUM(E41:J41)</f>
        <v>60</v>
      </c>
      <c r="L41" s="48">
        <v>1000</v>
      </c>
      <c r="M41" s="48">
        <f t="shared" ref="M41:R41" si="15">E41*$L41</f>
        <v>10000</v>
      </c>
      <c r="N41" s="48">
        <f t="shared" si="15"/>
        <v>30000</v>
      </c>
      <c r="O41" s="48">
        <f t="shared" si="15"/>
        <v>20000</v>
      </c>
      <c r="P41" s="48">
        <f t="shared" si="15"/>
        <v>0</v>
      </c>
      <c r="Q41" s="48">
        <f t="shared" si="15"/>
        <v>0</v>
      </c>
      <c r="R41" s="48">
        <f t="shared" si="15"/>
        <v>0</v>
      </c>
      <c r="S41" s="49">
        <f>SUM(M41:R41)</f>
        <v>60000</v>
      </c>
    </row>
    <row r="43" spans="1:20" ht="15.75" thickBot="1" x14ac:dyDescent="0.3">
      <c r="A43" s="31" t="s">
        <v>721</v>
      </c>
    </row>
    <row r="44" spans="1:20" ht="15.75" thickBot="1" x14ac:dyDescent="0.3">
      <c r="A44" s="32" t="s">
        <v>562</v>
      </c>
      <c r="B44" s="33"/>
      <c r="C44" s="33"/>
      <c r="D44" s="34" t="s">
        <v>563</v>
      </c>
      <c r="E44" s="35"/>
      <c r="F44" s="35">
        <v>2</v>
      </c>
      <c r="G44" s="35">
        <v>3</v>
      </c>
      <c r="H44" s="35">
        <v>3</v>
      </c>
      <c r="I44" s="35">
        <v>2</v>
      </c>
      <c r="J44" s="35"/>
      <c r="K44" s="35">
        <f>SUM(E44:J44)</f>
        <v>10</v>
      </c>
      <c r="L44" s="33"/>
      <c r="M44" s="36">
        <f t="shared" ref="M44:R44" si="16">SUM(M46:M52,M54:M56,M58)</f>
        <v>0</v>
      </c>
      <c r="N44" s="37">
        <f t="shared" si="16"/>
        <v>93800</v>
      </c>
      <c r="O44" s="37">
        <f t="shared" si="16"/>
        <v>140700</v>
      </c>
      <c r="P44" s="37">
        <f t="shared" si="16"/>
        <v>140700</v>
      </c>
      <c r="Q44" s="37">
        <f t="shared" si="16"/>
        <v>93800</v>
      </c>
      <c r="R44" s="37">
        <f t="shared" si="16"/>
        <v>0</v>
      </c>
      <c r="S44" s="38">
        <f>SUM(S46:S52,S54:S56,S58)</f>
        <v>469000</v>
      </c>
      <c r="T44" s="50"/>
    </row>
    <row r="45" spans="1:20" x14ac:dyDescent="0.25">
      <c r="A45" s="39"/>
      <c r="B45" t="s">
        <v>564</v>
      </c>
      <c r="E45" s="40"/>
      <c r="F45" s="40"/>
      <c r="G45" s="40"/>
      <c r="H45" s="40"/>
      <c r="I45" s="40"/>
      <c r="J45" s="40"/>
      <c r="K45" s="51"/>
      <c r="S45" s="43"/>
    </row>
    <row r="46" spans="1:20" x14ac:dyDescent="0.25">
      <c r="A46" s="39"/>
      <c r="C46" t="s">
        <v>565</v>
      </c>
      <c r="D46" s="3" t="s">
        <v>541</v>
      </c>
      <c r="E46" s="40">
        <v>0</v>
      </c>
      <c r="F46" s="40">
        <f>F44</f>
        <v>2</v>
      </c>
      <c r="G46" s="40">
        <f>G44</f>
        <v>3</v>
      </c>
      <c r="H46" s="40">
        <f>H44</f>
        <v>3</v>
      </c>
      <c r="I46" s="40">
        <f>I44</f>
        <v>2</v>
      </c>
      <c r="J46" s="40">
        <v>0</v>
      </c>
      <c r="K46" s="40">
        <f t="shared" ref="K46:K52" si="17">SUM(E46:J46)</f>
        <v>10</v>
      </c>
      <c r="L46" s="40">
        <v>6000</v>
      </c>
      <c r="M46" s="40">
        <f t="shared" ref="M46:R52" si="18">E46*$L46</f>
        <v>0</v>
      </c>
      <c r="N46" s="40">
        <f t="shared" si="18"/>
        <v>12000</v>
      </c>
      <c r="O46" s="40">
        <f t="shared" si="18"/>
        <v>18000</v>
      </c>
      <c r="P46" s="40">
        <f t="shared" si="18"/>
        <v>18000</v>
      </c>
      <c r="Q46" s="40">
        <f t="shared" si="18"/>
        <v>12000</v>
      </c>
      <c r="R46" s="40">
        <f t="shared" si="18"/>
        <v>0</v>
      </c>
      <c r="S46" s="42">
        <f t="shared" ref="S46:S52" si="19">SUM(M46:R46)</f>
        <v>60000</v>
      </c>
    </row>
    <row r="47" spans="1:20" x14ac:dyDescent="0.25">
      <c r="A47" s="39"/>
      <c r="C47" t="s">
        <v>722</v>
      </c>
      <c r="D47" s="3" t="s">
        <v>545</v>
      </c>
      <c r="E47" s="40">
        <v>0</v>
      </c>
      <c r="F47" s="40">
        <f>F44</f>
        <v>2</v>
      </c>
      <c r="G47" s="40">
        <f>G44</f>
        <v>3</v>
      </c>
      <c r="H47" s="40">
        <f>H44</f>
        <v>3</v>
      </c>
      <c r="I47" s="40">
        <f>I44</f>
        <v>2</v>
      </c>
      <c r="J47" s="40">
        <v>0</v>
      </c>
      <c r="K47" s="40">
        <f t="shared" si="17"/>
        <v>10</v>
      </c>
      <c r="L47" s="40">
        <v>4600</v>
      </c>
      <c r="M47" s="40">
        <f t="shared" si="18"/>
        <v>0</v>
      </c>
      <c r="N47" s="40">
        <f t="shared" si="18"/>
        <v>9200</v>
      </c>
      <c r="O47" s="40">
        <f t="shared" si="18"/>
        <v>13800</v>
      </c>
      <c r="P47" s="40">
        <f t="shared" si="18"/>
        <v>13800</v>
      </c>
      <c r="Q47" s="40">
        <f t="shared" si="18"/>
        <v>9200</v>
      </c>
      <c r="R47" s="40">
        <f t="shared" si="18"/>
        <v>0</v>
      </c>
      <c r="S47" s="42">
        <f t="shared" si="19"/>
        <v>46000</v>
      </c>
    </row>
    <row r="48" spans="1:20" x14ac:dyDescent="0.25">
      <c r="A48" s="39"/>
      <c r="C48" t="s">
        <v>567</v>
      </c>
      <c r="D48" s="3" t="s">
        <v>545</v>
      </c>
      <c r="E48" s="40">
        <v>0</v>
      </c>
      <c r="F48" s="40">
        <f>F44</f>
        <v>2</v>
      </c>
      <c r="G48" s="40">
        <f>G44</f>
        <v>3</v>
      </c>
      <c r="H48" s="40">
        <f>H44</f>
        <v>3</v>
      </c>
      <c r="I48" s="40">
        <f>I44</f>
        <v>2</v>
      </c>
      <c r="J48" s="40">
        <v>0</v>
      </c>
      <c r="K48" s="40">
        <f t="shared" si="17"/>
        <v>10</v>
      </c>
      <c r="L48" s="40">
        <f>4500</f>
        <v>4500</v>
      </c>
      <c r="M48" s="40">
        <f t="shared" si="18"/>
        <v>0</v>
      </c>
      <c r="N48" s="40">
        <f t="shared" si="18"/>
        <v>9000</v>
      </c>
      <c r="O48" s="40">
        <f t="shared" si="18"/>
        <v>13500</v>
      </c>
      <c r="P48" s="40">
        <f t="shared" si="18"/>
        <v>13500</v>
      </c>
      <c r="Q48" s="40">
        <f t="shared" si="18"/>
        <v>9000</v>
      </c>
      <c r="R48" s="40">
        <f t="shared" si="18"/>
        <v>0</v>
      </c>
      <c r="S48" s="42">
        <f t="shared" si="19"/>
        <v>45000</v>
      </c>
    </row>
    <row r="49" spans="1:19" s="53" customFormat="1" x14ac:dyDescent="0.25">
      <c r="A49" s="52"/>
      <c r="C49" s="53" t="s">
        <v>568</v>
      </c>
      <c r="D49" s="54" t="s">
        <v>541</v>
      </c>
      <c r="E49" s="55">
        <v>0</v>
      </c>
      <c r="F49" s="55">
        <f>F44</f>
        <v>2</v>
      </c>
      <c r="G49" s="55">
        <f>G44</f>
        <v>3</v>
      </c>
      <c r="H49" s="55">
        <f>H44</f>
        <v>3</v>
      </c>
      <c r="I49" s="55">
        <f>I44</f>
        <v>2</v>
      </c>
      <c r="J49" s="55">
        <v>0</v>
      </c>
      <c r="K49" s="55">
        <f t="shared" si="17"/>
        <v>10</v>
      </c>
      <c r="L49" s="55">
        <v>4100</v>
      </c>
      <c r="M49" s="55">
        <f t="shared" si="18"/>
        <v>0</v>
      </c>
      <c r="N49" s="55">
        <f t="shared" si="18"/>
        <v>8200</v>
      </c>
      <c r="O49" s="55">
        <f t="shared" si="18"/>
        <v>12300</v>
      </c>
      <c r="P49" s="55">
        <f t="shared" si="18"/>
        <v>12300</v>
      </c>
      <c r="Q49" s="55">
        <f t="shared" si="18"/>
        <v>8200</v>
      </c>
      <c r="R49" s="55">
        <f t="shared" si="18"/>
        <v>0</v>
      </c>
      <c r="S49" s="56">
        <f t="shared" si="19"/>
        <v>41000</v>
      </c>
    </row>
    <row r="50" spans="1:19" x14ac:dyDescent="0.25">
      <c r="A50" s="39"/>
      <c r="C50" t="s">
        <v>723</v>
      </c>
      <c r="D50" s="3" t="s">
        <v>724</v>
      </c>
      <c r="E50" s="40">
        <f t="shared" ref="E50:J50" si="20">5*E44*400</f>
        <v>0</v>
      </c>
      <c r="F50" s="40">
        <f t="shared" si="20"/>
        <v>4000</v>
      </c>
      <c r="G50" s="40">
        <f t="shared" si="20"/>
        <v>6000</v>
      </c>
      <c r="H50" s="40">
        <f t="shared" si="20"/>
        <v>6000</v>
      </c>
      <c r="I50" s="40">
        <f t="shared" si="20"/>
        <v>4000</v>
      </c>
      <c r="J50" s="40">
        <f t="shared" si="20"/>
        <v>0</v>
      </c>
      <c r="K50" s="40">
        <f t="shared" si="17"/>
        <v>20000</v>
      </c>
      <c r="L50" s="40">
        <v>2</v>
      </c>
      <c r="M50" s="40">
        <f t="shared" si="18"/>
        <v>0</v>
      </c>
      <c r="N50" s="40">
        <f t="shared" si="18"/>
        <v>8000</v>
      </c>
      <c r="O50" s="40">
        <f t="shared" si="18"/>
        <v>12000</v>
      </c>
      <c r="P50" s="40">
        <f t="shared" si="18"/>
        <v>12000</v>
      </c>
      <c r="Q50" s="40">
        <f t="shared" si="18"/>
        <v>8000</v>
      </c>
      <c r="R50" s="40">
        <f t="shared" si="18"/>
        <v>0</v>
      </c>
      <c r="S50" s="42">
        <f t="shared" si="19"/>
        <v>40000</v>
      </c>
    </row>
    <row r="51" spans="1:19" x14ac:dyDescent="0.25">
      <c r="A51" s="39"/>
      <c r="C51" t="s">
        <v>571</v>
      </c>
      <c r="D51" s="3" t="s">
        <v>572</v>
      </c>
      <c r="E51" s="40">
        <f t="shared" ref="E51:J51" si="21">E44*5</f>
        <v>0</v>
      </c>
      <c r="F51" s="40">
        <f t="shared" si="21"/>
        <v>10</v>
      </c>
      <c r="G51" s="40">
        <f t="shared" si="21"/>
        <v>15</v>
      </c>
      <c r="H51" s="40">
        <f t="shared" si="21"/>
        <v>15</v>
      </c>
      <c r="I51" s="40">
        <f t="shared" si="21"/>
        <v>10</v>
      </c>
      <c r="J51" s="40">
        <f t="shared" si="21"/>
        <v>0</v>
      </c>
      <c r="K51" s="40">
        <f t="shared" si="17"/>
        <v>50</v>
      </c>
      <c r="L51" s="40">
        <v>1200</v>
      </c>
      <c r="M51" s="40">
        <f t="shared" si="18"/>
        <v>0</v>
      </c>
      <c r="N51" s="40">
        <f t="shared" si="18"/>
        <v>12000</v>
      </c>
      <c r="O51" s="40">
        <f t="shared" si="18"/>
        <v>18000</v>
      </c>
      <c r="P51" s="40">
        <f t="shared" si="18"/>
        <v>18000</v>
      </c>
      <c r="Q51" s="40">
        <f t="shared" si="18"/>
        <v>12000</v>
      </c>
      <c r="R51" s="40">
        <f t="shared" si="18"/>
        <v>0</v>
      </c>
      <c r="S51" s="42">
        <f t="shared" si="19"/>
        <v>60000</v>
      </c>
    </row>
    <row r="52" spans="1:19" x14ac:dyDescent="0.25">
      <c r="A52" s="39"/>
      <c r="C52" t="s">
        <v>725</v>
      </c>
      <c r="D52" s="3" t="s">
        <v>572</v>
      </c>
      <c r="E52" s="40">
        <f t="shared" ref="E52:J52" si="22">5*E44</f>
        <v>0</v>
      </c>
      <c r="F52" s="40">
        <f t="shared" si="22"/>
        <v>10</v>
      </c>
      <c r="G52" s="40">
        <f t="shared" si="22"/>
        <v>15</v>
      </c>
      <c r="H52" s="40">
        <f t="shared" si="22"/>
        <v>15</v>
      </c>
      <c r="I52" s="40">
        <f t="shared" si="22"/>
        <v>10</v>
      </c>
      <c r="J52" s="40">
        <f t="shared" si="22"/>
        <v>0</v>
      </c>
      <c r="K52" s="40">
        <f t="shared" si="17"/>
        <v>50</v>
      </c>
      <c r="L52" s="40">
        <v>750</v>
      </c>
      <c r="M52" s="40">
        <f t="shared" si="18"/>
        <v>0</v>
      </c>
      <c r="N52" s="40">
        <f t="shared" si="18"/>
        <v>7500</v>
      </c>
      <c r="O52" s="40">
        <f t="shared" si="18"/>
        <v>11250</v>
      </c>
      <c r="P52" s="40">
        <f t="shared" si="18"/>
        <v>11250</v>
      </c>
      <c r="Q52" s="40">
        <f t="shared" si="18"/>
        <v>7500</v>
      </c>
      <c r="R52" s="40">
        <f t="shared" si="18"/>
        <v>0</v>
      </c>
      <c r="S52" s="42">
        <f t="shared" si="19"/>
        <v>37500</v>
      </c>
    </row>
    <row r="53" spans="1:19" x14ac:dyDescent="0.25">
      <c r="A53" s="39"/>
      <c r="B53" t="s">
        <v>715</v>
      </c>
      <c r="D53"/>
      <c r="E53" s="51"/>
      <c r="F53" s="51"/>
      <c r="G53" s="40"/>
      <c r="H53" s="40"/>
      <c r="I53" s="40"/>
      <c r="J53" s="40"/>
      <c r="K53" s="51"/>
      <c r="S53" s="43"/>
    </row>
    <row r="54" spans="1:19" x14ac:dyDescent="0.25">
      <c r="A54" s="39"/>
      <c r="C54" t="s">
        <v>726</v>
      </c>
      <c r="D54" s="3" t="s">
        <v>541</v>
      </c>
      <c r="E54" s="40">
        <f t="shared" ref="E54:J54" si="23">E50*3</f>
        <v>0</v>
      </c>
      <c r="F54" s="40">
        <f t="shared" si="23"/>
        <v>12000</v>
      </c>
      <c r="G54" s="40">
        <f t="shared" si="23"/>
        <v>18000</v>
      </c>
      <c r="H54" s="40">
        <f t="shared" si="23"/>
        <v>18000</v>
      </c>
      <c r="I54" s="40">
        <f t="shared" si="23"/>
        <v>12000</v>
      </c>
      <c r="J54" s="40">
        <f t="shared" si="23"/>
        <v>0</v>
      </c>
      <c r="K54" s="40">
        <f>SUM(E54:J54)</f>
        <v>60000</v>
      </c>
      <c r="L54" s="44">
        <v>0.15</v>
      </c>
      <c r="M54" s="40">
        <f>E54*$L54</f>
        <v>0</v>
      </c>
      <c r="N54" s="40">
        <f t="shared" ref="N54:R56" si="24">F54*$L54</f>
        <v>1800</v>
      </c>
      <c r="O54" s="40">
        <f t="shared" si="24"/>
        <v>2700</v>
      </c>
      <c r="P54" s="40">
        <f t="shared" si="24"/>
        <v>2700</v>
      </c>
      <c r="Q54" s="40">
        <f t="shared" si="24"/>
        <v>1800</v>
      </c>
      <c r="R54" s="40">
        <f t="shared" si="24"/>
        <v>0</v>
      </c>
      <c r="S54" s="42">
        <f>SUM(M54:R54)</f>
        <v>9000</v>
      </c>
    </row>
    <row r="55" spans="1:19" x14ac:dyDescent="0.25">
      <c r="A55" s="39"/>
      <c r="C55" t="s">
        <v>727</v>
      </c>
      <c r="D55" s="3" t="s">
        <v>543</v>
      </c>
      <c r="E55" s="40">
        <f t="shared" ref="E55:J55" si="25">E54*0.5*2*1.5</f>
        <v>0</v>
      </c>
      <c r="F55" s="40">
        <f t="shared" si="25"/>
        <v>18000</v>
      </c>
      <c r="G55" s="40">
        <f t="shared" si="25"/>
        <v>27000</v>
      </c>
      <c r="H55" s="40">
        <f t="shared" si="25"/>
        <v>27000</v>
      </c>
      <c r="I55" s="40">
        <f t="shared" si="25"/>
        <v>18000</v>
      </c>
      <c r="J55" s="40">
        <f t="shared" si="25"/>
        <v>0</v>
      </c>
      <c r="K55" s="40">
        <f>SUM(E55:J55)</f>
        <v>90000</v>
      </c>
      <c r="L55" s="44">
        <v>1.2</v>
      </c>
      <c r="M55" s="40">
        <f>E55*$L55</f>
        <v>0</v>
      </c>
      <c r="N55" s="40">
        <f t="shared" si="24"/>
        <v>21600</v>
      </c>
      <c r="O55" s="40">
        <f t="shared" si="24"/>
        <v>32400</v>
      </c>
      <c r="P55" s="40">
        <f t="shared" si="24"/>
        <v>32400</v>
      </c>
      <c r="Q55" s="40">
        <f t="shared" si="24"/>
        <v>21600</v>
      </c>
      <c r="R55" s="40">
        <f t="shared" si="24"/>
        <v>0</v>
      </c>
      <c r="S55" s="42">
        <f>SUM(M55:R55)</f>
        <v>108000</v>
      </c>
    </row>
    <row r="56" spans="1:19" x14ac:dyDescent="0.25">
      <c r="A56" s="39"/>
      <c r="C56" t="s">
        <v>544</v>
      </c>
      <c r="D56" s="3" t="s">
        <v>545</v>
      </c>
      <c r="E56" s="40">
        <f t="shared" ref="E56:J56" si="26">E51</f>
        <v>0</v>
      </c>
      <c r="F56" s="40">
        <f t="shared" si="26"/>
        <v>10</v>
      </c>
      <c r="G56" s="40">
        <f t="shared" si="26"/>
        <v>15</v>
      </c>
      <c r="H56" s="40">
        <f t="shared" si="26"/>
        <v>15</v>
      </c>
      <c r="I56" s="40">
        <f t="shared" si="26"/>
        <v>10</v>
      </c>
      <c r="J56" s="40">
        <f t="shared" si="26"/>
        <v>0</v>
      </c>
      <c r="K56" s="40">
        <f>SUM(E56:J56)</f>
        <v>50</v>
      </c>
      <c r="L56" s="40">
        <v>50</v>
      </c>
      <c r="M56" s="40">
        <f>E56*$L56</f>
        <v>0</v>
      </c>
      <c r="N56" s="40">
        <f t="shared" si="24"/>
        <v>500</v>
      </c>
      <c r="O56" s="40">
        <f t="shared" si="24"/>
        <v>750</v>
      </c>
      <c r="P56" s="40">
        <f t="shared" si="24"/>
        <v>750</v>
      </c>
      <c r="Q56" s="40">
        <f t="shared" si="24"/>
        <v>500</v>
      </c>
      <c r="R56" s="40">
        <f t="shared" si="24"/>
        <v>0</v>
      </c>
      <c r="S56" s="42">
        <f>SUM(M56:R56)</f>
        <v>2500</v>
      </c>
    </row>
    <row r="57" spans="1:19" x14ac:dyDescent="0.25">
      <c r="A57" s="39"/>
      <c r="B57" t="s">
        <v>546</v>
      </c>
      <c r="L57" s="40"/>
      <c r="S57" s="43"/>
    </row>
    <row r="58" spans="1:19" ht="15.75" thickBot="1" x14ac:dyDescent="0.3">
      <c r="A58" s="45"/>
      <c r="B58" s="46"/>
      <c r="C58" s="46" t="s">
        <v>728</v>
      </c>
      <c r="D58" s="47" t="s">
        <v>548</v>
      </c>
      <c r="E58" s="47">
        <f t="shared" ref="E58:J58" si="27">E44*2</f>
        <v>0</v>
      </c>
      <c r="F58" s="47">
        <f t="shared" si="27"/>
        <v>4</v>
      </c>
      <c r="G58" s="47">
        <f t="shared" si="27"/>
        <v>6</v>
      </c>
      <c r="H58" s="47">
        <f t="shared" si="27"/>
        <v>6</v>
      </c>
      <c r="I58" s="47">
        <f t="shared" si="27"/>
        <v>4</v>
      </c>
      <c r="J58" s="47">
        <f t="shared" si="27"/>
        <v>0</v>
      </c>
      <c r="K58" s="48">
        <f>SUM(E58:J58)</f>
        <v>20</v>
      </c>
      <c r="L58" s="48">
        <v>1000</v>
      </c>
      <c r="M58" s="48">
        <f t="shared" ref="M58:R58" si="28">E58*$L58</f>
        <v>0</v>
      </c>
      <c r="N58" s="48">
        <f t="shared" si="28"/>
        <v>4000</v>
      </c>
      <c r="O58" s="48">
        <f t="shared" si="28"/>
        <v>6000</v>
      </c>
      <c r="P58" s="48">
        <f t="shared" si="28"/>
        <v>6000</v>
      </c>
      <c r="Q58" s="48">
        <f t="shared" si="28"/>
        <v>4000</v>
      </c>
      <c r="R58" s="48">
        <f t="shared" si="28"/>
        <v>0</v>
      </c>
      <c r="S58" s="49">
        <f>SUM(M58:R58)</f>
        <v>20000</v>
      </c>
    </row>
    <row r="59" spans="1:19" ht="15.75" thickBot="1" x14ac:dyDescent="0.3"/>
    <row r="60" spans="1:19" ht="15.75" thickBot="1" x14ac:dyDescent="0.3">
      <c r="A60" s="32" t="s">
        <v>577</v>
      </c>
      <c r="B60" s="33"/>
      <c r="C60" s="33"/>
      <c r="D60" s="34"/>
      <c r="E60" s="34"/>
      <c r="F60" s="34"/>
      <c r="G60" s="34"/>
      <c r="H60" s="34"/>
      <c r="I60" s="34"/>
      <c r="J60" s="34"/>
      <c r="K60" s="33"/>
      <c r="L60" s="33"/>
      <c r="M60" s="36">
        <f t="shared" ref="M60:R60" si="29">SUM(M62:M69)</f>
        <v>22360</v>
      </c>
      <c r="N60" s="37">
        <f t="shared" si="29"/>
        <v>22360</v>
      </c>
      <c r="O60" s="37">
        <f t="shared" si="29"/>
        <v>11180</v>
      </c>
      <c r="P60" s="37">
        <f t="shared" si="29"/>
        <v>0</v>
      </c>
      <c r="Q60" s="37">
        <f t="shared" si="29"/>
        <v>0</v>
      </c>
      <c r="R60" s="37">
        <f t="shared" si="29"/>
        <v>0</v>
      </c>
      <c r="S60" s="38">
        <f>SUM(S62:S69)</f>
        <v>55900</v>
      </c>
    </row>
    <row r="61" spans="1:19" x14ac:dyDescent="0.25">
      <c r="A61" s="39"/>
      <c r="B61" t="s">
        <v>564</v>
      </c>
      <c r="E61" s="3">
        <v>2</v>
      </c>
      <c r="F61" s="3">
        <v>2</v>
      </c>
      <c r="G61" s="3">
        <v>1</v>
      </c>
      <c r="S61" s="43"/>
    </row>
    <row r="62" spans="1:19" x14ac:dyDescent="0.25">
      <c r="A62" s="39"/>
      <c r="C62" t="s">
        <v>571</v>
      </c>
      <c r="D62" s="3" t="s">
        <v>572</v>
      </c>
      <c r="E62" s="3">
        <f>E61*2</f>
        <v>4</v>
      </c>
      <c r="F62" s="3">
        <f>F61*2</f>
        <v>4</v>
      </c>
      <c r="G62" s="3">
        <f>G61*2</f>
        <v>2</v>
      </c>
      <c r="K62" s="40">
        <f>SUM(E62:J62)</f>
        <v>10</v>
      </c>
      <c r="L62" s="40">
        <v>1200</v>
      </c>
      <c r="M62" s="40">
        <f>E62*$L62</f>
        <v>4800</v>
      </c>
      <c r="N62" s="40">
        <f t="shared" ref="N62:R63" si="30">F62*$L62</f>
        <v>4800</v>
      </c>
      <c r="O62" s="40">
        <f t="shared" si="30"/>
        <v>2400</v>
      </c>
      <c r="P62" s="40">
        <f t="shared" si="30"/>
        <v>0</v>
      </c>
      <c r="Q62" s="40">
        <f t="shared" si="30"/>
        <v>0</v>
      </c>
      <c r="R62" s="40">
        <f t="shared" si="30"/>
        <v>0</v>
      </c>
      <c r="S62" s="42">
        <f>SUM(M62:R62)</f>
        <v>12000</v>
      </c>
    </row>
    <row r="63" spans="1:19" x14ac:dyDescent="0.25">
      <c r="A63" s="39"/>
      <c r="C63" t="s">
        <v>729</v>
      </c>
      <c r="D63" s="3" t="s">
        <v>572</v>
      </c>
      <c r="E63" s="3">
        <f t="shared" ref="E63:J63" si="31">E61*2</f>
        <v>4</v>
      </c>
      <c r="F63" s="3">
        <f t="shared" si="31"/>
        <v>4</v>
      </c>
      <c r="G63" s="3">
        <f t="shared" si="31"/>
        <v>2</v>
      </c>
      <c r="H63" s="3">
        <f t="shared" si="31"/>
        <v>0</v>
      </c>
      <c r="I63" s="3">
        <f t="shared" si="31"/>
        <v>0</v>
      </c>
      <c r="J63" s="3">
        <f t="shared" si="31"/>
        <v>0</v>
      </c>
      <c r="K63" s="40">
        <f>SUM(E63:J63)</f>
        <v>10</v>
      </c>
      <c r="L63" s="40">
        <v>1000</v>
      </c>
      <c r="M63" s="40">
        <f>E63*$L63</f>
        <v>4000</v>
      </c>
      <c r="N63" s="40">
        <f t="shared" si="30"/>
        <v>4000</v>
      </c>
      <c r="O63" s="40">
        <f t="shared" si="30"/>
        <v>2000</v>
      </c>
      <c r="P63" s="40">
        <f t="shared" si="30"/>
        <v>0</v>
      </c>
      <c r="Q63" s="40">
        <f t="shared" si="30"/>
        <v>0</v>
      </c>
      <c r="R63" s="40">
        <f t="shared" si="30"/>
        <v>0</v>
      </c>
      <c r="S63" s="42">
        <f>SUM(M63:R63)</f>
        <v>10000</v>
      </c>
    </row>
    <row r="64" spans="1:19" x14ac:dyDescent="0.25">
      <c r="A64" s="39"/>
      <c r="B64" t="s">
        <v>715</v>
      </c>
      <c r="S64" s="43"/>
    </row>
    <row r="65" spans="1:19" x14ac:dyDescent="0.25">
      <c r="A65" s="39"/>
      <c r="C65" t="s">
        <v>726</v>
      </c>
      <c r="D65" s="3" t="s">
        <v>541</v>
      </c>
      <c r="E65" s="40">
        <f t="shared" ref="E65:J65" si="32">E62*400*3</f>
        <v>4800</v>
      </c>
      <c r="F65" s="40">
        <f t="shared" si="32"/>
        <v>4800</v>
      </c>
      <c r="G65" s="40">
        <f t="shared" si="32"/>
        <v>2400</v>
      </c>
      <c r="H65" s="40">
        <f t="shared" si="32"/>
        <v>0</v>
      </c>
      <c r="I65" s="40">
        <f t="shared" si="32"/>
        <v>0</v>
      </c>
      <c r="J65" s="40">
        <f t="shared" si="32"/>
        <v>0</v>
      </c>
      <c r="K65" s="40">
        <f>SUM(E65:J65)</f>
        <v>12000</v>
      </c>
      <c r="L65" s="44">
        <v>0.15</v>
      </c>
      <c r="M65" s="40">
        <f>E65*$L65</f>
        <v>720</v>
      </c>
      <c r="N65" s="40">
        <f t="shared" ref="N65:R67" si="33">F65*$L65</f>
        <v>720</v>
      </c>
      <c r="O65" s="40">
        <f t="shared" si="33"/>
        <v>360</v>
      </c>
      <c r="P65" s="40">
        <f t="shared" si="33"/>
        <v>0</v>
      </c>
      <c r="Q65" s="40">
        <f t="shared" si="33"/>
        <v>0</v>
      </c>
      <c r="R65" s="40">
        <f t="shared" si="33"/>
        <v>0</v>
      </c>
      <c r="S65" s="42">
        <f>SUM(M65:R65)</f>
        <v>1800</v>
      </c>
    </row>
    <row r="66" spans="1:19" x14ac:dyDescent="0.25">
      <c r="A66" s="39"/>
      <c r="C66" t="s">
        <v>727</v>
      </c>
      <c r="D66" s="3" t="s">
        <v>543</v>
      </c>
      <c r="E66" s="40">
        <f t="shared" ref="E66:J66" si="34">E65*0.5*2*1.5</f>
        <v>7200</v>
      </c>
      <c r="F66" s="40">
        <f t="shared" si="34"/>
        <v>7200</v>
      </c>
      <c r="G66" s="40">
        <f t="shared" si="34"/>
        <v>3600</v>
      </c>
      <c r="H66" s="40">
        <f t="shared" si="34"/>
        <v>0</v>
      </c>
      <c r="I66" s="40">
        <f t="shared" si="34"/>
        <v>0</v>
      </c>
      <c r="J66" s="40">
        <f t="shared" si="34"/>
        <v>0</v>
      </c>
      <c r="K66" s="40">
        <f>SUM(E66:J66)</f>
        <v>18000</v>
      </c>
      <c r="L66" s="44">
        <v>1.2</v>
      </c>
      <c r="M66" s="40">
        <f>E66*$L66</f>
        <v>8640</v>
      </c>
      <c r="N66" s="40">
        <f t="shared" si="33"/>
        <v>8640</v>
      </c>
      <c r="O66" s="40">
        <f t="shared" si="33"/>
        <v>4320</v>
      </c>
      <c r="P66" s="40">
        <f t="shared" si="33"/>
        <v>0</v>
      </c>
      <c r="Q66" s="40">
        <f t="shared" si="33"/>
        <v>0</v>
      </c>
      <c r="R66" s="40">
        <f t="shared" si="33"/>
        <v>0</v>
      </c>
      <c r="S66" s="42">
        <f>SUM(M66:R66)</f>
        <v>21600</v>
      </c>
    </row>
    <row r="67" spans="1:19" x14ac:dyDescent="0.25">
      <c r="A67" s="39"/>
      <c r="C67" t="s">
        <v>544</v>
      </c>
      <c r="D67" s="3" t="s">
        <v>545</v>
      </c>
      <c r="E67" s="40">
        <f t="shared" ref="E67:J67" si="35">E62</f>
        <v>4</v>
      </c>
      <c r="F67" s="40">
        <f t="shared" si="35"/>
        <v>4</v>
      </c>
      <c r="G67" s="40">
        <f t="shared" si="35"/>
        <v>2</v>
      </c>
      <c r="H67" s="40">
        <f t="shared" si="35"/>
        <v>0</v>
      </c>
      <c r="I67" s="40">
        <f t="shared" si="35"/>
        <v>0</v>
      </c>
      <c r="J67" s="40">
        <f t="shared" si="35"/>
        <v>0</v>
      </c>
      <c r="K67" s="40">
        <f>SUM(E67:J67)</f>
        <v>10</v>
      </c>
      <c r="L67" s="40">
        <v>50</v>
      </c>
      <c r="M67" s="40">
        <f>E67*$L67</f>
        <v>200</v>
      </c>
      <c r="N67" s="40">
        <f t="shared" si="33"/>
        <v>200</v>
      </c>
      <c r="O67" s="40">
        <f t="shared" si="33"/>
        <v>100</v>
      </c>
      <c r="P67" s="40">
        <f t="shared" si="33"/>
        <v>0</v>
      </c>
      <c r="Q67" s="40">
        <f t="shared" si="33"/>
        <v>0</v>
      </c>
      <c r="R67" s="40">
        <f t="shared" si="33"/>
        <v>0</v>
      </c>
      <c r="S67" s="42">
        <f>SUM(M67:R67)</f>
        <v>500</v>
      </c>
    </row>
    <row r="68" spans="1:19" x14ac:dyDescent="0.25">
      <c r="A68" s="39"/>
      <c r="B68" t="s">
        <v>546</v>
      </c>
      <c r="S68" s="43"/>
    </row>
    <row r="69" spans="1:19" ht="15.75" thickBot="1" x14ac:dyDescent="0.3">
      <c r="A69" s="45"/>
      <c r="B69" s="46"/>
      <c r="C69" s="46" t="s">
        <v>728</v>
      </c>
      <c r="D69" s="47" t="s">
        <v>548</v>
      </c>
      <c r="E69" s="47">
        <f t="shared" ref="E69:J69" si="36">E61*2</f>
        <v>4</v>
      </c>
      <c r="F69" s="47">
        <f t="shared" si="36"/>
        <v>4</v>
      </c>
      <c r="G69" s="47">
        <f t="shared" si="36"/>
        <v>2</v>
      </c>
      <c r="H69" s="47">
        <f t="shared" si="36"/>
        <v>0</v>
      </c>
      <c r="I69" s="47">
        <f t="shared" si="36"/>
        <v>0</v>
      </c>
      <c r="J69" s="47">
        <f t="shared" si="36"/>
        <v>0</v>
      </c>
      <c r="K69" s="48">
        <f>SUM(E69:J69)</f>
        <v>10</v>
      </c>
      <c r="L69" s="48">
        <v>1000</v>
      </c>
      <c r="M69" s="48">
        <f t="shared" ref="M69:R69" si="37">E69*$L69</f>
        <v>4000</v>
      </c>
      <c r="N69" s="48">
        <f t="shared" si="37"/>
        <v>4000</v>
      </c>
      <c r="O69" s="48">
        <f t="shared" si="37"/>
        <v>2000</v>
      </c>
      <c r="P69" s="48">
        <f t="shared" si="37"/>
        <v>0</v>
      </c>
      <c r="Q69" s="48">
        <f t="shared" si="37"/>
        <v>0</v>
      </c>
      <c r="R69" s="48">
        <f t="shared" si="37"/>
        <v>0</v>
      </c>
      <c r="S69" s="49">
        <f>SUM(M69:R69)</f>
        <v>10000</v>
      </c>
    </row>
    <row r="71" spans="1:19" ht="15.75" thickBot="1" x14ac:dyDescent="0.3">
      <c r="A71" s="31" t="s">
        <v>580</v>
      </c>
    </row>
    <row r="72" spans="1:19" ht="15.75" thickBot="1" x14ac:dyDescent="0.3">
      <c r="A72" s="32" t="s">
        <v>581</v>
      </c>
      <c r="B72" s="33"/>
      <c r="C72" s="33"/>
      <c r="D72" s="34" t="s">
        <v>582</v>
      </c>
      <c r="E72" s="34">
        <v>5</v>
      </c>
      <c r="F72" s="34">
        <v>10</v>
      </c>
      <c r="G72" s="34">
        <v>10</v>
      </c>
      <c r="H72" s="34">
        <v>5</v>
      </c>
      <c r="I72" s="34"/>
      <c r="J72" s="34"/>
      <c r="K72" s="33"/>
      <c r="L72" s="33"/>
      <c r="M72" s="36">
        <f t="shared" ref="M72:R72" si="38">SUM(M74:M77)</f>
        <v>31250</v>
      </c>
      <c r="N72" s="37">
        <f t="shared" si="38"/>
        <v>62500</v>
      </c>
      <c r="O72" s="37">
        <f t="shared" si="38"/>
        <v>62500</v>
      </c>
      <c r="P72" s="37">
        <f t="shared" si="38"/>
        <v>31250</v>
      </c>
      <c r="Q72" s="37">
        <f t="shared" si="38"/>
        <v>0</v>
      </c>
      <c r="R72" s="37">
        <f t="shared" si="38"/>
        <v>0</v>
      </c>
      <c r="S72" s="38">
        <f>SUM(S74:S77)</f>
        <v>187500</v>
      </c>
    </row>
    <row r="73" spans="1:19" x14ac:dyDescent="0.25">
      <c r="A73" s="39"/>
      <c r="B73" t="s">
        <v>102</v>
      </c>
      <c r="S73" s="43"/>
    </row>
    <row r="74" spans="1:19" x14ac:dyDescent="0.25">
      <c r="A74" s="39"/>
      <c r="C74" t="s">
        <v>584</v>
      </c>
      <c r="D74" s="3" t="s">
        <v>541</v>
      </c>
      <c r="E74" s="3">
        <f t="shared" ref="E74:J74" si="39">E72</f>
        <v>5</v>
      </c>
      <c r="F74" s="3">
        <f t="shared" si="39"/>
        <v>10</v>
      </c>
      <c r="G74" s="3">
        <f t="shared" si="39"/>
        <v>10</v>
      </c>
      <c r="H74" s="3">
        <f t="shared" si="39"/>
        <v>5</v>
      </c>
      <c r="I74" s="3">
        <f t="shared" si="39"/>
        <v>0</v>
      </c>
      <c r="J74" s="3">
        <f t="shared" si="39"/>
        <v>0</v>
      </c>
      <c r="K74" s="40">
        <f>SUM(E74:J74)</f>
        <v>30</v>
      </c>
      <c r="L74" s="40">
        <v>3000</v>
      </c>
      <c r="M74" s="40">
        <f>E74*$L74</f>
        <v>15000</v>
      </c>
      <c r="N74" s="40">
        <f t="shared" ref="N74:R75" si="40">F74*$L74</f>
        <v>30000</v>
      </c>
      <c r="O74" s="40">
        <f t="shared" si="40"/>
        <v>30000</v>
      </c>
      <c r="P74" s="40">
        <f t="shared" si="40"/>
        <v>15000</v>
      </c>
      <c r="Q74" s="40">
        <f t="shared" si="40"/>
        <v>0</v>
      </c>
      <c r="R74" s="40">
        <f t="shared" si="40"/>
        <v>0</v>
      </c>
      <c r="S74" s="42">
        <f>SUM(M74:R74)</f>
        <v>90000</v>
      </c>
    </row>
    <row r="75" spans="1:19" x14ac:dyDescent="0.25">
      <c r="A75" s="39"/>
      <c r="C75" t="s">
        <v>585</v>
      </c>
      <c r="D75" s="3" t="s">
        <v>541</v>
      </c>
      <c r="E75" s="3">
        <f t="shared" ref="E75:J75" si="41">E74*10*10</f>
        <v>500</v>
      </c>
      <c r="F75" s="3">
        <f t="shared" si="41"/>
        <v>1000</v>
      </c>
      <c r="G75" s="3">
        <f t="shared" si="41"/>
        <v>1000</v>
      </c>
      <c r="H75" s="3">
        <f t="shared" si="41"/>
        <v>500</v>
      </c>
      <c r="I75" s="3">
        <f t="shared" si="41"/>
        <v>0</v>
      </c>
      <c r="J75" s="3">
        <f t="shared" si="41"/>
        <v>0</v>
      </c>
      <c r="K75" s="40">
        <f>SUM(E75:J75)</f>
        <v>3000</v>
      </c>
      <c r="L75" s="3">
        <v>10</v>
      </c>
      <c r="M75" s="40">
        <f>E75*$L75</f>
        <v>5000</v>
      </c>
      <c r="N75" s="40">
        <f t="shared" si="40"/>
        <v>10000</v>
      </c>
      <c r="O75" s="40">
        <f t="shared" si="40"/>
        <v>10000</v>
      </c>
      <c r="P75" s="40">
        <f t="shared" si="40"/>
        <v>5000</v>
      </c>
      <c r="Q75" s="40">
        <f t="shared" si="40"/>
        <v>0</v>
      </c>
      <c r="R75" s="40">
        <f t="shared" si="40"/>
        <v>0</v>
      </c>
      <c r="S75" s="42">
        <f>SUM(M75:R75)</f>
        <v>30000</v>
      </c>
    </row>
    <row r="76" spans="1:19" x14ac:dyDescent="0.25">
      <c r="A76" s="39"/>
      <c r="B76" t="s">
        <v>546</v>
      </c>
      <c r="S76" s="43"/>
    </row>
    <row r="77" spans="1:19" ht="15.75" thickBot="1" x14ac:dyDescent="0.3">
      <c r="A77" s="45"/>
      <c r="B77" s="46"/>
      <c r="C77" s="46" t="s">
        <v>586</v>
      </c>
      <c r="D77" s="47" t="s">
        <v>548</v>
      </c>
      <c r="E77" s="47">
        <f t="shared" ref="E77:J77" si="42">3*E72</f>
        <v>15</v>
      </c>
      <c r="F77" s="47">
        <f t="shared" si="42"/>
        <v>30</v>
      </c>
      <c r="G77" s="47">
        <f t="shared" si="42"/>
        <v>30</v>
      </c>
      <c r="H77" s="47">
        <f t="shared" si="42"/>
        <v>15</v>
      </c>
      <c r="I77" s="47">
        <f t="shared" si="42"/>
        <v>0</v>
      </c>
      <c r="J77" s="47">
        <f t="shared" si="42"/>
        <v>0</v>
      </c>
      <c r="K77" s="48">
        <f>SUM(E77:J77)</f>
        <v>90</v>
      </c>
      <c r="L77" s="48">
        <v>750</v>
      </c>
      <c r="M77" s="48">
        <f t="shared" ref="M77:R77" si="43">E77*$L77</f>
        <v>11250</v>
      </c>
      <c r="N77" s="48">
        <f t="shared" si="43"/>
        <v>22500</v>
      </c>
      <c r="O77" s="48">
        <f t="shared" si="43"/>
        <v>22500</v>
      </c>
      <c r="P77" s="48">
        <f t="shared" si="43"/>
        <v>11250</v>
      </c>
      <c r="Q77" s="48">
        <f t="shared" si="43"/>
        <v>0</v>
      </c>
      <c r="R77" s="48">
        <f t="shared" si="43"/>
        <v>0</v>
      </c>
      <c r="S77" s="49">
        <f>SUM(M77:R77)</f>
        <v>67500</v>
      </c>
    </row>
    <row r="78" spans="1:19" ht="15.75" thickBot="1" x14ac:dyDescent="0.3"/>
    <row r="79" spans="1:19" ht="15.75" thickBot="1" x14ac:dyDescent="0.3">
      <c r="A79" s="32" t="s">
        <v>587</v>
      </c>
      <c r="B79" s="33"/>
      <c r="C79" s="33"/>
      <c r="D79" s="34" t="s">
        <v>582</v>
      </c>
      <c r="E79" s="34">
        <v>2</v>
      </c>
      <c r="F79" s="34">
        <v>4</v>
      </c>
      <c r="G79" s="34">
        <v>4</v>
      </c>
      <c r="H79" s="34"/>
      <c r="I79" s="34"/>
      <c r="J79" s="34"/>
      <c r="K79" s="33"/>
      <c r="L79" s="33"/>
      <c r="M79" s="36">
        <f t="shared" ref="M79:R79" si="44">SUM(M81:M84)</f>
        <v>23500</v>
      </c>
      <c r="N79" s="37">
        <f t="shared" si="44"/>
        <v>47000</v>
      </c>
      <c r="O79" s="37">
        <f t="shared" si="44"/>
        <v>47000</v>
      </c>
      <c r="P79" s="37">
        <f t="shared" si="44"/>
        <v>0</v>
      </c>
      <c r="Q79" s="37">
        <f t="shared" si="44"/>
        <v>0</v>
      </c>
      <c r="R79" s="37">
        <f t="shared" si="44"/>
        <v>0</v>
      </c>
      <c r="S79" s="38">
        <f>SUM(S81:S84)</f>
        <v>117500</v>
      </c>
    </row>
    <row r="80" spans="1:19" x14ac:dyDescent="0.25">
      <c r="A80" s="39"/>
      <c r="B80" t="s">
        <v>102</v>
      </c>
      <c r="S80" s="43"/>
    </row>
    <row r="81" spans="1:19" x14ac:dyDescent="0.25">
      <c r="A81" s="39"/>
      <c r="C81" t="s">
        <v>588</v>
      </c>
      <c r="D81" s="3" t="s">
        <v>541</v>
      </c>
      <c r="E81" s="3">
        <f t="shared" ref="E81:J81" si="45">E79</f>
        <v>2</v>
      </c>
      <c r="F81" s="3">
        <f t="shared" si="45"/>
        <v>4</v>
      </c>
      <c r="G81" s="3">
        <f t="shared" si="45"/>
        <v>4</v>
      </c>
      <c r="H81" s="3">
        <f t="shared" si="45"/>
        <v>0</v>
      </c>
      <c r="I81" s="3">
        <f t="shared" si="45"/>
        <v>0</v>
      </c>
      <c r="J81" s="3">
        <f t="shared" si="45"/>
        <v>0</v>
      </c>
      <c r="K81" s="40">
        <f>SUM(E81:J81)</f>
        <v>10</v>
      </c>
      <c r="L81" s="40">
        <v>7500</v>
      </c>
      <c r="M81" s="40">
        <f>E81*$L81</f>
        <v>15000</v>
      </c>
      <c r="N81" s="40">
        <f t="shared" ref="N81:R82" si="46">F81*$L81</f>
        <v>30000</v>
      </c>
      <c r="O81" s="40">
        <f t="shared" si="46"/>
        <v>30000</v>
      </c>
      <c r="P81" s="40">
        <f t="shared" si="46"/>
        <v>0</v>
      </c>
      <c r="Q81" s="40">
        <f t="shared" si="46"/>
        <v>0</v>
      </c>
      <c r="R81" s="40">
        <f t="shared" si="46"/>
        <v>0</v>
      </c>
      <c r="S81" s="42">
        <f>SUM(M81:R81)</f>
        <v>75000</v>
      </c>
    </row>
    <row r="82" spans="1:19" x14ac:dyDescent="0.25">
      <c r="A82" s="39"/>
      <c r="C82" t="s">
        <v>730</v>
      </c>
      <c r="D82" s="3" t="s">
        <v>590</v>
      </c>
      <c r="E82" s="3">
        <f>E79*10</f>
        <v>20</v>
      </c>
      <c r="F82" s="3">
        <f t="shared" ref="F82:K82" si="47">F79*10</f>
        <v>40</v>
      </c>
      <c r="G82" s="3">
        <f t="shared" si="47"/>
        <v>40</v>
      </c>
      <c r="H82" s="3">
        <f t="shared" si="47"/>
        <v>0</v>
      </c>
      <c r="I82" s="3">
        <f t="shared" si="47"/>
        <v>0</v>
      </c>
      <c r="J82" s="3">
        <f t="shared" si="47"/>
        <v>0</v>
      </c>
      <c r="K82" s="3">
        <f t="shared" si="47"/>
        <v>0</v>
      </c>
      <c r="L82" s="3">
        <v>200</v>
      </c>
      <c r="M82" s="40">
        <f>E82*$L82</f>
        <v>4000</v>
      </c>
      <c r="N82" s="40">
        <f t="shared" si="46"/>
        <v>8000</v>
      </c>
      <c r="O82" s="40">
        <f t="shared" si="46"/>
        <v>8000</v>
      </c>
      <c r="P82" s="40">
        <f t="shared" si="46"/>
        <v>0</v>
      </c>
      <c r="Q82" s="40">
        <f t="shared" si="46"/>
        <v>0</v>
      </c>
      <c r="R82" s="40">
        <f t="shared" si="46"/>
        <v>0</v>
      </c>
      <c r="S82" s="42">
        <f>SUM(M82:R82)</f>
        <v>20000</v>
      </c>
    </row>
    <row r="83" spans="1:19" x14ac:dyDescent="0.25">
      <c r="A83" s="39"/>
      <c r="B83" t="s">
        <v>546</v>
      </c>
      <c r="S83" s="43"/>
    </row>
    <row r="84" spans="1:19" ht="15.75" thickBot="1" x14ac:dyDescent="0.3">
      <c r="A84" s="45"/>
      <c r="B84" s="46"/>
      <c r="C84" s="46" t="s">
        <v>591</v>
      </c>
      <c r="D84" s="47" t="s">
        <v>548</v>
      </c>
      <c r="E84" s="47">
        <f t="shared" ref="E84:J84" si="48">3*E79</f>
        <v>6</v>
      </c>
      <c r="F84" s="47">
        <f t="shared" si="48"/>
        <v>12</v>
      </c>
      <c r="G84" s="47">
        <f t="shared" si="48"/>
        <v>12</v>
      </c>
      <c r="H84" s="47">
        <f t="shared" si="48"/>
        <v>0</v>
      </c>
      <c r="I84" s="47">
        <f t="shared" si="48"/>
        <v>0</v>
      </c>
      <c r="J84" s="47">
        <f t="shared" si="48"/>
        <v>0</v>
      </c>
      <c r="K84" s="48">
        <f>SUM(E84:J84)</f>
        <v>30</v>
      </c>
      <c r="L84" s="48">
        <v>750</v>
      </c>
      <c r="M84" s="48">
        <f t="shared" ref="M84:R84" si="49">E84*$L84</f>
        <v>4500</v>
      </c>
      <c r="N84" s="48">
        <f t="shared" si="49"/>
        <v>9000</v>
      </c>
      <c r="O84" s="48">
        <f t="shared" si="49"/>
        <v>9000</v>
      </c>
      <c r="P84" s="48">
        <f t="shared" si="49"/>
        <v>0</v>
      </c>
      <c r="Q84" s="48">
        <f t="shared" si="49"/>
        <v>0</v>
      </c>
      <c r="R84" s="48">
        <f t="shared" si="49"/>
        <v>0</v>
      </c>
      <c r="S84" s="49">
        <f>SUM(M84:R84)</f>
        <v>22500</v>
      </c>
    </row>
    <row r="87" spans="1:19" x14ac:dyDescent="0.25">
      <c r="J87" t="s">
        <v>731</v>
      </c>
      <c r="K87" t="s">
        <v>732</v>
      </c>
      <c r="L87" s="40">
        <v>47000</v>
      </c>
      <c r="M87" s="40">
        <f t="shared" ref="M87:R87" si="50">E4*$L$87</f>
        <v>0</v>
      </c>
      <c r="N87" s="40">
        <f t="shared" si="50"/>
        <v>235000</v>
      </c>
      <c r="O87" s="40">
        <f t="shared" si="50"/>
        <v>235000</v>
      </c>
      <c r="P87" s="40">
        <f t="shared" si="50"/>
        <v>235000</v>
      </c>
      <c r="Q87" s="40">
        <f t="shared" si="50"/>
        <v>0</v>
      </c>
      <c r="R87" s="40">
        <f t="shared" si="50"/>
        <v>0</v>
      </c>
      <c r="S87" s="40">
        <f>SUM(M87:R87)</f>
        <v>705000</v>
      </c>
    </row>
    <row r="88" spans="1:19" x14ac:dyDescent="0.25">
      <c r="K88" t="s">
        <v>733</v>
      </c>
      <c r="L88" s="40">
        <v>147000</v>
      </c>
      <c r="M88" s="40">
        <f t="shared" ref="M88:R88" si="51">$L$88*E18</f>
        <v>0</v>
      </c>
      <c r="N88" s="40">
        <f t="shared" si="51"/>
        <v>0</v>
      </c>
      <c r="O88" s="40">
        <f t="shared" si="51"/>
        <v>735000</v>
      </c>
      <c r="P88" s="40">
        <f t="shared" si="51"/>
        <v>735000</v>
      </c>
      <c r="Q88" s="40">
        <f t="shared" si="51"/>
        <v>735000</v>
      </c>
      <c r="R88" s="40">
        <f t="shared" si="51"/>
        <v>0</v>
      </c>
      <c r="S88" s="40">
        <f>SUM(M88:R88)</f>
        <v>2205000</v>
      </c>
    </row>
    <row r="89" spans="1:19" x14ac:dyDescent="0.25">
      <c r="K89" s="78" t="s">
        <v>429</v>
      </c>
      <c r="L89" s="78"/>
      <c r="M89" s="79">
        <f t="shared" ref="M89:S89" si="52">SUM(M87:M88)</f>
        <v>0</v>
      </c>
      <c r="N89" s="79">
        <f t="shared" si="52"/>
        <v>235000</v>
      </c>
      <c r="O89" s="79">
        <f t="shared" si="52"/>
        <v>970000</v>
      </c>
      <c r="P89" s="79">
        <f t="shared" si="52"/>
        <v>970000</v>
      </c>
      <c r="Q89" s="79">
        <f t="shared" si="52"/>
        <v>735000</v>
      </c>
      <c r="R89" s="79">
        <f t="shared" si="52"/>
        <v>0</v>
      </c>
      <c r="S89" s="79">
        <f t="shared" si="52"/>
        <v>2910000</v>
      </c>
    </row>
    <row r="91" spans="1:19" x14ac:dyDescent="0.25">
      <c r="J91" s="3" t="s">
        <v>731</v>
      </c>
      <c r="K91" t="s">
        <v>449</v>
      </c>
      <c r="L91" s="40">
        <v>6446</v>
      </c>
      <c r="M91" s="40">
        <f t="shared" ref="M91:R91" si="53">$L$91*E33</f>
        <v>322300</v>
      </c>
      <c r="N91" s="40">
        <f t="shared" si="53"/>
        <v>966900</v>
      </c>
      <c r="O91" s="40">
        <f t="shared" si="53"/>
        <v>644600</v>
      </c>
      <c r="P91" s="40">
        <f t="shared" si="53"/>
        <v>0</v>
      </c>
      <c r="Q91" s="40">
        <f t="shared" si="53"/>
        <v>0</v>
      </c>
      <c r="R91" s="40">
        <f t="shared" si="53"/>
        <v>0</v>
      </c>
      <c r="S91" s="40">
        <f>SUM(M91:R91)</f>
        <v>1933800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821835E6-28B2-434F-ACF3-2322BE3FE482}"/>
</file>

<file path=customXml/itemProps2.xml><?xml version="1.0" encoding="utf-8"?>
<ds:datastoreItem xmlns:ds="http://schemas.openxmlformats.org/officeDocument/2006/customXml" ds:itemID="{01391B8F-2EFB-469A-B041-155BB82563E0}">
  <ds:schemaRefs>
    <ds:schemaRef ds:uri="http://schemas.microsoft.com/sharepoint/v3/contenttype/forms"/>
  </ds:schemaRefs>
</ds:datastoreItem>
</file>

<file path=customXml/itemProps3.xml><?xml version="1.0" encoding="utf-8"?>
<ds:datastoreItem xmlns:ds="http://schemas.openxmlformats.org/officeDocument/2006/customXml" ds:itemID="{C48BAB63-9B7F-4DAB-AC12-5AF41BAFD40A}">
  <ds:schemaRefs>
    <ds:schemaRef ds:uri="http://www.w3.org/XML/1998/namespace"/>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infopath/2007/PartnerControls"/>
    <ds:schemaRef ds:uri="90c3386d-b1cc-4404-9a17-ce575b01d39a"/>
    <ds:schemaRef ds:uri="218d177c-a3bf-4b0b-adae-4c1a5ab298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Summary</vt:lpstr>
      <vt:lpstr>Detailed Budget</vt:lpstr>
      <vt:lpstr>Notes and Assumptions</vt:lpstr>
      <vt:lpstr>Output2.1</vt:lpstr>
      <vt:lpstr>Output2.2</vt:lpstr>
      <vt:lpstr>'Detailed Budget'!Print_Area</vt:lpstr>
      <vt:lpstr>'Notes and Assumptions'!Print_Area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Mara Baviera</dc:creator>
  <cp:keywords/>
  <dc:description/>
  <cp:lastModifiedBy>Lehel, Rosalie (CBC)</cp:lastModifiedBy>
  <cp:revision/>
  <dcterms:created xsi:type="dcterms:W3CDTF">2016-04-04T05:39:24Z</dcterms:created>
  <dcterms:modified xsi:type="dcterms:W3CDTF">2022-06-14T10:30:14Z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